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antv\OneDrive\OneDrive - Occidental Petroleum Corporation\020 BSEE\data\"/>
    </mc:Choice>
  </mc:AlternateContent>
  <bookViews>
    <workbookView xWindow="-110" yWindow="-110" windowWidth="22780" windowHeight="14660"/>
  </bookViews>
  <sheets>
    <sheet name="JULIA production" sheetId="2" r:id="rId1"/>
    <sheet name="Oil Prices" sheetId="3" r:id="rId2"/>
  </sheets>
  <definedNames>
    <definedName name="OPEX">'JULIA production'!$BF$13</definedName>
    <definedName name="ProdRATE">'JULIA production'!$Q$9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3" l="1"/>
  <c r="E16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F13" i="3"/>
  <c r="E17" i="3" s="1"/>
  <c r="R10" i="3"/>
  <c r="AD10" i="3" s="1"/>
  <c r="AP10" i="3" s="1"/>
  <c r="BB10" i="3" s="1"/>
  <c r="BN10" i="3" s="1"/>
  <c r="BE27" i="2" l="1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7" i="2"/>
  <c r="AQ27" i="2"/>
  <c r="X4" i="2"/>
  <c r="AM19" i="2"/>
  <c r="BE6" i="2"/>
  <c r="BD6" i="2"/>
  <c r="BC6" i="2"/>
  <c r="BB6" i="2"/>
  <c r="BA6" i="2"/>
  <c r="AZ6" i="2"/>
  <c r="AY6" i="2"/>
  <c r="AX6" i="2"/>
  <c r="BE4" i="2"/>
  <c r="BD4" i="2"/>
  <c r="BC4" i="2"/>
  <c r="BB4" i="2"/>
  <c r="BA4" i="2"/>
  <c r="AZ4" i="2"/>
  <c r="AY4" i="2"/>
  <c r="AX4" i="2"/>
  <c r="BE3" i="2"/>
  <c r="BD3" i="2"/>
  <c r="BC3" i="2"/>
  <c r="BB3" i="2"/>
  <c r="BA3" i="2"/>
  <c r="AZ3" i="2"/>
  <c r="AY3" i="2"/>
  <c r="AX3" i="2"/>
  <c r="AW6" i="2"/>
  <c r="AV6" i="2"/>
  <c r="AU6" i="2"/>
  <c r="AT6" i="2"/>
  <c r="AS6" i="2"/>
  <c r="AR6" i="2"/>
  <c r="AQ6" i="2"/>
  <c r="AP6" i="2"/>
  <c r="AO6" i="2"/>
  <c r="AN6" i="2"/>
  <c r="AM6" i="2"/>
  <c r="AL6" i="2"/>
  <c r="AW4" i="2"/>
  <c r="AV4" i="2"/>
  <c r="AU4" i="2"/>
  <c r="AT4" i="2"/>
  <c r="AS4" i="2"/>
  <c r="AR4" i="2"/>
  <c r="AQ4" i="2"/>
  <c r="AP4" i="2"/>
  <c r="AO4" i="2"/>
  <c r="AN4" i="2"/>
  <c r="AM4" i="2"/>
  <c r="AL4" i="2"/>
  <c r="AW3" i="2"/>
  <c r="AV3" i="2"/>
  <c r="AU3" i="2"/>
  <c r="AT3" i="2"/>
  <c r="AS3" i="2"/>
  <c r="AR3" i="2"/>
  <c r="AQ3" i="2"/>
  <c r="AP3" i="2"/>
  <c r="AO3" i="2"/>
  <c r="AN3" i="2"/>
  <c r="AM3" i="2"/>
  <c r="AL3" i="2"/>
  <c r="AK6" i="2"/>
  <c r="AJ6" i="2"/>
  <c r="AK4" i="2"/>
  <c r="AJ4" i="2"/>
  <c r="AI4" i="2"/>
  <c r="AH4" i="2"/>
  <c r="AG4" i="2"/>
  <c r="AF4" i="2"/>
  <c r="AE4" i="2"/>
  <c r="AD4" i="2"/>
  <c r="AC4" i="2"/>
  <c r="AB4" i="2"/>
  <c r="AA4" i="2"/>
  <c r="Z4" i="2"/>
  <c r="AK3" i="2"/>
  <c r="AJ3" i="2"/>
  <c r="AI3" i="2"/>
  <c r="AH3" i="2"/>
  <c r="AG3" i="2"/>
  <c r="AF3" i="2"/>
  <c r="AE3" i="2"/>
  <c r="AD3" i="2"/>
  <c r="AC3" i="2"/>
  <c r="AB3" i="2"/>
  <c r="AA3" i="2"/>
  <c r="Z3" i="2"/>
  <c r="Y4" i="2"/>
  <c r="W4" i="2"/>
  <c r="V4" i="2"/>
  <c r="U4" i="2"/>
  <c r="T4" i="2"/>
  <c r="Y3" i="2"/>
  <c r="X3" i="2"/>
  <c r="W3" i="2"/>
  <c r="V3" i="2"/>
  <c r="U3" i="2"/>
  <c r="T3" i="2"/>
  <c r="N20" i="2"/>
  <c r="N18" i="2"/>
  <c r="N17" i="2"/>
  <c r="M20" i="2"/>
  <c r="M18" i="2"/>
  <c r="M17" i="2"/>
  <c r="L20" i="2"/>
  <c r="L18" i="2"/>
  <c r="L17" i="2"/>
  <c r="K20" i="2"/>
  <c r="K18" i="2"/>
  <c r="K17" i="2"/>
  <c r="J20" i="2"/>
  <c r="J18" i="2"/>
  <c r="J17" i="2"/>
  <c r="I20" i="2"/>
  <c r="I18" i="2"/>
  <c r="I17" i="2"/>
  <c r="H20" i="2"/>
  <c r="H18" i="2"/>
  <c r="H17" i="2"/>
  <c r="G18" i="2"/>
  <c r="G20" i="2"/>
  <c r="G17" i="2"/>
  <c r="F20" i="2"/>
  <c r="F18" i="2"/>
  <c r="F17" i="2"/>
  <c r="E20" i="2"/>
  <c r="E18" i="2"/>
  <c r="E17" i="2"/>
  <c r="D20" i="2"/>
  <c r="D19" i="2"/>
  <c r="D18" i="2"/>
  <c r="D17" i="2"/>
  <c r="C20" i="2"/>
  <c r="C18" i="2"/>
  <c r="C17" i="2"/>
  <c r="J26" i="2"/>
  <c r="J24" i="2"/>
  <c r="J23" i="2"/>
  <c r="I26" i="2"/>
  <c r="I24" i="2"/>
  <c r="I23" i="2"/>
  <c r="H23" i="2"/>
  <c r="H26" i="2"/>
  <c r="H24" i="2"/>
  <c r="G26" i="2"/>
  <c r="G24" i="2"/>
  <c r="G23" i="2"/>
  <c r="F26" i="2"/>
  <c r="F24" i="2"/>
  <c r="F23" i="2"/>
  <c r="E26" i="2"/>
  <c r="E24" i="2"/>
  <c r="E23" i="2"/>
  <c r="D26" i="2"/>
  <c r="D24" i="2"/>
  <c r="D23" i="2"/>
  <c r="C26" i="2"/>
  <c r="C24" i="2"/>
  <c r="C23" i="2"/>
  <c r="M12" i="2"/>
  <c r="N12" i="2"/>
  <c r="N10" i="2"/>
  <c r="N9" i="2"/>
  <c r="M10" i="2"/>
  <c r="M9" i="2"/>
  <c r="L10" i="2"/>
  <c r="L9" i="2"/>
  <c r="J10" i="2"/>
  <c r="J9" i="2"/>
  <c r="K10" i="2"/>
  <c r="K9" i="2"/>
  <c r="I10" i="2"/>
  <c r="I9" i="2"/>
  <c r="H10" i="2"/>
  <c r="H9" i="2"/>
  <c r="G10" i="2"/>
  <c r="G9" i="2"/>
  <c r="F10" i="2"/>
  <c r="F9" i="2"/>
  <c r="E10" i="2"/>
  <c r="E9" i="2"/>
  <c r="D9" i="2"/>
  <c r="D10" i="2"/>
  <c r="C10" i="2"/>
  <c r="C9" i="2"/>
  <c r="N4" i="2"/>
  <c r="N3" i="2"/>
  <c r="M3" i="2"/>
  <c r="L4" i="2"/>
  <c r="L3" i="2"/>
  <c r="K4" i="2"/>
  <c r="K3" i="2"/>
  <c r="J4" i="2"/>
  <c r="J3" i="2"/>
  <c r="I4" i="2"/>
  <c r="I3" i="2"/>
  <c r="AA8" i="2" l="1"/>
  <c r="AA10" i="2"/>
  <c r="AS8" i="2"/>
  <c r="AS10" i="2"/>
  <c r="Y10" i="2"/>
  <c r="Y8" i="2"/>
  <c r="AB10" i="2"/>
  <c r="AB8" i="2"/>
  <c r="AJ10" i="2"/>
  <c r="AJ8" i="2"/>
  <c r="AL10" i="2"/>
  <c r="AL12" i="2" s="1"/>
  <c r="AL8" i="2"/>
  <c r="AT10" i="2"/>
  <c r="AT8" i="2"/>
  <c r="BB10" i="2"/>
  <c r="BB8" i="2"/>
  <c r="X10" i="2"/>
  <c r="X8" i="2"/>
  <c r="AC8" i="2"/>
  <c r="AC10" i="2"/>
  <c r="AK8" i="2"/>
  <c r="AK10" i="2"/>
  <c r="AM10" i="2"/>
  <c r="AM12" i="2" s="1"/>
  <c r="AN12" i="2" s="1"/>
  <c r="AM8" i="2"/>
  <c r="AU10" i="2"/>
  <c r="AU8" i="2"/>
  <c r="BC10" i="2"/>
  <c r="BC8" i="2"/>
  <c r="AI10" i="2"/>
  <c r="AI8" i="2"/>
  <c r="BA8" i="2"/>
  <c r="BA10" i="2"/>
  <c r="AD10" i="2"/>
  <c r="AD8" i="2"/>
  <c r="AN10" i="2"/>
  <c r="AN8" i="2"/>
  <c r="AV10" i="2"/>
  <c r="AV8" i="2"/>
  <c r="BD10" i="2"/>
  <c r="BD8" i="2"/>
  <c r="T8" i="2"/>
  <c r="T10" i="2"/>
  <c r="AE10" i="2"/>
  <c r="AE8" i="2"/>
  <c r="AO10" i="2"/>
  <c r="AO8" i="2"/>
  <c r="AW10" i="2"/>
  <c r="AW8" i="2"/>
  <c r="BE10" i="2"/>
  <c r="BE8" i="2"/>
  <c r="U8" i="2"/>
  <c r="U10" i="2"/>
  <c r="AF10" i="2"/>
  <c r="AF8" i="2"/>
  <c r="AP8" i="2"/>
  <c r="AP10" i="2"/>
  <c r="AX10" i="2"/>
  <c r="AX8" i="2"/>
  <c r="AY10" i="2"/>
  <c r="AY8" i="2"/>
  <c r="V10" i="2"/>
  <c r="V8" i="2"/>
  <c r="AG10" i="2"/>
  <c r="AG8" i="2"/>
  <c r="AQ10" i="2"/>
  <c r="AQ8" i="2"/>
  <c r="W10" i="2"/>
  <c r="W8" i="2"/>
  <c r="Z8" i="2"/>
  <c r="Z10" i="2"/>
  <c r="Z12" i="2" s="1"/>
  <c r="AH8" i="2"/>
  <c r="AH10" i="2"/>
  <c r="AR10" i="2"/>
  <c r="AR8" i="2"/>
  <c r="AZ10" i="2"/>
  <c r="AZ8" i="2"/>
  <c r="BF27" i="2"/>
  <c r="DJ13" i="2"/>
  <c r="DJ16" i="2" s="1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T11" i="2"/>
  <c r="AW9" i="2" l="1"/>
  <c r="AW14" i="2"/>
  <c r="BD9" i="2"/>
  <c r="BD14" i="2"/>
  <c r="AM9" i="2"/>
  <c r="AM14" i="2"/>
  <c r="BB14" i="2"/>
  <c r="BB9" i="2"/>
  <c r="AB14" i="2"/>
  <c r="AB9" i="2"/>
  <c r="AH9" i="2"/>
  <c r="AH14" i="2"/>
  <c r="AP9" i="2"/>
  <c r="AP14" i="2"/>
  <c r="BA14" i="2"/>
  <c r="BA9" i="2"/>
  <c r="AO12" i="2"/>
  <c r="AP12" i="2" s="1"/>
  <c r="AQ12" i="2" s="1"/>
  <c r="AR12" i="2" s="1"/>
  <c r="AS12" i="2" s="1"/>
  <c r="AT12" i="2" s="1"/>
  <c r="AU12" i="2" s="1"/>
  <c r="AV12" i="2" s="1"/>
  <c r="AW12" i="2" s="1"/>
  <c r="AV9" i="2"/>
  <c r="AV14" i="2"/>
  <c r="AT14" i="2"/>
  <c r="AT9" i="2"/>
  <c r="Y9" i="2"/>
  <c r="Y14" i="2"/>
  <c r="AG9" i="2"/>
  <c r="AG14" i="2"/>
  <c r="Z9" i="2"/>
  <c r="Z14" i="2"/>
  <c r="AK14" i="2"/>
  <c r="AK9" i="2"/>
  <c r="AI9" i="2"/>
  <c r="AI14" i="2"/>
  <c r="AZ14" i="2"/>
  <c r="AZ9" i="2"/>
  <c r="W9" i="2"/>
  <c r="W14" i="2"/>
  <c r="AY9" i="2"/>
  <c r="AY14" i="2"/>
  <c r="AE9" i="2"/>
  <c r="AE14" i="2"/>
  <c r="AN9" i="2"/>
  <c r="AN14" i="2"/>
  <c r="BC9" i="2"/>
  <c r="BC14" i="2"/>
  <c r="AL14" i="2"/>
  <c r="AL9" i="2"/>
  <c r="AF9" i="2"/>
  <c r="AF14" i="2"/>
  <c r="U14" i="2"/>
  <c r="U9" i="2"/>
  <c r="AC14" i="2"/>
  <c r="AC9" i="2"/>
  <c r="AS9" i="2"/>
  <c r="AS14" i="2"/>
  <c r="AO9" i="2"/>
  <c r="AO14" i="2"/>
  <c r="AR14" i="2"/>
  <c r="AR9" i="2"/>
  <c r="AQ9" i="2"/>
  <c r="AQ14" i="2"/>
  <c r="AX9" i="2"/>
  <c r="AX14" i="2"/>
  <c r="BE9" i="2"/>
  <c r="BE14" i="2"/>
  <c r="AD14" i="2"/>
  <c r="AD9" i="2"/>
  <c r="AU9" i="2"/>
  <c r="AU14" i="2"/>
  <c r="X9" i="2"/>
  <c r="X14" i="2"/>
  <c r="AJ14" i="2"/>
  <c r="AJ9" i="2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V14" i="2"/>
  <c r="V9" i="2"/>
  <c r="T9" i="2"/>
  <c r="T14" i="2"/>
  <c r="BF8" i="2"/>
  <c r="BG8" i="2" s="1"/>
  <c r="AA9" i="2"/>
  <c r="AA14" i="2"/>
  <c r="BF24" i="2"/>
  <c r="BG23" i="2" s="1"/>
  <c r="BF26" i="2"/>
  <c r="DF26" i="2" s="1"/>
  <c r="BF25" i="2"/>
  <c r="DF25" i="2"/>
  <c r="U11" i="2"/>
  <c r="V11" i="2" s="1"/>
  <c r="W11" i="2" s="1"/>
  <c r="X11" i="2" s="1"/>
  <c r="H6" i="2"/>
  <c r="G6" i="2"/>
  <c r="F6" i="2"/>
  <c r="E6" i="2"/>
  <c r="D6" i="2"/>
  <c r="DF24" i="2" l="1"/>
  <c r="DF30" i="2" s="1"/>
  <c r="BF14" i="2"/>
  <c r="BF9" i="2"/>
  <c r="BG9" i="2" s="1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DG10" i="2" l="1"/>
  <c r="DG30" i="2" s="1"/>
  <c r="BF11" i="2"/>
  <c r="BF3" i="2"/>
  <c r="BF4" i="2"/>
  <c r="BF6" i="2"/>
</calcChain>
</file>

<file path=xl/comments1.xml><?xml version="1.0" encoding="utf-8"?>
<comments xmlns="http://schemas.openxmlformats.org/spreadsheetml/2006/main">
  <authors>
    <author>Charles White</author>
  </authors>
  <commentList>
    <comment ref="S14" authorId="0" shapeId="0">
      <text>
        <r>
          <rPr>
            <b/>
            <sz val="9"/>
            <color indexed="81"/>
            <rFont val="Tahoma"/>
            <family val="2"/>
          </rPr>
          <t>Charles White: 20200302</t>
        </r>
        <r>
          <rPr>
            <sz val="9"/>
            <color indexed="81"/>
            <rFont val="Tahoma"/>
            <family val="2"/>
          </rPr>
          <t xml:space="preserve">
Using BRENT Mo'ly Spot Price per EIA database w/ assumed OPEX (incl. royalty, JSM processing fee, &amp; export fees)</t>
        </r>
      </text>
    </comment>
  </commentList>
</comments>
</file>

<file path=xl/sharedStrings.xml><?xml version="1.0" encoding="utf-8"?>
<sst xmlns="http://schemas.openxmlformats.org/spreadsheetml/2006/main" count="317" uniqueCount="66">
  <si>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</si>
  <si>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</si>
  <si>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</si>
  <si>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</si>
  <si>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</si>
  <si>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</si>
  <si>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</si>
  <si>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</si>
  <si>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</si>
  <si>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</si>
  <si>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</si>
  <si>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</si>
  <si>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 per Month</t>
  </si>
  <si>
    <t>Average</t>
  </si>
  <si>
    <t>FPSO</t>
  </si>
  <si>
    <t>FSRs</t>
  </si>
  <si>
    <t>Wells</t>
  </si>
  <si>
    <t>Total Oil Produced</t>
  </si>
  <si>
    <t>Cum Total Oil</t>
  </si>
  <si>
    <t>DC101</t>
  </si>
  <si>
    <t>JU102</t>
  </si>
  <si>
    <t>JU103</t>
  </si>
  <si>
    <t>JU104</t>
  </si>
  <si>
    <t>165687/30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</si>
  <si>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</si>
  <si>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</si>
  <si>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</si>
  <si>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</si>
  <si>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</si>
  <si>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</si>
  <si>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</si>
  <si>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</si>
  <si>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</si>
  <si>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</si>
  <si>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</si>
  <si>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</si>
  <si>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Avg Moly RATE</t>
  </si>
  <si>
    <t>%  of TARGET RATE</t>
  </si>
  <si>
    <t>AVG</t>
  </si>
  <si>
    <t>MAX</t>
  </si>
  <si>
    <t>VALUE of OIL SOLD</t>
  </si>
  <si>
    <t>Avg NET $/bbl</t>
  </si>
  <si>
    <t>DATE</t>
  </si>
  <si>
    <t>WTI</t>
  </si>
  <si>
    <t> 2014</t>
  </si>
  <si>
    <t>  2015</t>
  </si>
  <si>
    <t>  2016</t>
  </si>
  <si>
    <t>  2017</t>
  </si>
  <si>
    <t>  2018</t>
  </si>
  <si>
    <t>  2019</t>
  </si>
  <si>
    <t>EIA</t>
  </si>
  <si>
    <t>BRENT Monthly Avg. Spot</t>
  </si>
  <si>
    <t>Europe Brent Spot Price FOB (Dollars per Barrel)</t>
  </si>
  <si>
    <t>WEEKLY</t>
  </si>
  <si>
    <t>Field AVG.</t>
  </si>
  <si>
    <t>OPEX $bbl</t>
  </si>
  <si>
    <t>NET Mo'ly SALES ($M)</t>
  </si>
  <si>
    <t>M</t>
  </si>
  <si>
    <t>NET of OPEX</t>
  </si>
  <si>
    <t>AVERAGE</t>
  </si>
  <si>
    <t>BRENT</t>
  </si>
  <si>
    <t>NET</t>
  </si>
  <si>
    <t>GROSS</t>
  </si>
  <si>
    <t>2014-19</t>
  </si>
  <si>
    <t>M, Total</t>
  </si>
  <si>
    <t>bopd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</si>
</sst>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_);_(@_)"/>
    <numFmt numFmtId="167" formatCode="&quot;$&quot;#,##0.00"/>
    <numFmt numFmtId="168" formatCode="_(&quot;$&quot;* #,##0.000_);_(&quot;$&quot;* \(#,##0.000\);_(&quot;$&quot;* &quot;-&quot;??_);_(@_)"/>
  </numFmts>
  <fonts count="1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Eras Medium ITC"/>
      <family val="2"/>
    </font>
    <font>
      <u val="singleAccounting"/>
      <sz val="12"/>
      <color rgb="FF000000"/>
      <name val="Eras Medium ITC"/>
      <family val="2"/>
    </font>
    <font>
      <b/>
      <sz val="12"/>
      <color rgb="FF000000"/>
      <name val="Eras Medium ITC"/>
      <family val="2"/>
    </font>
    <font>
      <b/>
      <sz val="12"/>
      <color rgb="FFFF0000"/>
      <name val="Eras Medium ITC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4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Eras Medium ITC"/>
      <family val="2"/>
    </font>
    <font>
      <b/>
      <sz val="16"/>
      <name val="Eras Medium ITC"/>
      <family val="2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4" fontId="2" fillId="0" borderId="0" xfId="1" applyNumberFormat="1" applyFont="1" applyFill="1" applyBorder="1" applyAlignment="1">
      <alignment horizontal="left" vertical="top"/>
    </xf>
    <xf numFmtId="9" fontId="2" fillId="0" borderId="0" xfId="3" applyFont="1" applyFill="1" applyBorder="1" applyAlignment="1">
      <alignment horizontal="left" vertical="top"/>
    </xf>
    <xf numFmtId="164" fontId="3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/>
    </xf>
    <xf numFmtId="165" fontId="2" fillId="0" borderId="0" xfId="2" applyNumberFormat="1" applyFont="1" applyFill="1" applyBorder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64" fontId="5" fillId="0" borderId="0" xfId="1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164" fontId="2" fillId="2" borderId="0" xfId="1" applyNumberFormat="1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0" fillId="2" borderId="0" xfId="0" applyNumberFormat="1" applyFill="1" applyBorder="1" applyAlignment="1">
      <alignment horizontal="left" vertical="top"/>
    </xf>
    <xf numFmtId="164" fontId="5" fillId="2" borderId="0" xfId="1" applyNumberFormat="1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left" vertical="top"/>
    </xf>
    <xf numFmtId="9" fontId="6" fillId="0" borderId="0" xfId="3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6" fontId="7" fillId="3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left" vertical="top"/>
    </xf>
    <xf numFmtId="164" fontId="4" fillId="5" borderId="0" xfId="1" applyNumberFormat="1" applyFont="1" applyFill="1" applyBorder="1" applyAlignment="1">
      <alignment horizontal="left" vertical="top"/>
    </xf>
    <xf numFmtId="43" fontId="7" fillId="5" borderId="0" xfId="1" applyFont="1" applyFill="1" applyBorder="1" applyAlignment="1">
      <alignment horizontal="center" vertical="top"/>
    </xf>
    <xf numFmtId="164" fontId="6" fillId="0" borderId="0" xfId="1" applyNumberFormat="1" applyFont="1" applyFill="1" applyBorder="1" applyAlignment="1">
      <alignment horizontal="center" vertical="top"/>
    </xf>
    <xf numFmtId="15" fontId="9" fillId="0" borderId="0" xfId="0" applyNumberFormat="1" applyFont="1" applyFill="1" applyBorder="1" applyAlignment="1">
      <alignment horizontal="center" vertical="center" wrapText="1"/>
    </xf>
    <xf numFmtId="8" fontId="9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0" fillId="6" borderId="0" xfId="0" applyFont="1" applyFill="1" applyBorder="1" applyAlignment="1">
      <alignment horizontal="center" vertical="center" wrapText="1"/>
    </xf>
    <xf numFmtId="167" fontId="11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center" vertical="top"/>
    </xf>
    <xf numFmtId="9" fontId="2" fillId="0" borderId="1" xfId="3" applyFont="1" applyFill="1" applyBorder="1" applyAlignment="1">
      <alignment horizontal="center" vertical="top"/>
    </xf>
    <xf numFmtId="164" fontId="2" fillId="5" borderId="0" xfId="1" applyNumberFormat="1" applyFont="1" applyFill="1" applyBorder="1" applyAlignment="1">
      <alignment horizontal="left" vertical="top"/>
    </xf>
    <xf numFmtId="6" fontId="12" fillId="3" borderId="0" xfId="0" applyNumberFormat="1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left" vertical="top"/>
    </xf>
    <xf numFmtId="168" fontId="7" fillId="0" borderId="0" xfId="2" applyNumberFormat="1" applyFont="1" applyFill="1" applyBorder="1" applyAlignment="1">
      <alignment horizontal="right" vertical="top"/>
    </xf>
    <xf numFmtId="165" fontId="15" fillId="7" borderId="0" xfId="2" applyNumberFormat="1" applyFont="1" applyFill="1" applyBorder="1" applyAlignment="1">
      <alignment horizontal="left" vertical="top"/>
    </xf>
    <xf numFmtId="165" fontId="16" fillId="7" borderId="0" xfId="2" applyNumberFormat="1" applyFont="1" applyFill="1" applyBorder="1" applyAlignment="1">
      <alignment horizontal="left" vertical="top"/>
    </xf>
    <xf numFmtId="165" fontId="16" fillId="7" borderId="1" xfId="2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right" vertical="top" wrapText="1"/>
    </xf>
    <xf numFmtId="167" fontId="0" fillId="4" borderId="0" xfId="0" applyNumberFormat="1" applyFill="1" applyBorder="1" applyAlignment="1">
      <alignment horizontal="center" vertical="top"/>
    </xf>
    <xf numFmtId="167" fontId="18" fillId="8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right" vertical="center"/>
    </xf>
    <xf numFmtId="164" fontId="18" fillId="9" borderId="1" xfId="0" applyNumberFormat="1" applyFont="1" applyFill="1" applyBorder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Cascade</a:t>
            </a:r>
            <a:r>
              <a:rPr lang="en-US" baseline="0"/>
              <a:t> Chinook Production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'JULIA production'!$S$3</c:f>
              <c:strCache>
                <c:ptCount val="1"/>
                <c:pt idx="0">
                  <c:v>DC101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'JULIA production'!$T$2:$DE$2</c:f>
              <c:strCache>
                <c:ptCount val="3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  <c:pt idx="38">
                  <c:v>MAX</c:v>
                </c:pt>
              </c:strCache>
            </c:strRef>
          </c:xVal>
          <c:yVal>
            <c:numRef>
              <c:f>'JULIA production'!$T$3:$DE$3</c:f>
              <c:numCache>
                <c:formatCode>_(* #,##0_);_(* \(#,##0\);_(* "-"??_);_(@_)</c:formatCode>
                <c:ptCount val="90"/>
                <c:pt idx="0">
                  <c:v>9408.2903225806458</c:v>
                </c:pt>
                <c:pt idx="1">
                  <c:v>11244.032258064517</c:v>
                </c:pt>
                <c:pt idx="2">
                  <c:v>9106.5862068965525</c:v>
                </c:pt>
                <c:pt idx="3">
                  <c:v>9923.2258064516136</c:v>
                </c:pt>
                <c:pt idx="4">
                  <c:v>9675.5666666666675</c:v>
                </c:pt>
                <c:pt idx="5">
                  <c:v>8985.2333333333336</c:v>
                </c:pt>
                <c:pt idx="6">
                  <c:v>8707.8387096774186</c:v>
                </c:pt>
                <c:pt idx="7">
                  <c:v>8088.9285714285716</c:v>
                </c:pt>
                <c:pt idx="8">
                  <c:v>6614.1935483870966</c:v>
                </c:pt>
                <c:pt idx="9">
                  <c:v>6293.9666666666662</c:v>
                </c:pt>
                <c:pt idx="10">
                  <c:v>6416.8387096774195</c:v>
                </c:pt>
                <c:pt idx="11">
                  <c:v>5412</c:v>
                </c:pt>
                <c:pt idx="12">
                  <c:v>5845.7096774193551</c:v>
                </c:pt>
                <c:pt idx="13">
                  <c:v>5572.166666666667</c:v>
                </c:pt>
                <c:pt idx="14">
                  <c:v>6483.5357142857147</c:v>
                </c:pt>
                <c:pt idx="15">
                  <c:v>5125</c:v>
                </c:pt>
                <c:pt idx="16">
                  <c:v>5752.5333333333338</c:v>
                </c:pt>
                <c:pt idx="17">
                  <c:v>5784.0645161290322</c:v>
                </c:pt>
                <c:pt idx="18">
                  <c:v>4984.76</c:v>
                </c:pt>
                <c:pt idx="19">
                  <c:v>5131.3571428571431</c:v>
                </c:pt>
                <c:pt idx="20">
                  <c:v>5437.0645161290322</c:v>
                </c:pt>
                <c:pt idx="21">
                  <c:v>5226.8999999999996</c:v>
                </c:pt>
                <c:pt idx="22">
                  <c:v>5226.8999999999996</c:v>
                </c:pt>
                <c:pt idx="23">
                  <c:v>5533.3</c:v>
                </c:pt>
                <c:pt idx="24">
                  <c:v>5260.1034482758623</c:v>
                </c:pt>
                <c:pt idx="25">
                  <c:v>5502.8064516129034</c:v>
                </c:pt>
                <c:pt idx="26">
                  <c:v>5385.666666666667</c:v>
                </c:pt>
                <c:pt idx="27">
                  <c:v>5484.5161290322585</c:v>
                </c:pt>
                <c:pt idx="28">
                  <c:v>5364.2</c:v>
                </c:pt>
                <c:pt idx="29">
                  <c:v>5152</c:v>
                </c:pt>
                <c:pt idx="30">
                  <c:v>5088.1612903225805</c:v>
                </c:pt>
                <c:pt idx="31">
                  <c:v>5064.1785714285716</c:v>
                </c:pt>
                <c:pt idx="32">
                  <c:v>4756.0645161290322</c:v>
                </c:pt>
                <c:pt idx="33">
                  <c:v>4661.7666666666664</c:v>
                </c:pt>
                <c:pt idx="34">
                  <c:v>4853.666666666667</c:v>
                </c:pt>
                <c:pt idx="35">
                  <c:v>4620.5333333333338</c:v>
                </c:pt>
                <c:pt idx="36">
                  <c:v>3135.5833333333335</c:v>
                </c:pt>
                <c:pt idx="37">
                  <c:v>3883.3870967741937</c:v>
                </c:pt>
                <c:pt idx="38" formatCode="_(* #,##0.00_);_(* \(#,##0.00\);_(* &quot;-&quot;??_);_(@_)">
                  <c:v>11244.032258064517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F-493F-9E96-144994D99CC7}"/>
            </c:ext>
          </c:extLst>
        </c:ser>
        <c:ser>
          <c:idx val="1"/>
          <c:order val="1"/>
          <c:tx>
            <c:strRef>
              <c:f>'JULIA production'!$S$4</c:f>
              <c:strCache>
                <c:ptCount val="1"/>
                <c:pt idx="0">
                  <c:v>JU102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'JULIA production'!$T$2:$DE$2</c:f>
              <c:strCache>
                <c:ptCount val="3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  <c:pt idx="38">
                  <c:v>MAX</c:v>
                </c:pt>
              </c:strCache>
            </c:strRef>
          </c:xVal>
          <c:yVal>
            <c:numRef>
              <c:f>'JULIA production'!$T$4:$DE$4</c:f>
              <c:numCache>
                <c:formatCode>_(* #,##0_);_(* \(#,##0\);_(* "-"??_);_(@_)</c:formatCode>
                <c:ptCount val="90"/>
                <c:pt idx="0">
                  <c:v>6169.1935483870966</c:v>
                </c:pt>
                <c:pt idx="1">
                  <c:v>5745.6129032258068</c:v>
                </c:pt>
                <c:pt idx="2">
                  <c:v>5915.2413793103451</c:v>
                </c:pt>
                <c:pt idx="3">
                  <c:v>6034.7419354838712</c:v>
                </c:pt>
                <c:pt idx="4">
                  <c:v>5522.9</c:v>
                </c:pt>
                <c:pt idx="5">
                  <c:v>5298.4827586206893</c:v>
                </c:pt>
                <c:pt idx="6">
                  <c:v>5376.5806451612907</c:v>
                </c:pt>
                <c:pt idx="7">
                  <c:v>5101.6785714285716</c:v>
                </c:pt>
                <c:pt idx="8">
                  <c:v>4040.2666666666669</c:v>
                </c:pt>
                <c:pt idx="9">
                  <c:v>3906.6333333333332</c:v>
                </c:pt>
                <c:pt idx="10">
                  <c:v>4251.4193548387093</c:v>
                </c:pt>
                <c:pt idx="11">
                  <c:v>4235.1785714285716</c:v>
                </c:pt>
                <c:pt idx="12">
                  <c:v>4424.5483870967746</c:v>
                </c:pt>
                <c:pt idx="13">
                  <c:v>4230.7333333333336</c:v>
                </c:pt>
                <c:pt idx="14">
                  <c:v>4798.8928571428569</c:v>
                </c:pt>
                <c:pt idx="15">
                  <c:v>3254.8928571428573</c:v>
                </c:pt>
                <c:pt idx="16">
                  <c:v>3803.1</c:v>
                </c:pt>
                <c:pt idx="17">
                  <c:v>4095.2580645161293</c:v>
                </c:pt>
                <c:pt idx="18">
                  <c:v>3736.28</c:v>
                </c:pt>
                <c:pt idx="19">
                  <c:v>3749.0714285714284</c:v>
                </c:pt>
                <c:pt idx="20">
                  <c:v>4016.6774193548385</c:v>
                </c:pt>
                <c:pt idx="21">
                  <c:v>3891.5333333333333</c:v>
                </c:pt>
                <c:pt idx="22">
                  <c:v>4121.5483870967746</c:v>
                </c:pt>
                <c:pt idx="23">
                  <c:v>4086.4333333333334</c:v>
                </c:pt>
                <c:pt idx="24">
                  <c:v>3587.3103448275861</c:v>
                </c:pt>
                <c:pt idx="25">
                  <c:v>3765.1935483870966</c:v>
                </c:pt>
                <c:pt idx="26">
                  <c:v>3676.7</c:v>
                </c:pt>
                <c:pt idx="27">
                  <c:v>3224.2903225806454</c:v>
                </c:pt>
                <c:pt idx="28">
                  <c:v>2955.1</c:v>
                </c:pt>
                <c:pt idx="29">
                  <c:v>2812.2580645161293</c:v>
                </c:pt>
                <c:pt idx="30">
                  <c:v>2825.9032258064517</c:v>
                </c:pt>
                <c:pt idx="31">
                  <c:v>2938.8571428571427</c:v>
                </c:pt>
                <c:pt idx="32">
                  <c:v>2825.9354838709678</c:v>
                </c:pt>
                <c:pt idx="33">
                  <c:v>3438.7333333333331</c:v>
                </c:pt>
                <c:pt idx="34">
                  <c:v>3449.4761904761904</c:v>
                </c:pt>
                <c:pt idx="35">
                  <c:v>3448.0666666666666</c:v>
                </c:pt>
                <c:pt idx="36">
                  <c:v>3325.1379310344828</c:v>
                </c:pt>
                <c:pt idx="37">
                  <c:v>3467.0967741935483</c:v>
                </c:pt>
                <c:pt idx="38" formatCode="_(* #,##0.00_);_(* \(#,##0.00\);_(* &quot;-&quot;??_);_(@_)">
                  <c:v>6169.1935483870966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2F-493F-9E96-144994D99CC7}"/>
            </c:ext>
          </c:extLst>
        </c:ser>
        <c:ser>
          <c:idx val="2"/>
          <c:order val="2"/>
          <c:tx>
            <c:strRef>
              <c:f>'JULIA production'!$S$5</c:f>
              <c:strCache>
                <c:ptCount val="1"/>
                <c:pt idx="0">
                  <c:v>JU103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'JULIA production'!$T$2:$DE$2</c:f>
              <c:strCache>
                <c:ptCount val="3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  <c:pt idx="38">
                  <c:v>MAX</c:v>
                </c:pt>
              </c:strCache>
            </c:strRef>
          </c:xVal>
          <c:yVal>
            <c:numRef>
              <c:f>'JULIA production'!$T$5:$DE$5</c:f>
              <c:numCache>
                <c:formatCode>_(* #,##0_);_(* \(#,##0\);_(* "-"??_);_(@_)</c:formatCode>
                <c:ptCount val="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2F-493F-9E96-144994D99CC7}"/>
            </c:ext>
          </c:extLst>
        </c:ser>
        <c:ser>
          <c:idx val="3"/>
          <c:order val="3"/>
          <c:tx>
            <c:strRef>
              <c:f>'JULIA production'!$S$6</c:f>
              <c:strCache>
                <c:ptCount val="1"/>
                <c:pt idx="0">
                  <c:v>JU104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'JULIA production'!$T$2:$DE$2</c:f>
              <c:strCache>
                <c:ptCount val="3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  <c:pt idx="38">
                  <c:v>MAX</c:v>
                </c:pt>
              </c:strCache>
            </c:strRef>
          </c:xVal>
          <c:yVal>
            <c:numRef>
              <c:f>'JULIA production'!$T$6:$DE$6</c:f>
              <c:numCache>
                <c:formatCode>_(* #,##0_);_(* \(#,##0\);_(* "-"??_);_(@_)</c:formatCode>
                <c:ptCount val="90"/>
                <c:pt idx="15">
                  <c:v>0</c:v>
                </c:pt>
                <c:pt idx="16">
                  <c:v>7567.5</c:v>
                </c:pt>
                <c:pt idx="17">
                  <c:v>6837.4516129032254</c:v>
                </c:pt>
                <c:pt idx="18">
                  <c:v>7605.4</c:v>
                </c:pt>
                <c:pt idx="19">
                  <c:v>8147.8214285714284</c:v>
                </c:pt>
                <c:pt idx="20">
                  <c:v>8723.2258064516136</c:v>
                </c:pt>
                <c:pt idx="21">
                  <c:v>9278.3666666666668</c:v>
                </c:pt>
                <c:pt idx="22">
                  <c:v>9854.4838709677424</c:v>
                </c:pt>
                <c:pt idx="23">
                  <c:v>9954.1333333333332</c:v>
                </c:pt>
                <c:pt idx="24">
                  <c:v>9340.4137931034475</c:v>
                </c:pt>
                <c:pt idx="25">
                  <c:v>10482</c:v>
                </c:pt>
                <c:pt idx="26">
                  <c:v>10915.633333333333</c:v>
                </c:pt>
                <c:pt idx="27">
                  <c:v>11617.935483870968</c:v>
                </c:pt>
                <c:pt idx="28">
                  <c:v>12213.533333333333</c:v>
                </c:pt>
                <c:pt idx="29">
                  <c:v>12236.41935483871</c:v>
                </c:pt>
                <c:pt idx="30">
                  <c:v>12785.387096774193</c:v>
                </c:pt>
                <c:pt idx="31">
                  <c:v>13338.535714285714</c:v>
                </c:pt>
                <c:pt idx="32">
                  <c:v>12841.193548387097</c:v>
                </c:pt>
                <c:pt idx="33">
                  <c:v>13124.566666666668</c:v>
                </c:pt>
                <c:pt idx="34">
                  <c:v>13197.523809523809</c:v>
                </c:pt>
                <c:pt idx="35">
                  <c:v>12972.366666666667</c:v>
                </c:pt>
                <c:pt idx="36">
                  <c:v>12123.51724137931</c:v>
                </c:pt>
                <c:pt idx="37">
                  <c:v>13059.677419354839</c:v>
                </c:pt>
                <c:pt idx="38" formatCode="_(* #,##0.00_);_(* \(#,##0.00\);_(* &quot;-&quot;??_);_(@_)">
                  <c:v>13338.535714285714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2F-493F-9E96-144994D99CC7}"/>
            </c:ext>
          </c:extLst>
        </c:ser>
        <c:ser>
          <c:idx val="4"/>
          <c:order val="4"/>
          <c:tx>
            <c:strRef>
              <c:f>'JULIA production'!$S$7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'JULIA production'!$T$2:$DE$2</c:f>
              <c:strCache>
                <c:ptCount val="3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  <c:pt idx="38">
                  <c:v>MAX</c:v>
                </c:pt>
              </c:strCache>
            </c:strRef>
          </c:xVal>
          <c:yVal>
            <c:numRef>
              <c:f>'JULIA production'!$T$7:$DE$7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2F-493F-9E96-144994D9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20736"/>
        <c:axId val="454124672"/>
      </c:scatterChart>
      <c:valAx>
        <c:axId val="4541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24672"/>
        <c:crosses val="autoZero"/>
        <c:crossBetween val="midCat"/>
      </c:valAx>
      <c:valAx>
        <c:axId val="454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</a:t>
                </a:r>
                <a:r>
                  <a:rPr lang="en-US" baseline="0"/>
                  <a:t> Production bbl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Exxon</a:t>
            </a:r>
            <a:r>
              <a:rPr lang="en-US" sz="3600" b="1" baseline="0"/>
              <a:t> Julia Production History</a:t>
            </a:r>
            <a:endParaRPr lang="en-US" sz="3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'JULIA production'!$S$3</c:f>
              <c:strCache>
                <c:ptCount val="1"/>
                <c:pt idx="0">
                  <c:v>DC101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'JULIA production'!$T$2:$BE$2</c:f>
              <c:strCache>
                <c:ptCount val="3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</c:strCache>
            </c:strRef>
          </c:cat>
          <c:val>
            <c:numRef>
              <c:f>'JULIA production'!$T$3:$BE$3</c:f>
              <c:numCache>
                <c:formatCode>_(* #,##0_);_(* \(#,##0\);_(* "-"??_);_(@_)</c:formatCode>
                <c:ptCount val="38"/>
                <c:pt idx="0">
                  <c:v>9408.2903225806458</c:v>
                </c:pt>
                <c:pt idx="1">
                  <c:v>11244.032258064517</c:v>
                </c:pt>
                <c:pt idx="2">
                  <c:v>9106.5862068965525</c:v>
                </c:pt>
                <c:pt idx="3">
                  <c:v>9923.2258064516136</c:v>
                </c:pt>
                <c:pt idx="4">
                  <c:v>9675.5666666666675</c:v>
                </c:pt>
                <c:pt idx="5">
                  <c:v>8985.2333333333336</c:v>
                </c:pt>
                <c:pt idx="6">
                  <c:v>8707.8387096774186</c:v>
                </c:pt>
                <c:pt idx="7">
                  <c:v>8088.9285714285716</c:v>
                </c:pt>
                <c:pt idx="8">
                  <c:v>6614.1935483870966</c:v>
                </c:pt>
                <c:pt idx="9">
                  <c:v>6293.9666666666662</c:v>
                </c:pt>
                <c:pt idx="10">
                  <c:v>6416.8387096774195</c:v>
                </c:pt>
                <c:pt idx="11">
                  <c:v>5412</c:v>
                </c:pt>
                <c:pt idx="12">
                  <c:v>5845.7096774193551</c:v>
                </c:pt>
                <c:pt idx="13">
                  <c:v>5572.166666666667</c:v>
                </c:pt>
                <c:pt idx="14">
                  <c:v>6483.5357142857147</c:v>
                </c:pt>
                <c:pt idx="15">
                  <c:v>5125</c:v>
                </c:pt>
                <c:pt idx="16">
                  <c:v>5752.5333333333338</c:v>
                </c:pt>
                <c:pt idx="17">
                  <c:v>5784.0645161290322</c:v>
                </c:pt>
                <c:pt idx="18">
                  <c:v>4984.76</c:v>
                </c:pt>
                <c:pt idx="19">
                  <c:v>5131.3571428571431</c:v>
                </c:pt>
                <c:pt idx="20">
                  <c:v>5437.0645161290322</c:v>
                </c:pt>
                <c:pt idx="21">
                  <c:v>5226.8999999999996</c:v>
                </c:pt>
                <c:pt idx="22">
                  <c:v>5226.8999999999996</c:v>
                </c:pt>
                <c:pt idx="23">
                  <c:v>5533.3</c:v>
                </c:pt>
                <c:pt idx="24">
                  <c:v>5260.1034482758623</c:v>
                </c:pt>
                <c:pt idx="25">
                  <c:v>5502.8064516129034</c:v>
                </c:pt>
                <c:pt idx="26">
                  <c:v>5385.666666666667</c:v>
                </c:pt>
                <c:pt idx="27">
                  <c:v>5484.5161290322585</c:v>
                </c:pt>
                <c:pt idx="28">
                  <c:v>5364.2</c:v>
                </c:pt>
                <c:pt idx="29">
                  <c:v>5152</c:v>
                </c:pt>
                <c:pt idx="30">
                  <c:v>5088.1612903225805</c:v>
                </c:pt>
                <c:pt idx="31">
                  <c:v>5064.1785714285716</c:v>
                </c:pt>
                <c:pt idx="32">
                  <c:v>4756.0645161290322</c:v>
                </c:pt>
                <c:pt idx="33">
                  <c:v>4661.7666666666664</c:v>
                </c:pt>
                <c:pt idx="34">
                  <c:v>4853.666666666667</c:v>
                </c:pt>
                <c:pt idx="35">
                  <c:v>4620.5333333333338</c:v>
                </c:pt>
                <c:pt idx="36">
                  <c:v>3135.5833333333335</c:v>
                </c:pt>
                <c:pt idx="37">
                  <c:v>3883.3870967741937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7-4043-84C2-DDB3E2BAF0AF}"/>
            </c:ext>
          </c:extLst>
        </c:ser>
        <c:ser>
          <c:idx val="1"/>
          <c:order val="1"/>
          <c:tx>
            <c:strRef>
              <c:f>'JULIA production'!$S$4</c:f>
              <c:strCache>
                <c:ptCount val="1"/>
                <c:pt idx="0">
                  <c:v>JU102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'JULIA production'!$T$2:$BE$2</c:f>
              <c:strCache>
                <c:ptCount val="3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</c:strCache>
            </c:strRef>
          </c:cat>
          <c:val>
            <c:numRef>
              <c:f>'JULIA production'!$T$4:$BE$4</c:f>
              <c:numCache>
                <c:formatCode>_(* #,##0_);_(* \(#,##0\);_(* "-"??_);_(@_)</c:formatCode>
                <c:ptCount val="38"/>
                <c:pt idx="0">
                  <c:v>6169.1935483870966</c:v>
                </c:pt>
                <c:pt idx="1">
                  <c:v>5745.6129032258068</c:v>
                </c:pt>
                <c:pt idx="2">
                  <c:v>5915.2413793103451</c:v>
                </c:pt>
                <c:pt idx="3">
                  <c:v>6034.7419354838712</c:v>
                </c:pt>
                <c:pt idx="4">
                  <c:v>5522.9</c:v>
                </c:pt>
                <c:pt idx="5">
                  <c:v>5298.4827586206893</c:v>
                </c:pt>
                <c:pt idx="6">
                  <c:v>5376.5806451612907</c:v>
                </c:pt>
                <c:pt idx="7">
                  <c:v>5101.6785714285716</c:v>
                </c:pt>
                <c:pt idx="8">
                  <c:v>4040.2666666666669</c:v>
                </c:pt>
                <c:pt idx="9">
                  <c:v>3906.6333333333332</c:v>
                </c:pt>
                <c:pt idx="10">
                  <c:v>4251.4193548387093</c:v>
                </c:pt>
                <c:pt idx="11">
                  <c:v>4235.1785714285716</c:v>
                </c:pt>
                <c:pt idx="12">
                  <c:v>4424.5483870967746</c:v>
                </c:pt>
                <c:pt idx="13">
                  <c:v>4230.7333333333336</c:v>
                </c:pt>
                <c:pt idx="14">
                  <c:v>4798.8928571428569</c:v>
                </c:pt>
                <c:pt idx="15">
                  <c:v>3254.8928571428573</c:v>
                </c:pt>
                <c:pt idx="16">
                  <c:v>3803.1</c:v>
                </c:pt>
                <c:pt idx="17">
                  <c:v>4095.2580645161293</c:v>
                </c:pt>
                <c:pt idx="18">
                  <c:v>3736.28</c:v>
                </c:pt>
                <c:pt idx="19">
                  <c:v>3749.0714285714284</c:v>
                </c:pt>
                <c:pt idx="20">
                  <c:v>4016.6774193548385</c:v>
                </c:pt>
                <c:pt idx="21">
                  <c:v>3891.5333333333333</c:v>
                </c:pt>
                <c:pt idx="22">
                  <c:v>4121.5483870967746</c:v>
                </c:pt>
                <c:pt idx="23">
                  <c:v>4086.4333333333334</c:v>
                </c:pt>
                <c:pt idx="24">
                  <c:v>3587.3103448275861</c:v>
                </c:pt>
                <c:pt idx="25">
                  <c:v>3765.1935483870966</c:v>
                </c:pt>
                <c:pt idx="26">
                  <c:v>3676.7</c:v>
                </c:pt>
                <c:pt idx="27">
                  <c:v>3224.2903225806454</c:v>
                </c:pt>
                <c:pt idx="28">
                  <c:v>2955.1</c:v>
                </c:pt>
                <c:pt idx="29">
                  <c:v>2812.2580645161293</c:v>
                </c:pt>
                <c:pt idx="30">
                  <c:v>2825.9032258064517</c:v>
                </c:pt>
                <c:pt idx="31">
                  <c:v>2938.8571428571427</c:v>
                </c:pt>
                <c:pt idx="32">
                  <c:v>2825.9354838709678</c:v>
                </c:pt>
                <c:pt idx="33">
                  <c:v>3438.7333333333331</c:v>
                </c:pt>
                <c:pt idx="34">
                  <c:v>3449.4761904761904</c:v>
                </c:pt>
                <c:pt idx="35">
                  <c:v>3448.0666666666666</c:v>
                </c:pt>
                <c:pt idx="36">
                  <c:v>3325.1379310344828</c:v>
                </c:pt>
                <c:pt idx="37">
                  <c:v>3467.0967741935483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7-4043-84C2-DDB3E2BAF0AF}"/>
            </c:ext>
          </c:extLst>
        </c:ser>
        <c:ser>
          <c:idx val="2"/>
          <c:order val="2"/>
          <c:tx>
            <c:strRef>
              <c:f>'JULIA production'!$S$5</c:f>
              <c:strCache>
                <c:ptCount val="1"/>
                <c:pt idx="0">
                  <c:v>JU103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'JULIA production'!$T$2:$BE$2</c:f>
              <c:strCache>
                <c:ptCount val="3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</c:strCache>
            </c:strRef>
          </c:cat>
          <c:val>
            <c:numRef>
              <c:f>'JULIA production'!$T$5:$BE$5</c:f>
              <c:numCache>
                <c:formatCode>_(* #,##0_);_(* \(#,##0\);_(* "-"??_);_(@_)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7-4043-84C2-DDB3E2BAF0AF}"/>
            </c:ext>
          </c:extLst>
        </c:ser>
        <c:ser>
          <c:idx val="3"/>
          <c:order val="3"/>
          <c:tx>
            <c:strRef>
              <c:f>'JULIA production'!$S$6</c:f>
              <c:strCache>
                <c:ptCount val="1"/>
                <c:pt idx="0">
                  <c:v>JU104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'JULIA production'!$T$2:$BE$2</c:f>
              <c:strCache>
                <c:ptCount val="3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</c:strCache>
            </c:strRef>
          </c:cat>
          <c:val>
            <c:numRef>
              <c:f>'JULIA production'!$T$6:$BE$6</c:f>
              <c:numCache>
                <c:formatCode>_(* #,##0_);_(* \(#,##0\);_(* "-"??_);_(@_)</c:formatCode>
                <c:ptCount val="38"/>
                <c:pt idx="15">
                  <c:v>0</c:v>
                </c:pt>
                <c:pt idx="16">
                  <c:v>7567.5</c:v>
                </c:pt>
                <c:pt idx="17">
                  <c:v>6837.4516129032254</c:v>
                </c:pt>
                <c:pt idx="18">
                  <c:v>7605.4</c:v>
                </c:pt>
                <c:pt idx="19">
                  <c:v>8147.8214285714284</c:v>
                </c:pt>
                <c:pt idx="20">
                  <c:v>8723.2258064516136</c:v>
                </c:pt>
                <c:pt idx="21">
                  <c:v>9278.3666666666668</c:v>
                </c:pt>
                <c:pt idx="22">
                  <c:v>9854.4838709677424</c:v>
                </c:pt>
                <c:pt idx="23">
                  <c:v>9954.1333333333332</c:v>
                </c:pt>
                <c:pt idx="24">
                  <c:v>9340.4137931034475</c:v>
                </c:pt>
                <c:pt idx="25">
                  <c:v>10482</c:v>
                </c:pt>
                <c:pt idx="26">
                  <c:v>10915.633333333333</c:v>
                </c:pt>
                <c:pt idx="27">
                  <c:v>11617.935483870968</c:v>
                </c:pt>
                <c:pt idx="28">
                  <c:v>12213.533333333333</c:v>
                </c:pt>
                <c:pt idx="29">
                  <c:v>12236.41935483871</c:v>
                </c:pt>
                <c:pt idx="30">
                  <c:v>12785.387096774193</c:v>
                </c:pt>
                <c:pt idx="31">
                  <c:v>13338.535714285714</c:v>
                </c:pt>
                <c:pt idx="32">
                  <c:v>12841.193548387097</c:v>
                </c:pt>
                <c:pt idx="33">
                  <c:v>13124.566666666668</c:v>
                </c:pt>
                <c:pt idx="34">
                  <c:v>13197.523809523809</c:v>
                </c:pt>
                <c:pt idx="35">
                  <c:v>12972.366666666667</c:v>
                </c:pt>
                <c:pt idx="36">
                  <c:v>12123.51724137931</c:v>
                </c:pt>
                <c:pt idx="37">
                  <c:v>13059.677419354839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7-4043-84C2-DDB3E2BA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75640"/>
        <c:axId val="568271048"/>
      </c:lineChart>
      <c:catAx>
        <c:axId val="5682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1048"/>
        <c:crosses val="autoZero"/>
        <c:auto val="1"/>
        <c:lblAlgn val="ctr"/>
        <c:lblOffset val="100"/>
        <c:noMultiLvlLbl val="0"/>
      </c:catAx>
      <c:valAx>
        <c:axId val="5682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JULIA Moly AVG DAILY bopd </a:t>
            </a:r>
            <a:r>
              <a:rPr lang="en-US" sz="2000" b="1"/>
              <a:t>(BOEM data)</a:t>
            </a:r>
            <a:endParaRPr lang="en-US" sz="2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'JULIA production'!$S$8</c:f>
              <c:strCache>
                <c:ptCount val="1"/>
                <c:pt idx="0">
                  <c:v>TOTAL Avg Moly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'JULIA production'!$T$7:$BE$7</c:f>
              <c:strCache>
                <c:ptCount val="3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</c:strCache>
            </c:strRef>
          </c:cat>
          <c:val>
            <c:numRef>
              <c:f>'JULIA production'!$T$8:$BE$8</c:f>
              <c:numCache>
                <c:formatCode>_(* #,##0_);_(* \(#,##0\);_(* "-"??_);_(@_)</c:formatCode>
                <c:ptCount val="38"/>
                <c:pt idx="0">
                  <c:v>15577.483870967742</c:v>
                </c:pt>
                <c:pt idx="1">
                  <c:v>16989.645161290326</c:v>
                </c:pt>
                <c:pt idx="2">
                  <c:v>15021.827586206899</c:v>
                </c:pt>
                <c:pt idx="3">
                  <c:v>15957.967741935485</c:v>
                </c:pt>
                <c:pt idx="4">
                  <c:v>15198.466666666667</c:v>
                </c:pt>
                <c:pt idx="5">
                  <c:v>14283.716091954022</c:v>
                </c:pt>
                <c:pt idx="6">
                  <c:v>14084.419354838708</c:v>
                </c:pt>
                <c:pt idx="7">
                  <c:v>13190.607142857143</c:v>
                </c:pt>
                <c:pt idx="8">
                  <c:v>10654.460215053763</c:v>
                </c:pt>
                <c:pt idx="9">
                  <c:v>10200.599999999999</c:v>
                </c:pt>
                <c:pt idx="10">
                  <c:v>10668.258064516129</c:v>
                </c:pt>
                <c:pt idx="11">
                  <c:v>9647.1785714285725</c:v>
                </c:pt>
                <c:pt idx="12">
                  <c:v>10270.258064516129</c:v>
                </c:pt>
                <c:pt idx="13">
                  <c:v>9802.9000000000015</c:v>
                </c:pt>
                <c:pt idx="14">
                  <c:v>11282.428571428572</c:v>
                </c:pt>
                <c:pt idx="15">
                  <c:v>8379.8928571428569</c:v>
                </c:pt>
                <c:pt idx="16">
                  <c:v>17123.133333333331</c:v>
                </c:pt>
                <c:pt idx="17">
                  <c:v>16716.774193548386</c:v>
                </c:pt>
                <c:pt idx="18">
                  <c:v>16326.44</c:v>
                </c:pt>
                <c:pt idx="19">
                  <c:v>17028.25</c:v>
                </c:pt>
                <c:pt idx="20">
                  <c:v>18176.967741935485</c:v>
                </c:pt>
                <c:pt idx="21">
                  <c:v>18396.8</c:v>
                </c:pt>
                <c:pt idx="22">
                  <c:v>19202.932258064517</c:v>
                </c:pt>
                <c:pt idx="23">
                  <c:v>19573.866666666669</c:v>
                </c:pt>
                <c:pt idx="24">
                  <c:v>18187.827586206899</c:v>
                </c:pt>
                <c:pt idx="25">
                  <c:v>19750</c:v>
                </c:pt>
                <c:pt idx="26">
                  <c:v>19978</c:v>
                </c:pt>
                <c:pt idx="27">
                  <c:v>20326.741935483871</c:v>
                </c:pt>
                <c:pt idx="28">
                  <c:v>20532.833333333332</c:v>
                </c:pt>
                <c:pt idx="29">
                  <c:v>20200.677419354841</c:v>
                </c:pt>
                <c:pt idx="30">
                  <c:v>20699.451612903227</c:v>
                </c:pt>
                <c:pt idx="31">
                  <c:v>21341.571428571428</c:v>
                </c:pt>
                <c:pt idx="32">
                  <c:v>20423.193548387098</c:v>
                </c:pt>
                <c:pt idx="33">
                  <c:v>21225.066666666666</c:v>
                </c:pt>
                <c:pt idx="34">
                  <c:v>21500.666666666664</c:v>
                </c:pt>
                <c:pt idx="35">
                  <c:v>21040.966666666667</c:v>
                </c:pt>
                <c:pt idx="36">
                  <c:v>18584.238505747126</c:v>
                </c:pt>
                <c:pt idx="37">
                  <c:v>20410.161290322583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2-49D3-9DDC-CA6876D8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75640"/>
        <c:axId val="568271048"/>
      </c:lineChart>
      <c:catAx>
        <c:axId val="5682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1048"/>
        <c:crosses val="autoZero"/>
        <c:auto val="1"/>
        <c:lblAlgn val="ctr"/>
        <c:lblOffset val="100"/>
        <c:noMultiLvlLbl val="0"/>
      </c:catAx>
      <c:valAx>
        <c:axId val="5682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Brent Mo'ly Abvg. Spot Price FOB ($/bbl) 2014-2019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Prices'!$E$12</c:f>
              <c:strCache>
                <c:ptCount val="1"/>
                <c:pt idx="0">
                  <c:v>BRENT Monthly Avg. 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'Oil Prices'!$F$11:$BY$11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'Oil Prices'!$F$12:$BY$12</c:f>
              <c:numCache>
                <c:formatCode>"$"#,##0.00</c:formatCode>
                <c:ptCount val="72"/>
                <c:pt idx="0">
                  <c:v>108.12</c:v>
                </c:pt>
                <c:pt idx="1">
                  <c:v>108.9</c:v>
                </c:pt>
                <c:pt idx="2">
                  <c:v>107.48</c:v>
                </c:pt>
                <c:pt idx="3">
                  <c:v>107.76</c:v>
                </c:pt>
                <c:pt idx="4">
                  <c:v>109.54</c:v>
                </c:pt>
                <c:pt idx="5">
                  <c:v>111.8</c:v>
                </c:pt>
                <c:pt idx="6">
                  <c:v>106.77</c:v>
                </c:pt>
                <c:pt idx="7">
                  <c:v>101.61</c:v>
                </c:pt>
                <c:pt idx="8">
                  <c:v>97.09</c:v>
                </c:pt>
                <c:pt idx="9">
                  <c:v>87.43</c:v>
                </c:pt>
                <c:pt idx="10">
                  <c:v>79.44</c:v>
                </c:pt>
                <c:pt idx="11">
                  <c:v>62.34</c:v>
                </c:pt>
                <c:pt idx="12">
                  <c:v>47.76</c:v>
                </c:pt>
                <c:pt idx="13">
                  <c:v>58.1</c:v>
                </c:pt>
                <c:pt idx="14">
                  <c:v>55.89</c:v>
                </c:pt>
                <c:pt idx="15">
                  <c:v>59.52</c:v>
                </c:pt>
                <c:pt idx="16">
                  <c:v>64.08</c:v>
                </c:pt>
                <c:pt idx="17">
                  <c:v>61.48</c:v>
                </c:pt>
                <c:pt idx="18">
                  <c:v>56.56</c:v>
                </c:pt>
                <c:pt idx="19">
                  <c:v>46.52</c:v>
                </c:pt>
                <c:pt idx="20">
                  <c:v>47.62</c:v>
                </c:pt>
                <c:pt idx="21">
                  <c:v>48.43</c:v>
                </c:pt>
                <c:pt idx="22">
                  <c:v>44.27</c:v>
                </c:pt>
                <c:pt idx="23">
                  <c:v>38.01</c:v>
                </c:pt>
                <c:pt idx="24">
                  <c:v>30.7</c:v>
                </c:pt>
                <c:pt idx="25">
                  <c:v>32.18</c:v>
                </c:pt>
                <c:pt idx="26">
                  <c:v>38.21</c:v>
                </c:pt>
                <c:pt idx="27">
                  <c:v>41.58</c:v>
                </c:pt>
                <c:pt idx="28">
                  <c:v>46.74</c:v>
                </c:pt>
                <c:pt idx="29">
                  <c:v>48.25</c:v>
                </c:pt>
                <c:pt idx="30">
                  <c:v>44.95</c:v>
                </c:pt>
                <c:pt idx="31">
                  <c:v>45.84</c:v>
                </c:pt>
                <c:pt idx="32">
                  <c:v>46.57</c:v>
                </c:pt>
                <c:pt idx="33">
                  <c:v>49.52</c:v>
                </c:pt>
                <c:pt idx="34">
                  <c:v>44.73</c:v>
                </c:pt>
                <c:pt idx="35">
                  <c:v>53.31</c:v>
                </c:pt>
                <c:pt idx="36">
                  <c:v>54.58</c:v>
                </c:pt>
                <c:pt idx="37">
                  <c:v>54.87</c:v>
                </c:pt>
                <c:pt idx="38">
                  <c:v>51.59</c:v>
                </c:pt>
                <c:pt idx="39">
                  <c:v>52.31</c:v>
                </c:pt>
                <c:pt idx="40">
                  <c:v>50.33</c:v>
                </c:pt>
                <c:pt idx="41">
                  <c:v>46.37</c:v>
                </c:pt>
                <c:pt idx="42">
                  <c:v>48.48</c:v>
                </c:pt>
                <c:pt idx="43">
                  <c:v>51.7</c:v>
                </c:pt>
                <c:pt idx="44">
                  <c:v>56.15</c:v>
                </c:pt>
                <c:pt idx="45">
                  <c:v>57.51</c:v>
                </c:pt>
                <c:pt idx="46">
                  <c:v>62.71</c:v>
                </c:pt>
                <c:pt idx="47">
                  <c:v>64.37</c:v>
                </c:pt>
                <c:pt idx="48">
                  <c:v>69.08</c:v>
                </c:pt>
                <c:pt idx="49">
                  <c:v>65.319999999999993</c:v>
                </c:pt>
                <c:pt idx="50">
                  <c:v>66.02</c:v>
                </c:pt>
                <c:pt idx="51">
                  <c:v>72.11</c:v>
                </c:pt>
                <c:pt idx="52">
                  <c:v>76.98</c:v>
                </c:pt>
                <c:pt idx="53">
                  <c:v>74.41</c:v>
                </c:pt>
                <c:pt idx="54">
                  <c:v>74.25</c:v>
                </c:pt>
                <c:pt idx="55">
                  <c:v>72.53</c:v>
                </c:pt>
                <c:pt idx="56">
                  <c:v>78.89</c:v>
                </c:pt>
                <c:pt idx="57">
                  <c:v>81.03</c:v>
                </c:pt>
                <c:pt idx="58">
                  <c:v>64.75</c:v>
                </c:pt>
                <c:pt idx="59">
                  <c:v>57.36</c:v>
                </c:pt>
                <c:pt idx="60">
                  <c:v>59.41</c:v>
                </c:pt>
                <c:pt idx="61">
                  <c:v>63.96</c:v>
                </c:pt>
                <c:pt idx="62">
                  <c:v>66.14</c:v>
                </c:pt>
                <c:pt idx="63">
                  <c:v>71.23</c:v>
                </c:pt>
                <c:pt idx="64">
                  <c:v>71.319999999999993</c:v>
                </c:pt>
                <c:pt idx="65">
                  <c:v>64.22</c:v>
                </c:pt>
                <c:pt idx="66">
                  <c:v>63.92</c:v>
                </c:pt>
                <c:pt idx="67">
                  <c:v>59.04</c:v>
                </c:pt>
                <c:pt idx="68">
                  <c:v>62.83</c:v>
                </c:pt>
                <c:pt idx="69">
                  <c:v>59.71</c:v>
                </c:pt>
                <c:pt idx="70">
                  <c:v>63.21</c:v>
                </c:pt>
                <c:pt idx="71">
                  <c:v>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4-4AAB-8B6F-4ECA8F2536CE}"/>
            </c:ext>
          </c:extLst>
        </c:ser>
        <c:ser>
          <c:idx val="1"/>
          <c:order val="1"/>
          <c:tx>
            <c:strRef>
              <c:f>'Oil Prices'!$E$13</c:f>
              <c:strCache>
                <c:ptCount val="1"/>
                <c:pt idx="0">
                  <c:v>NET of OPEX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'Oil Prices'!$F$11:$BY$11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'Oil Prices'!$F$13:$BY$13</c:f>
              <c:numCache>
                <c:formatCode>"$"#,##0.00</c:formatCode>
                <c:ptCount val="72"/>
                <c:pt idx="0">
                  <c:v>93.12</c:v>
                </c:pt>
                <c:pt idx="1">
                  <c:v>93.9</c:v>
                </c:pt>
                <c:pt idx="2">
                  <c:v>92.48</c:v>
                </c:pt>
                <c:pt idx="3">
                  <c:v>92.76</c:v>
                </c:pt>
                <c:pt idx="4">
                  <c:v>94.54</c:v>
                </c:pt>
                <c:pt idx="5">
                  <c:v>96.8</c:v>
                </c:pt>
                <c:pt idx="6">
                  <c:v>91.77</c:v>
                </c:pt>
                <c:pt idx="7">
                  <c:v>86.61</c:v>
                </c:pt>
                <c:pt idx="8">
                  <c:v>82.09</c:v>
                </c:pt>
                <c:pt idx="9">
                  <c:v>72.430000000000007</c:v>
                </c:pt>
                <c:pt idx="10">
                  <c:v>64.44</c:v>
                </c:pt>
                <c:pt idx="11">
                  <c:v>47.34</c:v>
                </c:pt>
                <c:pt idx="12">
                  <c:v>32.76</c:v>
                </c:pt>
                <c:pt idx="13">
                  <c:v>43.1</c:v>
                </c:pt>
                <c:pt idx="14">
                  <c:v>40.89</c:v>
                </c:pt>
                <c:pt idx="15">
                  <c:v>44.52</c:v>
                </c:pt>
                <c:pt idx="16">
                  <c:v>49.08</c:v>
                </c:pt>
                <c:pt idx="17">
                  <c:v>46.48</c:v>
                </c:pt>
                <c:pt idx="18">
                  <c:v>41.56</c:v>
                </c:pt>
                <c:pt idx="19">
                  <c:v>31.520000000000003</c:v>
                </c:pt>
                <c:pt idx="20">
                  <c:v>32.619999999999997</c:v>
                </c:pt>
                <c:pt idx="21">
                  <c:v>33.43</c:v>
                </c:pt>
                <c:pt idx="22">
                  <c:v>29.270000000000003</c:v>
                </c:pt>
                <c:pt idx="23">
                  <c:v>23.009999999999998</c:v>
                </c:pt>
                <c:pt idx="24">
                  <c:v>15.7</c:v>
                </c:pt>
                <c:pt idx="25">
                  <c:v>17.18</c:v>
                </c:pt>
                <c:pt idx="26">
                  <c:v>23.21</c:v>
                </c:pt>
                <c:pt idx="27">
                  <c:v>26.58</c:v>
                </c:pt>
                <c:pt idx="28">
                  <c:v>31.740000000000002</c:v>
                </c:pt>
                <c:pt idx="29">
                  <c:v>33.25</c:v>
                </c:pt>
                <c:pt idx="30">
                  <c:v>29.950000000000003</c:v>
                </c:pt>
                <c:pt idx="31">
                  <c:v>30.840000000000003</c:v>
                </c:pt>
                <c:pt idx="32">
                  <c:v>31.57</c:v>
                </c:pt>
                <c:pt idx="33">
                  <c:v>34.520000000000003</c:v>
                </c:pt>
                <c:pt idx="34">
                  <c:v>29.729999999999997</c:v>
                </c:pt>
                <c:pt idx="35">
                  <c:v>38.31</c:v>
                </c:pt>
                <c:pt idx="36">
                  <c:v>39.58</c:v>
                </c:pt>
                <c:pt idx="37">
                  <c:v>39.869999999999997</c:v>
                </c:pt>
                <c:pt idx="38">
                  <c:v>36.590000000000003</c:v>
                </c:pt>
                <c:pt idx="39">
                  <c:v>37.31</c:v>
                </c:pt>
                <c:pt idx="40">
                  <c:v>35.33</c:v>
                </c:pt>
                <c:pt idx="41">
                  <c:v>31.369999999999997</c:v>
                </c:pt>
                <c:pt idx="42">
                  <c:v>33.479999999999997</c:v>
                </c:pt>
                <c:pt idx="43">
                  <c:v>36.700000000000003</c:v>
                </c:pt>
                <c:pt idx="44">
                  <c:v>41.15</c:v>
                </c:pt>
                <c:pt idx="45">
                  <c:v>42.51</c:v>
                </c:pt>
                <c:pt idx="46">
                  <c:v>47.71</c:v>
                </c:pt>
                <c:pt idx="47">
                  <c:v>49.370000000000005</c:v>
                </c:pt>
                <c:pt idx="48">
                  <c:v>54.08</c:v>
                </c:pt>
                <c:pt idx="49">
                  <c:v>50.319999999999993</c:v>
                </c:pt>
                <c:pt idx="50">
                  <c:v>51.019999999999996</c:v>
                </c:pt>
                <c:pt idx="51">
                  <c:v>57.11</c:v>
                </c:pt>
                <c:pt idx="52">
                  <c:v>61.980000000000004</c:v>
                </c:pt>
                <c:pt idx="53">
                  <c:v>59.41</c:v>
                </c:pt>
                <c:pt idx="54">
                  <c:v>59.25</c:v>
                </c:pt>
                <c:pt idx="55">
                  <c:v>57.53</c:v>
                </c:pt>
                <c:pt idx="56">
                  <c:v>63.89</c:v>
                </c:pt>
                <c:pt idx="57">
                  <c:v>66.03</c:v>
                </c:pt>
                <c:pt idx="58">
                  <c:v>49.75</c:v>
                </c:pt>
                <c:pt idx="59">
                  <c:v>42.36</c:v>
                </c:pt>
                <c:pt idx="60">
                  <c:v>44.41</c:v>
                </c:pt>
                <c:pt idx="61">
                  <c:v>48.96</c:v>
                </c:pt>
                <c:pt idx="62">
                  <c:v>51.14</c:v>
                </c:pt>
                <c:pt idx="63">
                  <c:v>56.230000000000004</c:v>
                </c:pt>
                <c:pt idx="64">
                  <c:v>56.319999999999993</c:v>
                </c:pt>
                <c:pt idx="65">
                  <c:v>49.22</c:v>
                </c:pt>
                <c:pt idx="66">
                  <c:v>48.92</c:v>
                </c:pt>
                <c:pt idx="67">
                  <c:v>44.04</c:v>
                </c:pt>
                <c:pt idx="68">
                  <c:v>47.83</c:v>
                </c:pt>
                <c:pt idx="69">
                  <c:v>44.71</c:v>
                </c:pt>
                <c:pt idx="70">
                  <c:v>48.21</c:v>
                </c:pt>
                <c:pt idx="71">
                  <c:v>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4-4AAB-8B6F-4ECA8F25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94159"/>
        <c:axId val="947530703"/>
      </c:lineChart>
      <c:catAx>
        <c:axId val="7666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30703"/>
        <c:crosses val="autoZero"/>
        <c:auto val="1"/>
        <c:lblAlgn val="ctr"/>
        <c:lblOffset val="100"/>
        <c:noMultiLvlLbl val="0"/>
      </c:catAx>
      <c:valAx>
        <c:axId val="9475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415635</xdr:colOff>
      <xdr:row>30</xdr:row>
      <xdr:rowOff>178131</xdr:rowOff>
    </xdr:from>
    <xdr:to>
      <xdr:col>110</xdr:col>
      <xdr:colOff>378327</xdr:colOff>
      <xdr:row>65</xdr:row>
      <xdr:rowOff>79169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66CE2-36F8-4ADB-99D3-5A020CAD6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52778</xdr:colOff>
      <xdr:row>28</xdr:row>
      <xdr:rowOff>168893</xdr:rowOff>
    </xdr:from>
    <xdr:to>
      <xdr:col>18</xdr:col>
      <xdr:colOff>1464622</xdr:colOff>
      <xdr:row>54</xdr:row>
      <xdr:rowOff>25563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FDFAF-0431-49E8-B323-D1248778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907141</xdr:colOff>
      <xdr:row>29</xdr:row>
      <xdr:rowOff>18143</xdr:rowOff>
    </xdr:from>
    <xdr:to>
      <xdr:col>58</xdr:col>
      <xdr:colOff>531914</xdr:colOff>
      <xdr:row>54</xdr:row>
      <xdr:rowOff>74384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26C2D-CE51-4B67-B578-1E6CA73AD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13</xdr:row>
      <xdr:rowOff>116681</xdr:rowOff>
    </xdr:from>
    <xdr:to>
      <xdr:col>18</xdr:col>
      <xdr:colOff>396875</xdr:colOff>
      <xdr:row>40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A09C7-D0DA-46C2-82E9-8E8A64C8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60"/>
  <sheetViews>
    <sheetView tabSelected="1" topLeftCell="I32" zoomScale="85" zoomScaleNormal="85" workbookViewId="0">
      <pane xSplit="11" topLeftCell="V1" activePane="topRight" state="frozen"/>
      <selection activeCell="I1" sqref="I1"/>
      <selection pane="topRight" activeCell="O55" sqref="O55"/>
    </sheetView>
  </sheetViews>
  <sheetFormatPr defaultRowHeight="13" x14ac:dyDescent="0.3"/>
  <cols>
    <col min="1" max="1" width="7.5" bestFit="1" customWidth="1"/>
    <col min="2" max="2" width="9.69921875" bestFit="1" customWidth="1"/>
    <col min="3" max="3" width="13" bestFit="1" customWidth="1"/>
    <col min="4" max="4" width="12.5" bestFit="1" customWidth="1"/>
    <col min="5" max="10" width="11.5" bestFit="1" customWidth="1"/>
    <col min="11" max="11" width="14.69921875" bestFit="1" customWidth="1"/>
    <col min="12" max="12" width="11.5" bestFit="1" customWidth="1"/>
    <col min="13" max="14" width="14.296875" bestFit="1" customWidth="1"/>
    <col min="17" max="17" width="11.09765625" bestFit="1" customWidth="1"/>
    <col min="19" max="19" width="24.5" bestFit="1" customWidth="1"/>
    <col min="20" max="20" width="15.796875" bestFit="1" customWidth="1"/>
    <col min="21" max="36" width="13.8984375" bestFit="1" customWidth="1"/>
    <col min="37" max="37" width="15.5" bestFit="1" customWidth="1"/>
    <col min="38" max="42" width="13.8984375" bestFit="1" customWidth="1"/>
    <col min="43" max="56" width="15.296875" bestFit="1" customWidth="1"/>
    <col min="57" max="57" width="17.09765625" bestFit="1" customWidth="1"/>
    <col min="58" max="58" width="16.09765625" customWidth="1"/>
    <col min="59" max="59" width="16.19921875" bestFit="1" customWidth="1"/>
    <col min="60" max="109" width="16.796875" bestFit="1" customWidth="1"/>
    <col min="110" max="110" width="11.796875" bestFit="1" customWidth="1"/>
    <col min="111" max="111" width="22.19921875" bestFit="1" customWidth="1"/>
    <col min="112" max="112" width="6.19921875" bestFit="1" customWidth="1"/>
    <col min="113" max="113" width="10.69921875" bestFit="1" customWidth="1"/>
    <col min="114" max="114" width="9.796875" bestFit="1" customWidth="1"/>
  </cols>
  <sheetData>
    <row r="1" spans="1:114" ht="15.5" x14ac:dyDescent="0.3">
      <c r="T1" s="1">
        <v>2016</v>
      </c>
      <c r="U1" s="1"/>
      <c r="V1" s="1"/>
      <c r="W1" s="1"/>
      <c r="X1" s="1"/>
      <c r="Y1" s="1"/>
      <c r="Z1" s="10">
        <v>2017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">
        <v>2018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0">
        <v>2019</v>
      </c>
      <c r="AY1" s="10"/>
      <c r="AZ1" s="10"/>
      <c r="BA1" s="10"/>
      <c r="BB1" s="10"/>
      <c r="BC1" s="10"/>
      <c r="BD1" s="10"/>
      <c r="BE1" s="10"/>
    </row>
    <row r="2" spans="1:114" ht="15.5" x14ac:dyDescent="0.3">
      <c r="A2" s="1"/>
      <c r="B2" s="1"/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/>
      <c r="P2" s="1"/>
      <c r="Q2" s="1"/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0" t="s">
        <v>24</v>
      </c>
      <c r="AA2" s="10" t="s">
        <v>25</v>
      </c>
      <c r="AB2" s="10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  <c r="AG2" s="10" t="s">
        <v>31</v>
      </c>
      <c r="AH2" s="10" t="s">
        <v>32</v>
      </c>
      <c r="AI2" s="10" t="s">
        <v>33</v>
      </c>
      <c r="AJ2" s="10" t="s">
        <v>34</v>
      </c>
      <c r="AK2" s="10" t="s">
        <v>35</v>
      </c>
      <c r="AL2" s="1" t="s">
        <v>24</v>
      </c>
      <c r="AM2" s="1" t="s">
        <v>25</v>
      </c>
      <c r="AN2" s="1" t="s">
        <v>26</v>
      </c>
      <c r="AO2" s="1" t="s">
        <v>27</v>
      </c>
      <c r="AP2" s="1" t="s">
        <v>28</v>
      </c>
      <c r="AQ2" s="1" t="s">
        <v>29</v>
      </c>
      <c r="AR2" s="1" t="s">
        <v>30</v>
      </c>
      <c r="AS2" s="1" t="s">
        <v>31</v>
      </c>
      <c r="AT2" s="1" t="s">
        <v>32</v>
      </c>
      <c r="AU2" s="1" t="s">
        <v>33</v>
      </c>
      <c r="AV2" s="1" t="s">
        <v>34</v>
      </c>
      <c r="AW2" s="1" t="s">
        <v>35</v>
      </c>
      <c r="AX2" s="10" t="s">
        <v>24</v>
      </c>
      <c r="AY2" s="10" t="s">
        <v>25</v>
      </c>
      <c r="AZ2" s="10" t="s">
        <v>26</v>
      </c>
      <c r="BA2" s="10" t="s">
        <v>27</v>
      </c>
      <c r="BB2" s="10" t="s">
        <v>28</v>
      </c>
      <c r="BC2" s="10" t="s">
        <v>29</v>
      </c>
      <c r="BD2" s="10" t="s">
        <v>30</v>
      </c>
      <c r="BE2" s="10" t="s">
        <v>31</v>
      </c>
      <c r="BF2" s="17" t="s">
        <v>39</v>
      </c>
      <c r="BG2" s="2"/>
      <c r="BH2" s="2"/>
      <c r="BI2" s="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14" ht="15.5" x14ac:dyDescent="0.3">
      <c r="A3" s="1">
        <v>2016</v>
      </c>
      <c r="B3" s="1" t="s">
        <v>19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f>291657/31</f>
        <v>9408.2903225806458</v>
      </c>
      <c r="J3" s="2">
        <f>348565/31</f>
        <v>11244.032258064517</v>
      </c>
      <c r="K3" s="2">
        <f>264091/29</f>
        <v>9106.5862068965525</v>
      </c>
      <c r="L3" s="2">
        <f>307620/31</f>
        <v>9923.2258064516136</v>
      </c>
      <c r="M3" s="2">
        <f>290267/30</f>
        <v>9675.5666666666675</v>
      </c>
      <c r="N3" s="2">
        <f>269557/30</f>
        <v>8985.2333333333336</v>
      </c>
      <c r="O3" s="1"/>
      <c r="P3" s="1"/>
      <c r="Q3" s="1"/>
      <c r="S3" s="1" t="s">
        <v>19</v>
      </c>
      <c r="T3" s="2">
        <f>291657/31</f>
        <v>9408.2903225806458</v>
      </c>
      <c r="U3" s="20">
        <f>348565/31</f>
        <v>11244.032258064517</v>
      </c>
      <c r="V3" s="2">
        <f>264091/29</f>
        <v>9106.5862068965525</v>
      </c>
      <c r="W3" s="2">
        <f>307620/31</f>
        <v>9923.2258064516136</v>
      </c>
      <c r="X3" s="2">
        <f>290267/30</f>
        <v>9675.5666666666675</v>
      </c>
      <c r="Y3" s="2">
        <f>269557/30</f>
        <v>8985.2333333333336</v>
      </c>
      <c r="Z3" s="11">
        <f>269943/31</f>
        <v>8707.8387096774186</v>
      </c>
      <c r="AA3" s="11">
        <f>226490/28</f>
        <v>8088.9285714285716</v>
      </c>
      <c r="AB3" s="11">
        <f>205040/31</f>
        <v>6614.1935483870966</v>
      </c>
      <c r="AC3" s="11">
        <f>188819/30</f>
        <v>6293.9666666666662</v>
      </c>
      <c r="AD3" s="11">
        <f>198922/31</f>
        <v>6416.8387096774195</v>
      </c>
      <c r="AE3" s="11">
        <f>151536/28</f>
        <v>5412</v>
      </c>
      <c r="AF3" s="11">
        <f>181217/31</f>
        <v>5845.7096774193551</v>
      </c>
      <c r="AG3" s="11">
        <f>167165/30</f>
        <v>5572.166666666667</v>
      </c>
      <c r="AH3" s="11">
        <f>181539/28</f>
        <v>6483.5357142857147</v>
      </c>
      <c r="AI3" s="11">
        <f>143500/28</f>
        <v>5125</v>
      </c>
      <c r="AJ3" s="11">
        <f>172576/30</f>
        <v>5752.5333333333338</v>
      </c>
      <c r="AK3" s="11">
        <f>179306/31</f>
        <v>5784.0645161290322</v>
      </c>
      <c r="AL3" s="2">
        <f>124619/25</f>
        <v>4984.76</v>
      </c>
      <c r="AM3" s="2">
        <f>143678/28</f>
        <v>5131.3571428571431</v>
      </c>
      <c r="AN3" s="2">
        <f>168549/31</f>
        <v>5437.0645161290322</v>
      </c>
      <c r="AO3" s="2">
        <f>156807/30</f>
        <v>5226.8999999999996</v>
      </c>
      <c r="AP3" s="2">
        <f>156807/30</f>
        <v>5226.8999999999996</v>
      </c>
      <c r="AQ3" s="2">
        <f>165999/30</f>
        <v>5533.3</v>
      </c>
      <c r="AR3" s="2">
        <f>152543/29</f>
        <v>5260.1034482758623</v>
      </c>
      <c r="AS3" s="2">
        <f>170587/31</f>
        <v>5502.8064516129034</v>
      </c>
      <c r="AT3" s="2">
        <f>161570/30</f>
        <v>5385.666666666667</v>
      </c>
      <c r="AU3" s="2">
        <f>170020/31</f>
        <v>5484.5161290322585</v>
      </c>
      <c r="AV3" s="2">
        <f>160926/30</f>
        <v>5364.2</v>
      </c>
      <c r="AW3" s="2">
        <f>159712/31</f>
        <v>5152</v>
      </c>
      <c r="AX3" s="11">
        <f>157733/31</f>
        <v>5088.1612903225805</v>
      </c>
      <c r="AY3" s="11">
        <f>141797/28</f>
        <v>5064.1785714285716</v>
      </c>
      <c r="AZ3" s="11">
        <f>147438/31</f>
        <v>4756.0645161290322</v>
      </c>
      <c r="BA3" s="11">
        <f>139853/30</f>
        <v>4661.7666666666664</v>
      </c>
      <c r="BB3" s="11">
        <f>101927/21</f>
        <v>4853.666666666667</v>
      </c>
      <c r="BC3" s="11">
        <f>138616/30</f>
        <v>4620.5333333333338</v>
      </c>
      <c r="BD3" s="11">
        <f>75254/24</f>
        <v>3135.5833333333335</v>
      </c>
      <c r="BE3" s="11">
        <f>120385/31</f>
        <v>3883.3870967741937</v>
      </c>
      <c r="BF3" s="21">
        <f ca="1">MAX(T3:BF3)</f>
        <v>11244.032258064517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14" ht="15.5" x14ac:dyDescent="0.3">
      <c r="A4" s="1"/>
      <c r="B4" s="1" t="s">
        <v>20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f>191245/31</f>
        <v>6169.1935483870966</v>
      </c>
      <c r="J4" s="2">
        <f>178114/31</f>
        <v>5745.6129032258068</v>
      </c>
      <c r="K4" s="2">
        <f>171542/29</f>
        <v>5915.2413793103451</v>
      </c>
      <c r="L4" s="2">
        <f>187077/31</f>
        <v>6034.7419354838712</v>
      </c>
      <c r="M4" s="2" t="s">
        <v>23</v>
      </c>
      <c r="N4" s="2">
        <f>153656/29</f>
        <v>5298.4827586206893</v>
      </c>
      <c r="O4" s="1"/>
      <c r="P4" s="1"/>
      <c r="Q4" s="1"/>
      <c r="S4" s="1" t="s">
        <v>20</v>
      </c>
      <c r="T4" s="20">
        <f>191245/31</f>
        <v>6169.1935483870966</v>
      </c>
      <c r="U4" s="2">
        <f>178114/31</f>
        <v>5745.6129032258068</v>
      </c>
      <c r="V4" s="2">
        <f>171542/29</f>
        <v>5915.2413793103451</v>
      </c>
      <c r="W4" s="2">
        <f>187077/31</f>
        <v>6034.7419354838712</v>
      </c>
      <c r="X4" s="2">
        <f>165687/30</f>
        <v>5522.9</v>
      </c>
      <c r="Y4" s="2">
        <f>153656/29</f>
        <v>5298.4827586206893</v>
      </c>
      <c r="Z4" s="11">
        <f>166674/31</f>
        <v>5376.5806451612907</v>
      </c>
      <c r="AA4" s="11">
        <f>142847/28</f>
        <v>5101.6785714285716</v>
      </c>
      <c r="AB4" s="11">
        <f>121208/30</f>
        <v>4040.2666666666669</v>
      </c>
      <c r="AC4" s="11">
        <f>117199/30</f>
        <v>3906.6333333333332</v>
      </c>
      <c r="AD4" s="11">
        <f>131794/31</f>
        <v>4251.4193548387093</v>
      </c>
      <c r="AE4" s="11">
        <f>118585/28</f>
        <v>4235.1785714285716</v>
      </c>
      <c r="AF4" s="11">
        <f>137161/31</f>
        <v>4424.5483870967746</v>
      </c>
      <c r="AG4" s="11">
        <f>126922/30</f>
        <v>4230.7333333333336</v>
      </c>
      <c r="AH4" s="11">
        <f>134369/28</f>
        <v>4798.8928571428569</v>
      </c>
      <c r="AI4" s="11">
        <f>91137/28</f>
        <v>3254.8928571428573</v>
      </c>
      <c r="AJ4" s="11">
        <f>114093/30</f>
        <v>3803.1</v>
      </c>
      <c r="AK4" s="11">
        <f>126953/31</f>
        <v>4095.2580645161293</v>
      </c>
      <c r="AL4" s="2">
        <f>93407/25</f>
        <v>3736.28</v>
      </c>
      <c r="AM4" s="2">
        <f>104974/28</f>
        <v>3749.0714285714284</v>
      </c>
      <c r="AN4" s="2">
        <f>124517/31</f>
        <v>4016.6774193548385</v>
      </c>
      <c r="AO4" s="2">
        <f>116746/30</f>
        <v>3891.5333333333333</v>
      </c>
      <c r="AP4" s="2">
        <f>127768/31</f>
        <v>4121.5483870967746</v>
      </c>
      <c r="AQ4" s="2">
        <f>122593/30</f>
        <v>4086.4333333333334</v>
      </c>
      <c r="AR4" s="2">
        <f>104032/29</f>
        <v>3587.3103448275861</v>
      </c>
      <c r="AS4" s="2">
        <f>116721/31</f>
        <v>3765.1935483870966</v>
      </c>
      <c r="AT4" s="2">
        <f>110301/30</f>
        <v>3676.7</v>
      </c>
      <c r="AU4" s="2">
        <f>99953/31</f>
        <v>3224.2903225806454</v>
      </c>
      <c r="AV4" s="2">
        <f>88653/30</f>
        <v>2955.1</v>
      </c>
      <c r="AW4" s="2">
        <f>87180/31</f>
        <v>2812.2580645161293</v>
      </c>
      <c r="AX4" s="11">
        <f>87603/31</f>
        <v>2825.9032258064517</v>
      </c>
      <c r="AY4" s="11">
        <f>82288/28</f>
        <v>2938.8571428571427</v>
      </c>
      <c r="AZ4" s="11">
        <f>87604/31</f>
        <v>2825.9354838709678</v>
      </c>
      <c r="BA4" s="11">
        <f>103162/30</f>
        <v>3438.7333333333331</v>
      </c>
      <c r="BB4" s="11">
        <f>72439/21</f>
        <v>3449.4761904761904</v>
      </c>
      <c r="BC4" s="11">
        <f>103442/30</f>
        <v>3448.0666666666666</v>
      </c>
      <c r="BD4" s="11">
        <f>96429/29</f>
        <v>3325.1379310344828</v>
      </c>
      <c r="BE4" s="11">
        <f>107480/31</f>
        <v>3467.0967741935483</v>
      </c>
      <c r="BF4" s="21">
        <f ca="1">MAX(T4:BF4)</f>
        <v>6169.1935483870966</v>
      </c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</row>
    <row r="5" spans="1:114" ht="15.5" x14ac:dyDescent="0.3">
      <c r="B5" s="1" t="s">
        <v>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/>
      <c r="P5" s="1"/>
      <c r="Q5" s="1"/>
      <c r="S5" s="1" t="s">
        <v>21</v>
      </c>
      <c r="T5" s="2"/>
      <c r="U5" s="2"/>
      <c r="V5" s="2"/>
      <c r="W5" s="2"/>
      <c r="X5" s="2"/>
      <c r="Y5" s="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2"/>
      <c r="AY5" s="12"/>
      <c r="AZ5" s="12"/>
      <c r="BA5" s="12"/>
      <c r="BB5" s="12"/>
      <c r="BC5" s="12"/>
      <c r="BD5" s="12"/>
      <c r="BE5" s="1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</row>
    <row r="6" spans="1:114" ht="15.5" x14ac:dyDescent="0.3">
      <c r="A6" s="1"/>
      <c r="B6" s="1" t="s">
        <v>22</v>
      </c>
      <c r="C6" s="2">
        <v>0</v>
      </c>
      <c r="D6" s="2">
        <f t="shared" ref="D6:H6" si="0">SUM(D3:D4)</f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/>
      <c r="P6" s="1"/>
      <c r="Q6" s="1"/>
      <c r="S6" s="1" t="s">
        <v>22</v>
      </c>
      <c r="T6" s="2"/>
      <c r="U6" s="2"/>
      <c r="V6" s="2"/>
      <c r="W6" s="2"/>
      <c r="X6" s="2"/>
      <c r="Y6" s="2"/>
      <c r="Z6" s="11"/>
      <c r="AA6" s="11"/>
      <c r="AB6" s="11"/>
      <c r="AC6" s="11"/>
      <c r="AD6" s="11"/>
      <c r="AE6" s="11"/>
      <c r="AF6" s="11"/>
      <c r="AG6" s="11"/>
      <c r="AH6" s="11"/>
      <c r="AI6" s="11">
        <v>0</v>
      </c>
      <c r="AJ6" s="11">
        <f>15135/2</f>
        <v>7567.5</v>
      </c>
      <c r="AK6" s="11">
        <f>211961/31</f>
        <v>6837.4516129032254</v>
      </c>
      <c r="AL6" s="2">
        <f>190135/25</f>
        <v>7605.4</v>
      </c>
      <c r="AM6" s="2">
        <f>228139/28</f>
        <v>8147.8214285714284</v>
      </c>
      <c r="AN6" s="2">
        <f>270420/31</f>
        <v>8723.2258064516136</v>
      </c>
      <c r="AO6" s="2">
        <f>278351/30</f>
        <v>9278.3666666666668</v>
      </c>
      <c r="AP6" s="2">
        <f>305489/31</f>
        <v>9854.4838709677424</v>
      </c>
      <c r="AQ6" s="2">
        <f>298624/30</f>
        <v>9954.1333333333332</v>
      </c>
      <c r="AR6" s="2">
        <f>270872/29</f>
        <v>9340.4137931034475</v>
      </c>
      <c r="AS6" s="2">
        <f>324942/31</f>
        <v>10482</v>
      </c>
      <c r="AT6" s="2">
        <f>327469/30</f>
        <v>10915.633333333333</v>
      </c>
      <c r="AU6" s="2">
        <f>360156/31</f>
        <v>11617.935483870968</v>
      </c>
      <c r="AV6" s="2">
        <f>366406/30</f>
        <v>12213.533333333333</v>
      </c>
      <c r="AW6" s="2">
        <f>379329/31</f>
        <v>12236.41935483871</v>
      </c>
      <c r="AX6" s="11">
        <f>396347/31</f>
        <v>12785.387096774193</v>
      </c>
      <c r="AY6" s="20">
        <f>373479/28</f>
        <v>13338.535714285714</v>
      </c>
      <c r="AZ6" s="11">
        <f>398077/31</f>
        <v>12841.193548387097</v>
      </c>
      <c r="BA6" s="11">
        <f>393737/30</f>
        <v>13124.566666666668</v>
      </c>
      <c r="BB6" s="11">
        <f>277148/21</f>
        <v>13197.523809523809</v>
      </c>
      <c r="BC6" s="11">
        <f>389171/30</f>
        <v>12972.366666666667</v>
      </c>
      <c r="BD6" s="11">
        <f>351582/29</f>
        <v>12123.51724137931</v>
      </c>
      <c r="BE6" s="11">
        <f>404850/31</f>
        <v>13059.677419354839</v>
      </c>
      <c r="BF6" s="21">
        <f ca="1">MAX(T6:BF6)</f>
        <v>13338.535714285714</v>
      </c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</row>
    <row r="7" spans="1:114" ht="15.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"/>
      <c r="T7" s="1" t="s">
        <v>30</v>
      </c>
      <c r="U7" s="1" t="s">
        <v>31</v>
      </c>
      <c r="V7" s="1" t="s">
        <v>32</v>
      </c>
      <c r="W7" s="1" t="s">
        <v>33</v>
      </c>
      <c r="X7" s="1" t="s">
        <v>34</v>
      </c>
      <c r="Y7" s="1" t="s">
        <v>35</v>
      </c>
      <c r="Z7" s="10" t="s">
        <v>24</v>
      </c>
      <c r="AA7" s="10" t="s">
        <v>25</v>
      </c>
      <c r="AB7" s="10" t="s">
        <v>26</v>
      </c>
      <c r="AC7" s="10" t="s">
        <v>27</v>
      </c>
      <c r="AD7" s="10" t="s">
        <v>28</v>
      </c>
      <c r="AE7" s="10" t="s">
        <v>29</v>
      </c>
      <c r="AF7" s="10" t="s">
        <v>30</v>
      </c>
      <c r="AG7" s="10" t="s">
        <v>31</v>
      </c>
      <c r="AH7" s="10" t="s">
        <v>32</v>
      </c>
      <c r="AI7" s="10" t="s">
        <v>33</v>
      </c>
      <c r="AJ7" s="10" t="s">
        <v>34</v>
      </c>
      <c r="AK7" s="10" t="s">
        <v>35</v>
      </c>
      <c r="AL7" s="1" t="s">
        <v>24</v>
      </c>
      <c r="AM7" s="1" t="s">
        <v>25</v>
      </c>
      <c r="AN7" s="1" t="s">
        <v>26</v>
      </c>
      <c r="AO7" s="1" t="s">
        <v>27</v>
      </c>
      <c r="AP7" s="1" t="s">
        <v>28</v>
      </c>
      <c r="AQ7" s="1" t="s">
        <v>29</v>
      </c>
      <c r="AR7" s="1" t="s">
        <v>30</v>
      </c>
      <c r="AS7" s="1" t="s">
        <v>31</v>
      </c>
      <c r="AT7" s="1" t="s">
        <v>32</v>
      </c>
      <c r="AU7" s="1" t="s">
        <v>33</v>
      </c>
      <c r="AV7" s="1" t="s">
        <v>34</v>
      </c>
      <c r="AW7" s="1" t="s">
        <v>35</v>
      </c>
      <c r="AX7" s="10" t="s">
        <v>24</v>
      </c>
      <c r="AY7" s="10" t="s">
        <v>25</v>
      </c>
      <c r="AZ7" s="10" t="s">
        <v>26</v>
      </c>
      <c r="BA7" s="10" t="s">
        <v>27</v>
      </c>
      <c r="BB7" s="10" t="s">
        <v>28</v>
      </c>
      <c r="BC7" s="10" t="s">
        <v>29</v>
      </c>
      <c r="BD7" s="10" t="s">
        <v>30</v>
      </c>
      <c r="BE7" s="10" t="s">
        <v>31</v>
      </c>
      <c r="BF7" s="17" t="s">
        <v>38</v>
      </c>
      <c r="BG7" s="17" t="s">
        <v>39</v>
      </c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H7" s="2">
        <v>70</v>
      </c>
    </row>
    <row r="8" spans="1:114" ht="15.5" x14ac:dyDescent="0.3">
      <c r="A8" s="1"/>
      <c r="B8" s="1"/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/>
      <c r="P8" s="1"/>
      <c r="Q8" s="1"/>
      <c r="S8" s="5" t="s">
        <v>36</v>
      </c>
      <c r="T8" s="15">
        <f>SUM(T3:T6)</f>
        <v>15577.483870967742</v>
      </c>
      <c r="U8" s="15">
        <f t="shared" ref="U8:BE8" si="1">SUM(U3:U6)</f>
        <v>16989.645161290326</v>
      </c>
      <c r="V8" s="15">
        <f t="shared" si="1"/>
        <v>15021.827586206899</v>
      </c>
      <c r="W8" s="15">
        <f t="shared" si="1"/>
        <v>15957.967741935485</v>
      </c>
      <c r="X8" s="15">
        <f t="shared" si="1"/>
        <v>15198.466666666667</v>
      </c>
      <c r="Y8" s="15">
        <f t="shared" si="1"/>
        <v>14283.716091954022</v>
      </c>
      <c r="Z8" s="15">
        <f t="shared" si="1"/>
        <v>14084.419354838708</v>
      </c>
      <c r="AA8" s="15">
        <f t="shared" si="1"/>
        <v>13190.607142857143</v>
      </c>
      <c r="AB8" s="15">
        <f t="shared" si="1"/>
        <v>10654.460215053763</v>
      </c>
      <c r="AC8" s="15">
        <f t="shared" si="1"/>
        <v>10200.599999999999</v>
      </c>
      <c r="AD8" s="15">
        <f t="shared" si="1"/>
        <v>10668.258064516129</v>
      </c>
      <c r="AE8" s="15">
        <f t="shared" si="1"/>
        <v>9647.1785714285725</v>
      </c>
      <c r="AF8" s="15">
        <f t="shared" si="1"/>
        <v>10270.258064516129</v>
      </c>
      <c r="AG8" s="15">
        <f t="shared" si="1"/>
        <v>9802.9000000000015</v>
      </c>
      <c r="AH8" s="15">
        <f t="shared" si="1"/>
        <v>11282.428571428572</v>
      </c>
      <c r="AI8" s="15">
        <f t="shared" si="1"/>
        <v>8379.8928571428569</v>
      </c>
      <c r="AJ8" s="15">
        <f t="shared" si="1"/>
        <v>17123.133333333331</v>
      </c>
      <c r="AK8" s="15">
        <f t="shared" si="1"/>
        <v>16716.774193548386</v>
      </c>
      <c r="AL8" s="15">
        <f t="shared" si="1"/>
        <v>16326.44</v>
      </c>
      <c r="AM8" s="15">
        <f t="shared" si="1"/>
        <v>17028.25</v>
      </c>
      <c r="AN8" s="15">
        <f t="shared" si="1"/>
        <v>18176.967741935485</v>
      </c>
      <c r="AO8" s="15">
        <f t="shared" si="1"/>
        <v>18396.8</v>
      </c>
      <c r="AP8" s="15">
        <f t="shared" si="1"/>
        <v>19202.932258064517</v>
      </c>
      <c r="AQ8" s="15">
        <f t="shared" si="1"/>
        <v>19573.866666666669</v>
      </c>
      <c r="AR8" s="15">
        <f t="shared" si="1"/>
        <v>18187.827586206899</v>
      </c>
      <c r="AS8" s="15">
        <f t="shared" si="1"/>
        <v>19750</v>
      </c>
      <c r="AT8" s="15">
        <f t="shared" si="1"/>
        <v>19978</v>
      </c>
      <c r="AU8" s="15">
        <f t="shared" si="1"/>
        <v>20326.741935483871</v>
      </c>
      <c r="AV8" s="15">
        <f t="shared" si="1"/>
        <v>20532.833333333332</v>
      </c>
      <c r="AW8" s="15">
        <f t="shared" si="1"/>
        <v>20200.677419354841</v>
      </c>
      <c r="AX8" s="15">
        <f t="shared" si="1"/>
        <v>20699.451612903227</v>
      </c>
      <c r="AY8" s="15">
        <f t="shared" si="1"/>
        <v>21341.571428571428</v>
      </c>
      <c r="AZ8" s="15">
        <f t="shared" si="1"/>
        <v>20423.193548387098</v>
      </c>
      <c r="BA8" s="15">
        <f t="shared" si="1"/>
        <v>21225.066666666666</v>
      </c>
      <c r="BB8" s="32">
        <f t="shared" si="1"/>
        <v>21500.666666666664</v>
      </c>
      <c r="BC8" s="15">
        <f t="shared" si="1"/>
        <v>21040.966666666667</v>
      </c>
      <c r="BD8" s="15">
        <f t="shared" si="1"/>
        <v>18584.238505747126</v>
      </c>
      <c r="BE8" s="15">
        <f t="shared" si="1"/>
        <v>20410.161290322583</v>
      </c>
      <c r="BF8" s="22">
        <f>AVERAGE(T8:BE8)</f>
        <v>16525.175547754257</v>
      </c>
      <c r="BG8" s="32">
        <f>MAX(T8:BF8)</f>
        <v>21500.666666666664</v>
      </c>
    </row>
    <row r="9" spans="1:114" ht="17.5" x14ac:dyDescent="0.3">
      <c r="A9" s="1">
        <v>2017</v>
      </c>
      <c r="B9" s="1" t="s">
        <v>19</v>
      </c>
      <c r="C9" s="2">
        <f>269943/31</f>
        <v>8707.8387096774186</v>
      </c>
      <c r="D9" s="2">
        <f>226490/28</f>
        <v>8088.9285714285716</v>
      </c>
      <c r="E9" s="2">
        <f>205040/31</f>
        <v>6614.1935483870966</v>
      </c>
      <c r="F9" s="2">
        <f>188819/30</f>
        <v>6293.9666666666662</v>
      </c>
      <c r="G9" s="2">
        <f>198922/31</f>
        <v>6416.8387096774195</v>
      </c>
      <c r="H9" s="2">
        <f>151536/28</f>
        <v>5412</v>
      </c>
      <c r="I9" s="2">
        <f>181217/31</f>
        <v>5845.7096774193551</v>
      </c>
      <c r="J9" s="2">
        <f>167165/30</f>
        <v>5572.166666666667</v>
      </c>
      <c r="K9" s="2">
        <f>181539/28</f>
        <v>6483.5357142857147</v>
      </c>
      <c r="L9" s="2">
        <f>143500/28</f>
        <v>5125</v>
      </c>
      <c r="M9" s="2">
        <f>172576/30</f>
        <v>5752.5333333333338</v>
      </c>
      <c r="N9" s="2">
        <f>179306/31</f>
        <v>5784.0645161290322</v>
      </c>
      <c r="O9" s="1"/>
      <c r="P9" s="1"/>
      <c r="Q9" s="45">
        <v>34000</v>
      </c>
      <c r="R9" s="19" t="s">
        <v>65</v>
      </c>
      <c r="S9" s="5" t="s">
        <v>37</v>
      </c>
      <c r="T9" s="16">
        <f t="shared" ref="T9:BE9" si="2">T8/ProdRATE</f>
        <v>0.45816129032258068</v>
      </c>
      <c r="U9" s="16">
        <f t="shared" si="2"/>
        <v>0.49969544592030368</v>
      </c>
      <c r="V9" s="16">
        <f t="shared" si="2"/>
        <v>0.44181845841784995</v>
      </c>
      <c r="W9" s="16">
        <f t="shared" si="2"/>
        <v>0.46935199240986719</v>
      </c>
      <c r="X9" s="16">
        <f t="shared" si="2"/>
        <v>0.44701372549019608</v>
      </c>
      <c r="Y9" s="16">
        <f t="shared" si="2"/>
        <v>0.42010929682217713</v>
      </c>
      <c r="Z9" s="16">
        <f t="shared" si="2"/>
        <v>0.41424762808349141</v>
      </c>
      <c r="AA9" s="16">
        <f t="shared" si="2"/>
        <v>0.38795903361344536</v>
      </c>
      <c r="AB9" s="16">
        <f t="shared" si="2"/>
        <v>0.31336647691334596</v>
      </c>
      <c r="AC9" s="16">
        <f t="shared" si="2"/>
        <v>0.3000176470588235</v>
      </c>
      <c r="AD9" s="16">
        <f t="shared" si="2"/>
        <v>0.31377229601518025</v>
      </c>
      <c r="AE9" s="16">
        <f t="shared" si="2"/>
        <v>0.28374054621848743</v>
      </c>
      <c r="AF9" s="16">
        <f t="shared" si="2"/>
        <v>0.30206641366223907</v>
      </c>
      <c r="AG9" s="16">
        <f t="shared" si="2"/>
        <v>0.28832058823529416</v>
      </c>
      <c r="AH9" s="16">
        <f t="shared" si="2"/>
        <v>0.33183613445378152</v>
      </c>
      <c r="AI9" s="16">
        <f t="shared" si="2"/>
        <v>0.2464674369747899</v>
      </c>
      <c r="AJ9" s="16">
        <f t="shared" si="2"/>
        <v>0.50362156862745089</v>
      </c>
      <c r="AK9" s="16">
        <f t="shared" si="2"/>
        <v>0.49166982922201136</v>
      </c>
      <c r="AL9" s="16">
        <f t="shared" si="2"/>
        <v>0.48018941176470592</v>
      </c>
      <c r="AM9" s="16">
        <f t="shared" si="2"/>
        <v>0.50083088235294115</v>
      </c>
      <c r="AN9" s="16">
        <f t="shared" si="2"/>
        <v>0.53461669829222014</v>
      </c>
      <c r="AO9" s="16">
        <f t="shared" si="2"/>
        <v>0.54108235294117646</v>
      </c>
      <c r="AP9" s="16">
        <f t="shared" si="2"/>
        <v>0.56479212523719169</v>
      </c>
      <c r="AQ9" s="16">
        <f t="shared" si="2"/>
        <v>0.57570196078431379</v>
      </c>
      <c r="AR9" s="16">
        <f t="shared" si="2"/>
        <v>0.53493610547667347</v>
      </c>
      <c r="AS9" s="16">
        <f t="shared" si="2"/>
        <v>0.58088235294117652</v>
      </c>
      <c r="AT9" s="16">
        <f t="shared" si="2"/>
        <v>0.58758823529411763</v>
      </c>
      <c r="AU9" s="16">
        <f t="shared" si="2"/>
        <v>0.59784535104364322</v>
      </c>
      <c r="AV9" s="16">
        <f t="shared" si="2"/>
        <v>0.60390686274509797</v>
      </c>
      <c r="AW9" s="16">
        <f t="shared" si="2"/>
        <v>0.59413757115749533</v>
      </c>
      <c r="AX9" s="16">
        <f t="shared" si="2"/>
        <v>0.60880740037950665</v>
      </c>
      <c r="AY9" s="16">
        <f t="shared" si="2"/>
        <v>0.62769327731092439</v>
      </c>
      <c r="AZ9" s="16">
        <f t="shared" si="2"/>
        <v>0.60068216318785583</v>
      </c>
      <c r="BA9" s="16">
        <f t="shared" si="2"/>
        <v>0.62426666666666664</v>
      </c>
      <c r="BB9" s="16">
        <f t="shared" si="2"/>
        <v>0.63237254901960782</v>
      </c>
      <c r="BC9" s="16">
        <f t="shared" si="2"/>
        <v>0.6188519607843137</v>
      </c>
      <c r="BD9" s="16">
        <f t="shared" si="2"/>
        <v>0.5465952501690331</v>
      </c>
      <c r="BE9" s="16">
        <f t="shared" si="2"/>
        <v>0.60029886148007594</v>
      </c>
      <c r="BF9" s="16">
        <f>AVERAGE(T9:BE9)</f>
        <v>0.48603457493394869</v>
      </c>
      <c r="BG9" s="16">
        <f>MAX(T9:BF9)</f>
        <v>0.63237254901960782</v>
      </c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</row>
    <row r="10" spans="1:114" ht="15.5" x14ac:dyDescent="0.3">
      <c r="A10" s="1"/>
      <c r="B10" s="1" t="s">
        <v>20</v>
      </c>
      <c r="C10" s="2">
        <f>166674/31</f>
        <v>5376.5806451612907</v>
      </c>
      <c r="D10" s="2">
        <f>142847/28</f>
        <v>5101.6785714285716</v>
      </c>
      <c r="E10" s="2">
        <f>121208/30</f>
        <v>4040.2666666666669</v>
      </c>
      <c r="F10" s="2">
        <f>117199/30</f>
        <v>3906.6333333333332</v>
      </c>
      <c r="G10" s="2">
        <f>131794/31</f>
        <v>4251.4193548387093</v>
      </c>
      <c r="H10" s="2">
        <f>118585/28</f>
        <v>4235.1785714285716</v>
      </c>
      <c r="I10" s="2">
        <f>137161/31</f>
        <v>4424.5483870967746</v>
      </c>
      <c r="J10" s="2">
        <f>126922/30</f>
        <v>4230.7333333333336</v>
      </c>
      <c r="K10" s="2">
        <f>134369/28</f>
        <v>4798.8928571428569</v>
      </c>
      <c r="L10" s="2">
        <f>91137/28</f>
        <v>3254.8928571428573</v>
      </c>
      <c r="M10" s="2">
        <f>114093/30</f>
        <v>3803.1</v>
      </c>
      <c r="N10" s="2">
        <f>126953/31</f>
        <v>4095.2580645161293</v>
      </c>
      <c r="O10" s="1"/>
      <c r="P10" s="1"/>
      <c r="Q10" s="1"/>
      <c r="S10" s="5" t="s">
        <v>17</v>
      </c>
      <c r="T10" s="2">
        <f t="shared" ref="T10:BE10" si="3">T3*T17+T4*T18+T5*T19+T6*T20</f>
        <v>482902</v>
      </c>
      <c r="U10" s="2">
        <f t="shared" si="3"/>
        <v>526679</v>
      </c>
      <c r="V10" s="2">
        <f t="shared" si="3"/>
        <v>435633</v>
      </c>
      <c r="W10" s="2">
        <f t="shared" si="3"/>
        <v>494697</v>
      </c>
      <c r="X10" s="2">
        <f t="shared" si="3"/>
        <v>455954</v>
      </c>
      <c r="Y10" s="2">
        <f t="shared" si="3"/>
        <v>423213</v>
      </c>
      <c r="Z10" s="11">
        <f t="shared" si="3"/>
        <v>436617</v>
      </c>
      <c r="AA10" s="11">
        <f t="shared" si="3"/>
        <v>369337</v>
      </c>
      <c r="AB10" s="11">
        <f t="shared" si="3"/>
        <v>326248</v>
      </c>
      <c r="AC10" s="11">
        <f t="shared" si="3"/>
        <v>306018</v>
      </c>
      <c r="AD10" s="11">
        <f t="shared" si="3"/>
        <v>330716</v>
      </c>
      <c r="AE10" s="11">
        <f t="shared" si="3"/>
        <v>270121</v>
      </c>
      <c r="AF10" s="11">
        <f t="shared" si="3"/>
        <v>318378</v>
      </c>
      <c r="AG10" s="11">
        <f t="shared" si="3"/>
        <v>294087</v>
      </c>
      <c r="AH10" s="11">
        <f t="shared" si="3"/>
        <v>315908</v>
      </c>
      <c r="AI10" s="11">
        <f t="shared" si="3"/>
        <v>234637</v>
      </c>
      <c r="AJ10" s="11">
        <f t="shared" si="3"/>
        <v>301804</v>
      </c>
      <c r="AK10" s="11">
        <f t="shared" si="3"/>
        <v>518220</v>
      </c>
      <c r="AL10" s="2">
        <f t="shared" si="3"/>
        <v>408161</v>
      </c>
      <c r="AM10" s="2">
        <f t="shared" si="3"/>
        <v>476791</v>
      </c>
      <c r="AN10" s="2">
        <f t="shared" si="3"/>
        <v>563486</v>
      </c>
      <c r="AO10" s="2">
        <f t="shared" si="3"/>
        <v>551904</v>
      </c>
      <c r="AP10" s="2">
        <f t="shared" si="3"/>
        <v>590064</v>
      </c>
      <c r="AQ10" s="2">
        <f t="shared" si="3"/>
        <v>587216</v>
      </c>
      <c r="AR10" s="2">
        <f t="shared" si="3"/>
        <v>527447</v>
      </c>
      <c r="AS10" s="2">
        <f t="shared" si="3"/>
        <v>612250</v>
      </c>
      <c r="AT10" s="2">
        <f t="shared" si="3"/>
        <v>599340</v>
      </c>
      <c r="AU10" s="2">
        <f t="shared" si="3"/>
        <v>630129</v>
      </c>
      <c r="AV10" s="2">
        <f t="shared" si="3"/>
        <v>615985</v>
      </c>
      <c r="AW10" s="2">
        <f t="shared" si="3"/>
        <v>626221</v>
      </c>
      <c r="AX10" s="11">
        <f t="shared" si="3"/>
        <v>641683</v>
      </c>
      <c r="AY10" s="11">
        <f t="shared" si="3"/>
        <v>597564</v>
      </c>
      <c r="AZ10" s="11">
        <f t="shared" si="3"/>
        <v>633119</v>
      </c>
      <c r="BA10" s="11">
        <f t="shared" si="3"/>
        <v>636752</v>
      </c>
      <c r="BB10" s="11">
        <f t="shared" si="3"/>
        <v>451514</v>
      </c>
      <c r="BC10" s="11">
        <f t="shared" si="3"/>
        <v>631229</v>
      </c>
      <c r="BD10" s="11">
        <f t="shared" si="3"/>
        <v>523265</v>
      </c>
      <c r="BE10" s="11">
        <f t="shared" si="3"/>
        <v>632715</v>
      </c>
      <c r="BF10" s="2" t="s">
        <v>40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G10" s="6">
        <f>DE10*DH7</f>
        <v>0</v>
      </c>
    </row>
    <row r="11" spans="1:114" ht="18" x14ac:dyDescent="0.3">
      <c r="B11" s="1" t="s">
        <v>21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/>
      <c r="P11" s="1"/>
      <c r="Q11" s="1"/>
      <c r="S11" s="5" t="s">
        <v>18</v>
      </c>
      <c r="T11" s="2">
        <f>T10</f>
        <v>482902</v>
      </c>
      <c r="U11" s="2">
        <f t="shared" ref="U11:BE11" si="4">U10+T11</f>
        <v>1009581</v>
      </c>
      <c r="V11" s="2">
        <f t="shared" si="4"/>
        <v>1445214</v>
      </c>
      <c r="W11" s="2">
        <f t="shared" si="4"/>
        <v>1939911</v>
      </c>
      <c r="X11" s="2">
        <f t="shared" si="4"/>
        <v>2395865</v>
      </c>
      <c r="Y11" s="2">
        <f t="shared" si="4"/>
        <v>2819078</v>
      </c>
      <c r="Z11" s="11">
        <f t="shared" si="4"/>
        <v>3255695</v>
      </c>
      <c r="AA11" s="11">
        <f t="shared" si="4"/>
        <v>3625032</v>
      </c>
      <c r="AB11" s="11">
        <f t="shared" si="4"/>
        <v>3951280</v>
      </c>
      <c r="AC11" s="11">
        <f t="shared" si="4"/>
        <v>4257298</v>
      </c>
      <c r="AD11" s="11">
        <f t="shared" si="4"/>
        <v>4588014</v>
      </c>
      <c r="AE11" s="11">
        <f t="shared" si="4"/>
        <v>4858135</v>
      </c>
      <c r="AF11" s="11">
        <f t="shared" si="4"/>
        <v>5176513</v>
      </c>
      <c r="AG11" s="11">
        <f t="shared" si="4"/>
        <v>5470600</v>
      </c>
      <c r="AH11" s="11">
        <f t="shared" si="4"/>
        <v>5786508</v>
      </c>
      <c r="AI11" s="11">
        <f t="shared" si="4"/>
        <v>6021145</v>
      </c>
      <c r="AJ11" s="11">
        <f t="shared" si="4"/>
        <v>6322949</v>
      </c>
      <c r="AK11" s="11">
        <f t="shared" si="4"/>
        <v>6841169</v>
      </c>
      <c r="AL11" s="2">
        <f t="shared" si="4"/>
        <v>7249330</v>
      </c>
      <c r="AM11" s="2">
        <f t="shared" si="4"/>
        <v>7726121</v>
      </c>
      <c r="AN11" s="2">
        <f t="shared" si="4"/>
        <v>8289607</v>
      </c>
      <c r="AO11" s="2">
        <f t="shared" si="4"/>
        <v>8841511</v>
      </c>
      <c r="AP11" s="2">
        <f t="shared" si="4"/>
        <v>9431575</v>
      </c>
      <c r="AQ11" s="2">
        <f t="shared" si="4"/>
        <v>10018791</v>
      </c>
      <c r="AR11" s="2">
        <f t="shared" si="4"/>
        <v>10546238</v>
      </c>
      <c r="AS11" s="2">
        <f t="shared" si="4"/>
        <v>11158488</v>
      </c>
      <c r="AT11" s="2">
        <f t="shared" si="4"/>
        <v>11757828</v>
      </c>
      <c r="AU11" s="2">
        <f t="shared" si="4"/>
        <v>12387957</v>
      </c>
      <c r="AV11" s="2">
        <f t="shared" si="4"/>
        <v>13003942</v>
      </c>
      <c r="AW11" s="2">
        <f t="shared" si="4"/>
        <v>13630163</v>
      </c>
      <c r="AX11" s="11">
        <f t="shared" si="4"/>
        <v>14271846</v>
      </c>
      <c r="AY11" s="11">
        <f t="shared" si="4"/>
        <v>14869410</v>
      </c>
      <c r="AZ11" s="11">
        <f t="shared" si="4"/>
        <v>15502529</v>
      </c>
      <c r="BA11" s="11">
        <f t="shared" si="4"/>
        <v>16139281</v>
      </c>
      <c r="BB11" s="11">
        <f t="shared" si="4"/>
        <v>16590795</v>
      </c>
      <c r="BC11" s="11">
        <f t="shared" si="4"/>
        <v>17222024</v>
      </c>
      <c r="BD11" s="11">
        <f t="shared" si="4"/>
        <v>17745289</v>
      </c>
      <c r="BE11" s="9">
        <f t="shared" si="4"/>
        <v>18378004</v>
      </c>
      <c r="BF11" s="36">
        <f>BE11*BF12/1000000</f>
        <v>827.01017999999999</v>
      </c>
      <c r="BG11" s="36" t="s">
        <v>57</v>
      </c>
      <c r="DI11" s="1" t="s">
        <v>14</v>
      </c>
      <c r="DJ11" s="2">
        <v>750</v>
      </c>
    </row>
    <row r="12" spans="1:114" ht="15.5" x14ac:dyDescent="0.3">
      <c r="A12" s="1"/>
      <c r="B12" s="1" t="s">
        <v>22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15135/2</f>
        <v>7567.5</v>
      </c>
      <c r="N12" s="2">
        <f>211961/31</f>
        <v>6837.4516129032254</v>
      </c>
      <c r="O12" s="1"/>
      <c r="P12" s="1"/>
      <c r="Q12" s="1"/>
      <c r="Z12" s="13">
        <f>Z10</f>
        <v>436617</v>
      </c>
      <c r="AA12" s="13">
        <f>AA10+Z12</f>
        <v>805954</v>
      </c>
      <c r="AB12" s="13">
        <f t="shared" ref="AB12:AK12" si="5">AB10+AA12</f>
        <v>1132202</v>
      </c>
      <c r="AC12" s="13">
        <f t="shared" si="5"/>
        <v>1438220</v>
      </c>
      <c r="AD12" s="13">
        <f t="shared" si="5"/>
        <v>1768936</v>
      </c>
      <c r="AE12" s="13">
        <f t="shared" si="5"/>
        <v>2039057</v>
      </c>
      <c r="AF12" s="13">
        <f t="shared" si="5"/>
        <v>2357435</v>
      </c>
      <c r="AG12" s="13">
        <f t="shared" si="5"/>
        <v>2651522</v>
      </c>
      <c r="AH12" s="13">
        <f t="shared" si="5"/>
        <v>2967430</v>
      </c>
      <c r="AI12" s="13">
        <f t="shared" si="5"/>
        <v>3202067</v>
      </c>
      <c r="AJ12" s="13">
        <f t="shared" si="5"/>
        <v>3503871</v>
      </c>
      <c r="AK12" s="14">
        <f t="shared" si="5"/>
        <v>4022091</v>
      </c>
      <c r="AL12" s="8">
        <f>AL10</f>
        <v>408161</v>
      </c>
      <c r="AM12" s="8">
        <f>AM10+AL12</f>
        <v>884952</v>
      </c>
      <c r="AN12" s="8">
        <f t="shared" ref="AN12:AW12" si="6">AN10+AM12</f>
        <v>1448438</v>
      </c>
      <c r="AO12" s="8">
        <f t="shared" si="6"/>
        <v>2000342</v>
      </c>
      <c r="AP12" s="8">
        <f t="shared" si="6"/>
        <v>2590406</v>
      </c>
      <c r="AQ12" s="8">
        <f t="shared" si="6"/>
        <v>3177622</v>
      </c>
      <c r="AR12" s="8">
        <f t="shared" si="6"/>
        <v>3705069</v>
      </c>
      <c r="AS12" s="8">
        <f t="shared" si="6"/>
        <v>4317319</v>
      </c>
      <c r="AT12" s="8">
        <f t="shared" si="6"/>
        <v>4916659</v>
      </c>
      <c r="AU12" s="8">
        <f t="shared" si="6"/>
        <v>5546788</v>
      </c>
      <c r="AV12" s="8">
        <f t="shared" si="6"/>
        <v>6162773</v>
      </c>
      <c r="AW12" s="9">
        <f t="shared" si="6"/>
        <v>6788994</v>
      </c>
      <c r="AX12" s="12"/>
      <c r="AY12" s="12"/>
      <c r="AZ12" s="12"/>
      <c r="BA12" s="12"/>
      <c r="BB12" s="12"/>
      <c r="BC12" s="12"/>
      <c r="BD12" s="12"/>
      <c r="BE12" s="12"/>
      <c r="BF12" s="18">
        <v>45</v>
      </c>
      <c r="BG12" s="19" t="s">
        <v>41</v>
      </c>
      <c r="DI12" s="1" t="s">
        <v>15</v>
      </c>
      <c r="DJ12" s="2">
        <v>350</v>
      </c>
    </row>
    <row r="13" spans="1:114" ht="17.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BF13" s="33">
        <v>15</v>
      </c>
      <c r="BG13" s="34" t="s">
        <v>55</v>
      </c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I13" s="1" t="s">
        <v>16</v>
      </c>
      <c r="DJ13" s="4">
        <f>5*275</f>
        <v>1375</v>
      </c>
    </row>
    <row r="14" spans="1:114" ht="20.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S14" s="5" t="s">
        <v>56</v>
      </c>
      <c r="T14" s="35">
        <f>T8*T16*('Oil Prices'!AJ12-OPEX)/1000000</f>
        <v>14.462914900000003</v>
      </c>
      <c r="U14" s="35">
        <f>U8*U16*('Oil Prices'!AK12-OPEX)/1000000</f>
        <v>16.242780360000005</v>
      </c>
      <c r="V14" s="35">
        <f>V8*V16*('Oil Prices'!AL12-OPEX)/1000000</f>
        <v>14.227172906896554</v>
      </c>
      <c r="W14" s="35">
        <f>W8*W16*('Oil Prices'!AM12-OPEX)/1000000</f>
        <v>17.076940440000001</v>
      </c>
      <c r="X14" s="35">
        <f>X8*X16*('Oil Prices'!AN12-OPEX)/1000000</f>
        <v>13.555512419999998</v>
      </c>
      <c r="Y14" s="35">
        <f>Y8*Y16*('Oil Prices'!AO12-OPEX)/1000000</f>
        <v>16.963484067965513</v>
      </c>
      <c r="Z14" s="35">
        <f>Z8*Z16*('Oil Prices'!AP12-OPEX)/1000000</f>
        <v>17.281300859999995</v>
      </c>
      <c r="AA14" s="35">
        <f>AA8*AA16*('Oil Prices'!AQ12-OPEX)/1000000</f>
        <v>14.725466189999999</v>
      </c>
      <c r="AB14" s="35">
        <f>AB8*AB16*('Oil Prices'!AR12-OPEX)/1000000</f>
        <v>12.085247677333335</v>
      </c>
      <c r="AC14" s="35">
        <f>AC8*AC16*('Oil Prices'!AS12-OPEX)/1000000</f>
        <v>11.417531579999999</v>
      </c>
      <c r="AD14" s="35">
        <f>AD8*AD16*('Oil Prices'!AT12-OPEX)/1000000</f>
        <v>11.68419628</v>
      </c>
      <c r="AE14" s="35">
        <f>AE8*AE16*('Oil Prices'!AU12-OPEX)/1000000</f>
        <v>9.0789597535714286</v>
      </c>
      <c r="AF14" s="35">
        <f>AF8*AF16*('Oil Prices'!AV12-OPEX)/1000000</f>
        <v>10.659295439999999</v>
      </c>
      <c r="AG14" s="35">
        <f>AG8*AG16*('Oil Prices'!AW12-OPEX)/1000000</f>
        <v>11.152759330000002</v>
      </c>
      <c r="AH14" s="35">
        <f>AH8*AH16*('Oil Prices'!AX12-OPEX)/1000000</f>
        <v>13.928158071428571</v>
      </c>
      <c r="AI14" s="35">
        <f>AI8*AI16*('Oil Prices'!AY12-OPEX)/1000000</f>
        <v>11.043106606071428</v>
      </c>
      <c r="AJ14" s="35">
        <f>AJ8*AJ16*('Oil Prices'!AZ12-OPEX)/1000000</f>
        <v>24.508340739999998</v>
      </c>
      <c r="AK14" s="35">
        <f>AK8*AK16*('Oil Prices'!BA12-OPEX)/1000000</f>
        <v>25.584521400000003</v>
      </c>
      <c r="AL14" s="35">
        <f>AL8*AL16*('Oil Prices'!BB12-OPEX)/1000000</f>
        <v>27.370950131200001</v>
      </c>
      <c r="AM14" s="35">
        <f>AM8*AM16*('Oil Prices'!BC12-OPEX)/1000000</f>
        <v>23.992123119999999</v>
      </c>
      <c r="AN14" s="35">
        <f>AN8*AN16*('Oil Prices'!BD12-OPEX)/1000000</f>
        <v>28.749055719999998</v>
      </c>
      <c r="AO14" s="35">
        <f>AO8*AO16*('Oil Prices'!BE12-OPEX)/1000000</f>
        <v>31.519237440000001</v>
      </c>
      <c r="AP14" s="35">
        <f>AP8*AP16*('Oil Prices'!BF12-OPEX)/1000000</f>
        <v>36.896129981999998</v>
      </c>
      <c r="AQ14" s="35">
        <f>AQ8*AQ16*('Oil Prices'!BG12-OPEX)/1000000</f>
        <v>34.886502559999997</v>
      </c>
      <c r="AR14" s="35">
        <f>AR8*AR16*('Oil Prices'!BH12-OPEX)/1000000</f>
        <v>33.406492318965526</v>
      </c>
      <c r="AS14" s="35">
        <f>AS8*AS16*('Oil Prices'!BI12-OPEX)/1000000</f>
        <v>35.222742500000003</v>
      </c>
      <c r="AT14" s="35">
        <f>AT8*AT16*('Oil Prices'!BJ12-OPEX)/1000000</f>
        <v>38.291832599999999</v>
      </c>
      <c r="AU14" s="35">
        <f>AU8*AU16*('Oil Prices'!BK12-OPEX)/1000000</f>
        <v>41.607417869999999</v>
      </c>
      <c r="AV14" s="35">
        <f>AV8*AV16*('Oil Prices'!BL12-OPEX)/1000000</f>
        <v>30.645253749999998</v>
      </c>
      <c r="AW14" s="35">
        <f>AW8*AW16*('Oil Prices'!BM12-OPEX)/1000000</f>
        <v>26.526721560000006</v>
      </c>
      <c r="AX14" s="35">
        <f>AX8*AX16*('Oil Prices'!BN12-OPEX)/1000000</f>
        <v>28.497142029999999</v>
      </c>
      <c r="AY14" s="35">
        <f>AY8*AY16*('Oil Prices'!BO12-OPEX)/1000000</f>
        <v>29.256733440000001</v>
      </c>
      <c r="AZ14" s="35">
        <f>AZ8*AZ16*('Oil Prices'!BP12-OPEX)/1000000</f>
        <v>32.377705659999997</v>
      </c>
      <c r="BA14" s="35">
        <f>BA8*BA16*('Oil Prices'!BQ12-OPEX)/1000000</f>
        <v>35.80456496</v>
      </c>
      <c r="BB14" s="35">
        <f>BB8*BB16*('Oil Prices'!BR12-OPEX)/1000000</f>
        <v>37.538443946666661</v>
      </c>
      <c r="BC14" s="35">
        <f>BC8*BC16*('Oil Prices'!BS12-OPEX)/1000000</f>
        <v>31.06909138</v>
      </c>
      <c r="BD14" s="35">
        <f>BD8*BD16*('Oil Prices'!BT12-OPEX)/1000000</f>
        <v>28.183369378735627</v>
      </c>
      <c r="BE14" s="35">
        <f>BE8*BE16*('Oil Prices'!BU12-OPEX)/1000000</f>
        <v>27.864768600000005</v>
      </c>
      <c r="BF14" s="38">
        <f>SUM(T14:BE14)</f>
        <v>905.38396797083465</v>
      </c>
      <c r="BG14" s="37" t="s">
        <v>64</v>
      </c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I14" s="1"/>
      <c r="DJ14" s="4"/>
    </row>
    <row r="15" spans="1:114" ht="17.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BF15" s="2"/>
      <c r="BG15" s="34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I15" s="1"/>
      <c r="DJ15" s="4"/>
    </row>
    <row r="16" spans="1:114" ht="15.5" x14ac:dyDescent="0.3">
      <c r="A16" s="1"/>
      <c r="B16" s="1"/>
      <c r="C16" s="1" t="s">
        <v>24</v>
      </c>
      <c r="D16" s="1" t="s">
        <v>25</v>
      </c>
      <c r="E16" s="1" t="s">
        <v>26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31</v>
      </c>
      <c r="K16" s="1" t="s">
        <v>32</v>
      </c>
      <c r="L16" s="1" t="s">
        <v>33</v>
      </c>
      <c r="M16" s="1" t="s">
        <v>34</v>
      </c>
      <c r="N16" s="1" t="s">
        <v>35</v>
      </c>
      <c r="O16" s="1"/>
      <c r="P16" s="1"/>
      <c r="Q16" s="1"/>
      <c r="S16" s="5" t="s">
        <v>12</v>
      </c>
      <c r="T16" s="1">
        <v>31</v>
      </c>
      <c r="U16" s="1">
        <v>31</v>
      </c>
      <c r="V16" s="1">
        <v>30</v>
      </c>
      <c r="W16" s="1">
        <v>31</v>
      </c>
      <c r="X16" s="1">
        <v>30</v>
      </c>
      <c r="Y16" s="1">
        <v>31</v>
      </c>
      <c r="Z16" s="1">
        <v>31</v>
      </c>
      <c r="AA16" s="1">
        <v>28</v>
      </c>
      <c r="AB16" s="1">
        <v>31</v>
      </c>
      <c r="AC16" s="1">
        <v>30</v>
      </c>
      <c r="AD16" s="1">
        <v>31</v>
      </c>
      <c r="AE16" s="1">
        <v>30</v>
      </c>
      <c r="AF16" s="1">
        <v>31</v>
      </c>
      <c r="AG16" s="1">
        <v>31</v>
      </c>
      <c r="AH16" s="1">
        <v>30</v>
      </c>
      <c r="AI16" s="1">
        <v>31</v>
      </c>
      <c r="AJ16" s="1">
        <v>30</v>
      </c>
      <c r="AK16" s="1">
        <v>31</v>
      </c>
      <c r="AL16" s="1">
        <v>31</v>
      </c>
      <c r="AM16" s="1">
        <v>28</v>
      </c>
      <c r="AN16" s="1">
        <v>31</v>
      </c>
      <c r="AO16" s="1">
        <v>30</v>
      </c>
      <c r="AP16" s="1">
        <v>31</v>
      </c>
      <c r="AQ16" s="1">
        <v>30</v>
      </c>
      <c r="AR16" s="1">
        <v>31</v>
      </c>
      <c r="AS16" s="1">
        <v>31</v>
      </c>
      <c r="AT16" s="1">
        <v>30</v>
      </c>
      <c r="AU16" s="1">
        <v>31</v>
      </c>
      <c r="AV16" s="1">
        <v>30</v>
      </c>
      <c r="AW16" s="1">
        <v>31</v>
      </c>
      <c r="AX16" s="1">
        <v>31</v>
      </c>
      <c r="AY16" s="1">
        <v>28</v>
      </c>
      <c r="AZ16" s="1">
        <v>31</v>
      </c>
      <c r="BA16" s="1">
        <v>30</v>
      </c>
      <c r="BB16" s="1">
        <v>31</v>
      </c>
      <c r="BC16" s="1">
        <v>30</v>
      </c>
      <c r="BD16" s="1">
        <v>31</v>
      </c>
      <c r="BE16" s="1">
        <v>31</v>
      </c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J16" s="2">
        <f>SUM(DJ11:DJ13)</f>
        <v>2475</v>
      </c>
    </row>
    <row r="17" spans="1:111" ht="15.5" x14ac:dyDescent="0.3">
      <c r="A17" s="1">
        <v>2018</v>
      </c>
      <c r="B17" s="1" t="s">
        <v>19</v>
      </c>
      <c r="C17" s="2">
        <f>124619/25</f>
        <v>4984.76</v>
      </c>
      <c r="D17" s="2">
        <f>143678/28</f>
        <v>5131.3571428571431</v>
      </c>
      <c r="E17" s="2">
        <f>168549/31</f>
        <v>5437.0645161290322</v>
      </c>
      <c r="F17" s="2">
        <f>156807/30</f>
        <v>5226.8999999999996</v>
      </c>
      <c r="G17" s="2">
        <f>156807/30</f>
        <v>5226.8999999999996</v>
      </c>
      <c r="H17" s="2">
        <f>165999/30</f>
        <v>5533.3</v>
      </c>
      <c r="I17" s="2">
        <f>152543/29</f>
        <v>5260.1034482758623</v>
      </c>
      <c r="J17" s="2">
        <f>170587/31</f>
        <v>5502.8064516129034</v>
      </c>
      <c r="K17" s="2">
        <f>161570/30</f>
        <v>5385.666666666667</v>
      </c>
      <c r="L17" s="2">
        <f>170020/31</f>
        <v>5484.5161290322585</v>
      </c>
      <c r="M17" s="2">
        <f>160926/30</f>
        <v>5364.2</v>
      </c>
      <c r="N17" s="2">
        <f>159712/31</f>
        <v>5152</v>
      </c>
      <c r="O17" s="1"/>
      <c r="P17" s="1"/>
      <c r="Q17" s="1"/>
      <c r="S17" s="1" t="s">
        <v>19</v>
      </c>
      <c r="T17" s="2">
        <v>31</v>
      </c>
      <c r="U17" s="2">
        <v>31</v>
      </c>
      <c r="V17" s="2">
        <v>29</v>
      </c>
      <c r="W17" s="2">
        <v>31</v>
      </c>
      <c r="X17" s="2">
        <v>30</v>
      </c>
      <c r="Y17" s="2">
        <v>30</v>
      </c>
      <c r="Z17" s="2">
        <v>31</v>
      </c>
      <c r="AA17" s="2">
        <v>28</v>
      </c>
      <c r="AB17" s="2">
        <v>31</v>
      </c>
      <c r="AC17" s="2">
        <v>30</v>
      </c>
      <c r="AD17" s="2">
        <v>31</v>
      </c>
      <c r="AE17" s="2">
        <v>28</v>
      </c>
      <c r="AF17" s="2">
        <v>31</v>
      </c>
      <c r="AG17" s="2">
        <v>30</v>
      </c>
      <c r="AH17" s="2">
        <v>28</v>
      </c>
      <c r="AI17" s="2">
        <v>28</v>
      </c>
      <c r="AJ17" s="2">
        <v>30</v>
      </c>
      <c r="AK17" s="2">
        <v>31</v>
      </c>
      <c r="AL17" s="2">
        <v>25</v>
      </c>
      <c r="AM17" s="2">
        <v>28</v>
      </c>
      <c r="AN17" s="2">
        <v>31</v>
      </c>
      <c r="AO17" s="2">
        <v>30</v>
      </c>
      <c r="AP17" s="2">
        <v>30</v>
      </c>
      <c r="AQ17" s="2">
        <v>30</v>
      </c>
      <c r="AR17" s="2">
        <v>29</v>
      </c>
      <c r="AS17" s="2">
        <v>31</v>
      </c>
      <c r="AT17" s="2">
        <v>30</v>
      </c>
      <c r="AU17" s="2">
        <v>31</v>
      </c>
      <c r="AV17" s="2">
        <v>30</v>
      </c>
      <c r="AW17" s="2">
        <v>31</v>
      </c>
      <c r="AX17" s="2">
        <v>31</v>
      </c>
      <c r="AY17" s="2">
        <v>28</v>
      </c>
      <c r="AZ17" s="2">
        <v>31</v>
      </c>
      <c r="BA17" s="2">
        <v>30</v>
      </c>
      <c r="BB17" s="2">
        <v>21</v>
      </c>
      <c r="BC17" s="2">
        <v>30</v>
      </c>
      <c r="BD17" s="2">
        <v>24</v>
      </c>
      <c r="BE17" s="2">
        <v>31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</row>
    <row r="18" spans="1:111" ht="15.5" x14ac:dyDescent="0.3">
      <c r="A18" s="1"/>
      <c r="B18" s="1" t="s">
        <v>20</v>
      </c>
      <c r="C18" s="2">
        <f>93407/25</f>
        <v>3736.28</v>
      </c>
      <c r="D18" s="2">
        <f>104974/28</f>
        <v>3749.0714285714284</v>
      </c>
      <c r="E18" s="2">
        <f>124517/31</f>
        <v>4016.6774193548385</v>
      </c>
      <c r="F18" s="2">
        <f>116746/30</f>
        <v>3891.5333333333333</v>
      </c>
      <c r="G18" s="2">
        <f>127768/31</f>
        <v>4121.5483870967746</v>
      </c>
      <c r="H18" s="2">
        <f>122593/30</f>
        <v>4086.4333333333334</v>
      </c>
      <c r="I18" s="2">
        <f>104032/29</f>
        <v>3587.3103448275861</v>
      </c>
      <c r="J18" s="2">
        <f>116721/31</f>
        <v>3765.1935483870966</v>
      </c>
      <c r="K18" s="2">
        <f>110301/30</f>
        <v>3676.7</v>
      </c>
      <c r="L18" s="2">
        <f>99953/31</f>
        <v>3224.2903225806454</v>
      </c>
      <c r="M18" s="2">
        <f>88653/30</f>
        <v>2955.1</v>
      </c>
      <c r="N18" s="2">
        <f>87180/31</f>
        <v>2812.2580645161293</v>
      </c>
      <c r="O18" s="1"/>
      <c r="P18" s="1"/>
      <c r="Q18" s="1"/>
      <c r="S18" s="1" t="s">
        <v>20</v>
      </c>
      <c r="T18" s="2">
        <v>31</v>
      </c>
      <c r="U18" s="2">
        <v>31</v>
      </c>
      <c r="V18" s="2">
        <v>29</v>
      </c>
      <c r="W18" s="2">
        <v>31</v>
      </c>
      <c r="X18" s="2">
        <v>30</v>
      </c>
      <c r="Y18" s="2">
        <v>29</v>
      </c>
      <c r="Z18" s="2">
        <v>31</v>
      </c>
      <c r="AA18" s="2">
        <v>28</v>
      </c>
      <c r="AB18" s="2">
        <v>30</v>
      </c>
      <c r="AC18" s="2">
        <v>30</v>
      </c>
      <c r="AD18" s="2">
        <v>31</v>
      </c>
      <c r="AE18" s="2">
        <v>28</v>
      </c>
      <c r="AF18" s="2">
        <v>31</v>
      </c>
      <c r="AG18" s="2">
        <v>30</v>
      </c>
      <c r="AH18" s="2">
        <v>28</v>
      </c>
      <c r="AI18" s="2">
        <v>28</v>
      </c>
      <c r="AJ18" s="2">
        <v>30</v>
      </c>
      <c r="AK18" s="2">
        <v>31</v>
      </c>
      <c r="AL18" s="2">
        <v>25</v>
      </c>
      <c r="AM18" s="2">
        <v>28</v>
      </c>
      <c r="AN18" s="2">
        <v>31</v>
      </c>
      <c r="AO18" s="2">
        <v>30</v>
      </c>
      <c r="AP18" s="2">
        <v>31</v>
      </c>
      <c r="AQ18" s="2">
        <v>30</v>
      </c>
      <c r="AR18" s="2">
        <v>29</v>
      </c>
      <c r="AS18" s="2">
        <v>31</v>
      </c>
      <c r="AT18" s="2">
        <v>30</v>
      </c>
      <c r="AU18" s="2">
        <v>31</v>
      </c>
      <c r="AV18" s="2">
        <v>30</v>
      </c>
      <c r="AW18" s="2">
        <v>31</v>
      </c>
      <c r="AX18" s="2">
        <v>31</v>
      </c>
      <c r="AY18" s="2">
        <v>28</v>
      </c>
      <c r="AZ18" s="2">
        <v>31</v>
      </c>
      <c r="BA18" s="2">
        <v>30</v>
      </c>
      <c r="BB18" s="2">
        <v>21</v>
      </c>
      <c r="BC18" s="2">
        <v>30</v>
      </c>
      <c r="BD18" s="2">
        <v>29</v>
      </c>
      <c r="BE18" s="2">
        <v>31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</row>
    <row r="19" spans="1:111" ht="15.5" x14ac:dyDescent="0.3">
      <c r="A19" s="1"/>
      <c r="B19" s="1" t="s">
        <v>21</v>
      </c>
      <c r="C19" s="2">
        <v>0</v>
      </c>
      <c r="D19" s="2">
        <f>0</f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/>
      <c r="P19" s="1"/>
      <c r="Q19" s="1"/>
      <c r="S19" s="1" t="s">
        <v>21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>
        <v>0</v>
      </c>
      <c r="AK19" s="2">
        <v>0</v>
      </c>
      <c r="AL19" s="2">
        <v>0</v>
      </c>
      <c r="AM19" s="2">
        <f>0</f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</row>
    <row r="20" spans="1:111" ht="15.5" x14ac:dyDescent="0.3">
      <c r="B20" s="1" t="s">
        <v>22</v>
      </c>
      <c r="C20" s="2">
        <f>190135/25</f>
        <v>7605.4</v>
      </c>
      <c r="D20" s="2">
        <f>228139/28</f>
        <v>8147.8214285714284</v>
      </c>
      <c r="E20" s="2">
        <f>270420/31</f>
        <v>8723.2258064516136</v>
      </c>
      <c r="F20" s="2">
        <f>278351/30</f>
        <v>9278.3666666666668</v>
      </c>
      <c r="G20" s="2">
        <f>305489/31</f>
        <v>9854.4838709677424</v>
      </c>
      <c r="H20" s="2">
        <f>298624/30</f>
        <v>9954.1333333333332</v>
      </c>
      <c r="I20" s="2">
        <f>270872/29</f>
        <v>9340.4137931034475</v>
      </c>
      <c r="J20" s="2">
        <f>324942/31</f>
        <v>10482</v>
      </c>
      <c r="K20" s="2">
        <f>327469/30</f>
        <v>10915.633333333333</v>
      </c>
      <c r="L20" s="2">
        <f>360156/31</f>
        <v>11617.935483870968</v>
      </c>
      <c r="M20" s="2">
        <f>366406/30</f>
        <v>12213.533333333333</v>
      </c>
      <c r="N20" s="2">
        <f>379329/31</f>
        <v>12236.41935483871</v>
      </c>
      <c r="O20" s="1"/>
      <c r="P20" s="1"/>
      <c r="Q20" s="1"/>
      <c r="S20" s="1" t="s">
        <v>22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0</v>
      </c>
      <c r="AJ20" s="2">
        <v>2</v>
      </c>
      <c r="AK20" s="2">
        <v>31</v>
      </c>
      <c r="AL20" s="2">
        <v>25</v>
      </c>
      <c r="AM20" s="2">
        <v>28</v>
      </c>
      <c r="AN20" s="2">
        <v>31</v>
      </c>
      <c r="AO20" s="2">
        <v>30</v>
      </c>
      <c r="AP20" s="2">
        <v>31</v>
      </c>
      <c r="AQ20" s="2">
        <v>30</v>
      </c>
      <c r="AR20" s="2">
        <v>29</v>
      </c>
      <c r="AS20" s="2">
        <v>31</v>
      </c>
      <c r="AT20" s="2">
        <v>30</v>
      </c>
      <c r="AU20" s="2">
        <v>31</v>
      </c>
      <c r="AV20" s="2">
        <v>30</v>
      </c>
      <c r="AW20" s="2">
        <v>31</v>
      </c>
      <c r="AX20" s="2">
        <v>31</v>
      </c>
      <c r="AY20" s="2">
        <v>28</v>
      </c>
      <c r="AZ20" s="2">
        <v>31</v>
      </c>
      <c r="BA20" s="2">
        <v>30</v>
      </c>
      <c r="BB20" s="2">
        <v>21</v>
      </c>
      <c r="BC20" s="2">
        <v>30</v>
      </c>
      <c r="BD20" s="2">
        <v>29</v>
      </c>
      <c r="BE20" s="2">
        <v>31</v>
      </c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</row>
    <row r="21" spans="1:111" ht="15.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11" ht="15.5" x14ac:dyDescent="0.3">
      <c r="A22" s="1"/>
      <c r="B22" s="1"/>
      <c r="C22" s="1" t="s">
        <v>24</v>
      </c>
      <c r="D22" s="1" t="s">
        <v>25</v>
      </c>
      <c r="E22" s="1" t="s">
        <v>26</v>
      </c>
      <c r="F22" s="1" t="s">
        <v>27</v>
      </c>
      <c r="G22" s="1" t="s">
        <v>28</v>
      </c>
      <c r="H22" s="1" t="s">
        <v>29</v>
      </c>
      <c r="I22" s="1" t="s">
        <v>30</v>
      </c>
      <c r="J22" s="1" t="s">
        <v>31</v>
      </c>
      <c r="K22" s="1" t="s">
        <v>32</v>
      </c>
      <c r="L22" s="1" t="s">
        <v>33</v>
      </c>
      <c r="M22" s="1" t="s">
        <v>34</v>
      </c>
      <c r="N22" s="1" t="s">
        <v>35</v>
      </c>
      <c r="O22" s="1"/>
      <c r="P22" s="1"/>
      <c r="Q22" s="1"/>
      <c r="T22" s="1" t="s">
        <v>6</v>
      </c>
      <c r="U22" s="1" t="s">
        <v>7</v>
      </c>
      <c r="V22" s="1" t="s">
        <v>8</v>
      </c>
      <c r="W22" s="1" t="s">
        <v>9</v>
      </c>
      <c r="X22" s="1" t="s">
        <v>10</v>
      </c>
      <c r="Y22" s="1" t="s">
        <v>11</v>
      </c>
      <c r="Z22" s="1" t="s">
        <v>0</v>
      </c>
      <c r="AA22" s="1" t="s">
        <v>1</v>
      </c>
      <c r="AB22" s="1" t="s">
        <v>2</v>
      </c>
      <c r="AC22" s="1" t="s">
        <v>3</v>
      </c>
      <c r="AD22" s="1" t="s">
        <v>4</v>
      </c>
      <c r="AE22" s="1" t="s">
        <v>5</v>
      </c>
      <c r="AF22" s="1" t="s">
        <v>6</v>
      </c>
      <c r="AG22" s="1" t="s">
        <v>7</v>
      </c>
      <c r="AH22" s="1" t="s">
        <v>8</v>
      </c>
      <c r="AI22" s="1" t="s">
        <v>9</v>
      </c>
      <c r="AJ22" s="1" t="s">
        <v>10</v>
      </c>
      <c r="AK22" s="1" t="s">
        <v>11</v>
      </c>
      <c r="AL22" s="1" t="s">
        <v>0</v>
      </c>
      <c r="AM22" s="1" t="s">
        <v>1</v>
      </c>
      <c r="AN22" s="1" t="s">
        <v>2</v>
      </c>
      <c r="AO22" s="1" t="s">
        <v>3</v>
      </c>
      <c r="AP22" s="1" t="s">
        <v>4</v>
      </c>
      <c r="AQ22" s="1" t="s">
        <v>5</v>
      </c>
      <c r="AR22" s="1" t="s">
        <v>6</v>
      </c>
      <c r="AS22" s="1" t="s">
        <v>7</v>
      </c>
      <c r="AT22" s="1" t="s">
        <v>8</v>
      </c>
      <c r="AU22" s="1" t="s">
        <v>9</v>
      </c>
      <c r="AV22" s="1" t="s">
        <v>10</v>
      </c>
      <c r="AW22" s="1" t="s">
        <v>11</v>
      </c>
      <c r="AX22" s="1" t="s">
        <v>0</v>
      </c>
      <c r="AY22" s="1" t="s">
        <v>1</v>
      </c>
      <c r="AZ22" s="1" t="s">
        <v>2</v>
      </c>
      <c r="BA22" s="1" t="s">
        <v>3</v>
      </c>
      <c r="BB22" s="1" t="s">
        <v>4</v>
      </c>
      <c r="BC22" s="1" t="s">
        <v>5</v>
      </c>
      <c r="BD22" s="1" t="s">
        <v>6</v>
      </c>
      <c r="BE22" s="1" t="s">
        <v>7</v>
      </c>
      <c r="BF22" s="1" t="s">
        <v>13</v>
      </c>
      <c r="BG22" s="1" t="s">
        <v>54</v>
      </c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 t="s">
        <v>13</v>
      </c>
    </row>
    <row r="23" spans="1:111" ht="15.5" x14ac:dyDescent="0.3">
      <c r="A23" s="1">
        <v>2019</v>
      </c>
      <c r="B23" s="1" t="s">
        <v>19</v>
      </c>
      <c r="C23" s="2">
        <f>157733/31</f>
        <v>5088.1612903225805</v>
      </c>
      <c r="D23" s="2">
        <f>141797/28</f>
        <v>5064.1785714285716</v>
      </c>
      <c r="E23" s="2">
        <f>147438/31</f>
        <v>4756.0645161290322</v>
      </c>
      <c r="F23" s="2">
        <f>139853/30</f>
        <v>4661.7666666666664</v>
      </c>
      <c r="G23" s="2">
        <f>101927/21</f>
        <v>4853.666666666667</v>
      </c>
      <c r="H23" s="2">
        <f>138616/30</f>
        <v>4620.5333333333338</v>
      </c>
      <c r="I23" s="2">
        <f>75254/24</f>
        <v>3135.5833333333335</v>
      </c>
      <c r="J23" s="2">
        <f>120385/31</f>
        <v>3883.3870967741937</v>
      </c>
      <c r="K23" s="2">
        <v>0</v>
      </c>
      <c r="L23" s="2">
        <v>0</v>
      </c>
      <c r="M23" s="2">
        <v>0</v>
      </c>
      <c r="N23" s="2">
        <v>0</v>
      </c>
      <c r="O23" s="1"/>
      <c r="P23" s="1"/>
      <c r="Q23" s="1"/>
      <c r="S23" s="5" t="s">
        <v>12</v>
      </c>
      <c r="T23" s="1">
        <v>31</v>
      </c>
      <c r="U23" s="1">
        <v>31</v>
      </c>
      <c r="V23" s="1">
        <v>30</v>
      </c>
      <c r="W23" s="1">
        <v>31</v>
      </c>
      <c r="X23" s="1">
        <v>30</v>
      </c>
      <c r="Y23" s="1">
        <v>31</v>
      </c>
      <c r="Z23" s="1">
        <v>31</v>
      </c>
      <c r="AA23" s="1">
        <v>28</v>
      </c>
      <c r="AB23" s="1">
        <v>31</v>
      </c>
      <c r="AC23" s="1">
        <v>30</v>
      </c>
      <c r="AD23" s="1">
        <v>31</v>
      </c>
      <c r="AE23" s="1">
        <v>30</v>
      </c>
      <c r="AF23" s="1">
        <v>31</v>
      </c>
      <c r="AG23" s="1">
        <v>31</v>
      </c>
      <c r="AH23" s="1">
        <v>30</v>
      </c>
      <c r="AI23" s="1">
        <v>31</v>
      </c>
      <c r="AJ23" s="1">
        <v>30</v>
      </c>
      <c r="AK23" s="1">
        <v>31</v>
      </c>
      <c r="AL23" s="1">
        <v>31</v>
      </c>
      <c r="AM23" s="1">
        <v>28</v>
      </c>
      <c r="AN23" s="1">
        <v>31</v>
      </c>
      <c r="AO23" s="1">
        <v>30</v>
      </c>
      <c r="AP23" s="1">
        <v>31</v>
      </c>
      <c r="AQ23" s="1">
        <v>30</v>
      </c>
      <c r="AR23" s="1">
        <v>31</v>
      </c>
      <c r="AS23" s="1">
        <v>31</v>
      </c>
      <c r="AT23" s="1">
        <v>30</v>
      </c>
      <c r="AU23" s="1">
        <v>31</v>
      </c>
      <c r="AV23" s="1">
        <v>30</v>
      </c>
      <c r="AW23" s="1">
        <v>31</v>
      </c>
      <c r="AX23" s="1">
        <v>31</v>
      </c>
      <c r="AY23" s="1">
        <v>28</v>
      </c>
      <c r="AZ23" s="1">
        <v>31</v>
      </c>
      <c r="BA23" s="1">
        <v>30</v>
      </c>
      <c r="BB23" s="1">
        <v>31</v>
      </c>
      <c r="BC23" s="1">
        <v>30</v>
      </c>
      <c r="BD23" s="1">
        <v>31</v>
      </c>
      <c r="BE23" s="1">
        <v>31</v>
      </c>
      <c r="BF23" s="1"/>
      <c r="BG23" s="31">
        <f>AVERAGE(BF24:BF27)</f>
        <v>0.71756058033647163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11" ht="15.5" x14ac:dyDescent="0.3">
      <c r="A24" s="1"/>
      <c r="B24" s="1" t="s">
        <v>20</v>
      </c>
      <c r="C24" s="2">
        <f>87603/31</f>
        <v>2825.9032258064517</v>
      </c>
      <c r="D24" s="2">
        <f>82288/28</f>
        <v>2938.8571428571427</v>
      </c>
      <c r="E24" s="2">
        <f>87604/31</f>
        <v>2825.9354838709678</v>
      </c>
      <c r="F24" s="2">
        <f>103162/30</f>
        <v>3438.7333333333331</v>
      </c>
      <c r="G24" s="2">
        <f>72439/21</f>
        <v>3449.4761904761904</v>
      </c>
      <c r="H24" s="2">
        <f>103442/30</f>
        <v>3448.0666666666666</v>
      </c>
      <c r="I24" s="2">
        <f>96429/29</f>
        <v>3325.1379310344828</v>
      </c>
      <c r="J24" s="2">
        <f>107480/31</f>
        <v>3467.0967741935483</v>
      </c>
      <c r="K24" s="2">
        <v>0</v>
      </c>
      <c r="L24" s="2">
        <v>0</v>
      </c>
      <c r="M24" s="2">
        <v>0</v>
      </c>
      <c r="N24" s="2">
        <v>0</v>
      </c>
      <c r="O24" s="1"/>
      <c r="P24" s="1"/>
      <c r="Q24" s="1"/>
      <c r="S24" s="1" t="s">
        <v>19</v>
      </c>
      <c r="T24" s="3">
        <f t="shared" ref="T24:BE24" si="7">T17/T$23</f>
        <v>1</v>
      </c>
      <c r="U24" s="3">
        <f t="shared" si="7"/>
        <v>1</v>
      </c>
      <c r="V24" s="3">
        <f t="shared" si="7"/>
        <v>0.96666666666666667</v>
      </c>
      <c r="W24" s="3">
        <f t="shared" si="7"/>
        <v>1</v>
      </c>
      <c r="X24" s="3">
        <f t="shared" si="7"/>
        <v>1</v>
      </c>
      <c r="Y24" s="3">
        <f t="shared" si="7"/>
        <v>0.967741935483871</v>
      </c>
      <c r="Z24" s="3">
        <f t="shared" si="7"/>
        <v>1</v>
      </c>
      <c r="AA24" s="3">
        <f t="shared" si="7"/>
        <v>1</v>
      </c>
      <c r="AB24" s="3">
        <f t="shared" si="7"/>
        <v>1</v>
      </c>
      <c r="AC24" s="3">
        <f t="shared" si="7"/>
        <v>1</v>
      </c>
      <c r="AD24" s="3">
        <f t="shared" si="7"/>
        <v>1</v>
      </c>
      <c r="AE24" s="3">
        <f t="shared" si="7"/>
        <v>0.93333333333333335</v>
      </c>
      <c r="AF24" s="3">
        <f t="shared" si="7"/>
        <v>1</v>
      </c>
      <c r="AG24" s="3">
        <f t="shared" si="7"/>
        <v>0.967741935483871</v>
      </c>
      <c r="AH24" s="3">
        <f t="shared" si="7"/>
        <v>0.93333333333333335</v>
      </c>
      <c r="AI24" s="3">
        <f t="shared" si="7"/>
        <v>0.90322580645161288</v>
      </c>
      <c r="AJ24" s="3">
        <f t="shared" si="7"/>
        <v>1</v>
      </c>
      <c r="AK24" s="3">
        <f t="shared" si="7"/>
        <v>1</v>
      </c>
      <c r="AL24" s="3">
        <f t="shared" si="7"/>
        <v>0.80645161290322576</v>
      </c>
      <c r="AM24" s="3">
        <f t="shared" si="7"/>
        <v>1</v>
      </c>
      <c r="AN24" s="3">
        <f t="shared" si="7"/>
        <v>1</v>
      </c>
      <c r="AO24" s="3">
        <f t="shared" si="7"/>
        <v>1</v>
      </c>
      <c r="AP24" s="3">
        <f t="shared" si="7"/>
        <v>0.967741935483871</v>
      </c>
      <c r="AQ24" s="3">
        <f t="shared" si="7"/>
        <v>1</v>
      </c>
      <c r="AR24" s="3">
        <f t="shared" si="7"/>
        <v>0.93548387096774188</v>
      </c>
      <c r="AS24" s="3">
        <f t="shared" si="7"/>
        <v>1</v>
      </c>
      <c r="AT24" s="3">
        <f t="shared" si="7"/>
        <v>1</v>
      </c>
      <c r="AU24" s="3">
        <f t="shared" si="7"/>
        <v>1</v>
      </c>
      <c r="AV24" s="3">
        <f t="shared" si="7"/>
        <v>1</v>
      </c>
      <c r="AW24" s="3">
        <f t="shared" si="7"/>
        <v>1</v>
      </c>
      <c r="AX24" s="3">
        <f t="shared" si="7"/>
        <v>1</v>
      </c>
      <c r="AY24" s="3">
        <f t="shared" si="7"/>
        <v>1</v>
      </c>
      <c r="AZ24" s="3">
        <f t="shared" si="7"/>
        <v>1</v>
      </c>
      <c r="BA24" s="3">
        <f t="shared" si="7"/>
        <v>1</v>
      </c>
      <c r="BB24" s="3">
        <f t="shared" si="7"/>
        <v>0.67741935483870963</v>
      </c>
      <c r="BC24" s="3">
        <f t="shared" si="7"/>
        <v>1</v>
      </c>
      <c r="BD24" s="3">
        <f t="shared" si="7"/>
        <v>0.77419354838709675</v>
      </c>
      <c r="BE24" s="3">
        <f t="shared" si="7"/>
        <v>1</v>
      </c>
      <c r="BF24" s="3">
        <f>AVERAGE(T24:BE24)</f>
        <v>0.96929824561403499</v>
      </c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>
        <f>AVERAGE(T24:DE24)</f>
        <v>0.96929824561403499</v>
      </c>
    </row>
    <row r="25" spans="1:111" ht="15.5" x14ac:dyDescent="0.3">
      <c r="A25" s="1"/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"/>
      <c r="P25" s="1"/>
      <c r="Q25" s="1"/>
      <c r="S25" s="1" t="s">
        <v>20</v>
      </c>
      <c r="T25" s="3">
        <f t="shared" ref="T25:BE25" si="8">T18/T$23</f>
        <v>1</v>
      </c>
      <c r="U25" s="3">
        <f t="shared" si="8"/>
        <v>1</v>
      </c>
      <c r="V25" s="3">
        <f t="shared" si="8"/>
        <v>0.96666666666666667</v>
      </c>
      <c r="W25" s="3">
        <f t="shared" si="8"/>
        <v>1</v>
      </c>
      <c r="X25" s="3">
        <f t="shared" si="8"/>
        <v>1</v>
      </c>
      <c r="Y25" s="3">
        <f t="shared" si="8"/>
        <v>0.93548387096774188</v>
      </c>
      <c r="Z25" s="3">
        <f t="shared" si="8"/>
        <v>1</v>
      </c>
      <c r="AA25" s="3">
        <f t="shared" si="8"/>
        <v>1</v>
      </c>
      <c r="AB25" s="3">
        <f t="shared" si="8"/>
        <v>0.967741935483871</v>
      </c>
      <c r="AC25" s="3">
        <f t="shared" si="8"/>
        <v>1</v>
      </c>
      <c r="AD25" s="3">
        <f t="shared" si="8"/>
        <v>1</v>
      </c>
      <c r="AE25" s="3">
        <f t="shared" si="8"/>
        <v>0.93333333333333335</v>
      </c>
      <c r="AF25" s="3">
        <f t="shared" si="8"/>
        <v>1</v>
      </c>
      <c r="AG25" s="3">
        <f t="shared" si="8"/>
        <v>0.967741935483871</v>
      </c>
      <c r="AH25" s="3">
        <f t="shared" si="8"/>
        <v>0.93333333333333335</v>
      </c>
      <c r="AI25" s="3">
        <f t="shared" si="8"/>
        <v>0.90322580645161288</v>
      </c>
      <c r="AJ25" s="3">
        <f t="shared" si="8"/>
        <v>1</v>
      </c>
      <c r="AK25" s="3">
        <f t="shared" si="8"/>
        <v>1</v>
      </c>
      <c r="AL25" s="3">
        <f t="shared" si="8"/>
        <v>0.80645161290322576</v>
      </c>
      <c r="AM25" s="3">
        <f t="shared" si="8"/>
        <v>1</v>
      </c>
      <c r="AN25" s="3">
        <f t="shared" si="8"/>
        <v>1</v>
      </c>
      <c r="AO25" s="3">
        <f t="shared" si="8"/>
        <v>1</v>
      </c>
      <c r="AP25" s="3">
        <f t="shared" si="8"/>
        <v>1</v>
      </c>
      <c r="AQ25" s="3">
        <f t="shared" si="8"/>
        <v>1</v>
      </c>
      <c r="AR25" s="3">
        <f t="shared" si="8"/>
        <v>0.93548387096774188</v>
      </c>
      <c r="AS25" s="3">
        <f t="shared" si="8"/>
        <v>1</v>
      </c>
      <c r="AT25" s="3">
        <f t="shared" si="8"/>
        <v>1</v>
      </c>
      <c r="AU25" s="3">
        <f t="shared" si="8"/>
        <v>1</v>
      </c>
      <c r="AV25" s="3">
        <f t="shared" si="8"/>
        <v>1</v>
      </c>
      <c r="AW25" s="3">
        <f t="shared" si="8"/>
        <v>1</v>
      </c>
      <c r="AX25" s="3">
        <f t="shared" si="8"/>
        <v>1</v>
      </c>
      <c r="AY25" s="3">
        <f t="shared" si="8"/>
        <v>1</v>
      </c>
      <c r="AZ25" s="3">
        <f t="shared" si="8"/>
        <v>1</v>
      </c>
      <c r="BA25" s="3">
        <f t="shared" si="8"/>
        <v>1</v>
      </c>
      <c r="BB25" s="3">
        <f t="shared" si="8"/>
        <v>0.67741935483870963</v>
      </c>
      <c r="BC25" s="3">
        <f t="shared" si="8"/>
        <v>1</v>
      </c>
      <c r="BD25" s="3">
        <f t="shared" si="8"/>
        <v>0.93548387096774188</v>
      </c>
      <c r="BE25" s="3">
        <f t="shared" si="8"/>
        <v>1</v>
      </c>
      <c r="BF25" s="3">
        <f>AVERAGE(T25:BE25)</f>
        <v>0.97269383135257492</v>
      </c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>
        <f>AVERAGE(Y25:DE25)</f>
        <v>0.96965861047305157</v>
      </c>
    </row>
    <row r="26" spans="1:111" ht="15" customHeight="1" x14ac:dyDescent="0.3">
      <c r="B26" s="1" t="s">
        <v>22</v>
      </c>
      <c r="C26" s="2">
        <f>396347/31</f>
        <v>12785.387096774193</v>
      </c>
      <c r="D26" s="2">
        <f>373479/28</f>
        <v>13338.535714285714</v>
      </c>
      <c r="E26" s="2">
        <f>398077/31</f>
        <v>12841.193548387097</v>
      </c>
      <c r="F26" s="2">
        <f>393737/30</f>
        <v>13124.566666666668</v>
      </c>
      <c r="G26" s="2">
        <f>277148/21</f>
        <v>13197.523809523809</v>
      </c>
      <c r="H26" s="2">
        <f>389171/30</f>
        <v>12972.366666666667</v>
      </c>
      <c r="I26" s="2">
        <f>351582/29</f>
        <v>12123.51724137931</v>
      </c>
      <c r="J26" s="2">
        <f>404850/31</f>
        <v>13059.677419354839</v>
      </c>
      <c r="K26" s="2">
        <v>0</v>
      </c>
      <c r="L26" s="2">
        <v>0</v>
      </c>
      <c r="M26" s="2">
        <v>0</v>
      </c>
      <c r="N26" s="2">
        <v>0</v>
      </c>
      <c r="O26" s="1"/>
      <c r="P26" s="1"/>
      <c r="Q26" s="1"/>
      <c r="S26" s="1" t="s">
        <v>21</v>
      </c>
      <c r="T26" s="3">
        <f t="shared" ref="T26:BE26" si="9">T19/T$23</f>
        <v>0</v>
      </c>
      <c r="U26" s="3">
        <f t="shared" si="9"/>
        <v>0</v>
      </c>
      <c r="V26" s="3">
        <f t="shared" si="9"/>
        <v>0</v>
      </c>
      <c r="W26" s="3">
        <f t="shared" si="9"/>
        <v>0</v>
      </c>
      <c r="X26" s="3">
        <f t="shared" si="9"/>
        <v>0</v>
      </c>
      <c r="Y26" s="3">
        <f t="shared" si="9"/>
        <v>0</v>
      </c>
      <c r="Z26" s="3">
        <f t="shared" si="9"/>
        <v>0</v>
      </c>
      <c r="AA26" s="3">
        <f t="shared" si="9"/>
        <v>0</v>
      </c>
      <c r="AB26" s="3">
        <f t="shared" si="9"/>
        <v>0</v>
      </c>
      <c r="AC26" s="3">
        <f t="shared" si="9"/>
        <v>0</v>
      </c>
      <c r="AD26" s="3">
        <f t="shared" si="9"/>
        <v>0</v>
      </c>
      <c r="AE26" s="3">
        <f t="shared" si="9"/>
        <v>0</v>
      </c>
      <c r="AF26" s="3">
        <f t="shared" si="9"/>
        <v>0</v>
      </c>
      <c r="AG26" s="3">
        <f t="shared" si="9"/>
        <v>0</v>
      </c>
      <c r="AH26" s="3">
        <f t="shared" si="9"/>
        <v>0</v>
      </c>
      <c r="AI26" s="3">
        <f t="shared" si="9"/>
        <v>0</v>
      </c>
      <c r="AJ26" s="3">
        <f t="shared" si="9"/>
        <v>0</v>
      </c>
      <c r="AK26" s="3">
        <f t="shared" si="9"/>
        <v>0</v>
      </c>
      <c r="AL26" s="3">
        <f t="shared" si="9"/>
        <v>0</v>
      </c>
      <c r="AM26" s="3">
        <f t="shared" si="9"/>
        <v>0</v>
      </c>
      <c r="AN26" s="3">
        <f t="shared" si="9"/>
        <v>0</v>
      </c>
      <c r="AO26" s="3">
        <f t="shared" si="9"/>
        <v>0</v>
      </c>
      <c r="AP26" s="3">
        <f t="shared" si="9"/>
        <v>0</v>
      </c>
      <c r="AQ26" s="3">
        <f t="shared" si="9"/>
        <v>0</v>
      </c>
      <c r="AR26" s="3">
        <f t="shared" si="9"/>
        <v>0</v>
      </c>
      <c r="AS26" s="3">
        <f t="shared" si="9"/>
        <v>0</v>
      </c>
      <c r="AT26" s="3">
        <f t="shared" si="9"/>
        <v>0</v>
      </c>
      <c r="AU26" s="3">
        <f t="shared" si="9"/>
        <v>0</v>
      </c>
      <c r="AV26" s="3">
        <f t="shared" si="9"/>
        <v>0</v>
      </c>
      <c r="AW26" s="3">
        <f t="shared" si="9"/>
        <v>0</v>
      </c>
      <c r="AX26" s="3">
        <f t="shared" si="9"/>
        <v>0</v>
      </c>
      <c r="AY26" s="3">
        <f t="shared" si="9"/>
        <v>0</v>
      </c>
      <c r="AZ26" s="3">
        <f t="shared" si="9"/>
        <v>0</v>
      </c>
      <c r="BA26" s="3">
        <f t="shared" si="9"/>
        <v>0</v>
      </c>
      <c r="BB26" s="3">
        <f t="shared" si="9"/>
        <v>0</v>
      </c>
      <c r="BC26" s="3">
        <f t="shared" si="9"/>
        <v>0</v>
      </c>
      <c r="BD26" s="3">
        <f t="shared" si="9"/>
        <v>0</v>
      </c>
      <c r="BE26" s="3">
        <f t="shared" si="9"/>
        <v>0</v>
      </c>
      <c r="BF26" s="3">
        <f>AVERAGE(T26:BE26)</f>
        <v>0</v>
      </c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>
        <f>AVERAGE(AL26:DE26)</f>
        <v>0</v>
      </c>
    </row>
    <row r="27" spans="1:111" ht="15.5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S27" s="1" t="s">
        <v>22</v>
      </c>
      <c r="T27" s="3">
        <f t="shared" ref="T27:BE27" si="10">T20/T$23</f>
        <v>0</v>
      </c>
      <c r="U27" s="3">
        <f t="shared" si="10"/>
        <v>0</v>
      </c>
      <c r="V27" s="3">
        <f t="shared" si="10"/>
        <v>0</v>
      </c>
      <c r="W27" s="3">
        <f t="shared" si="10"/>
        <v>0</v>
      </c>
      <c r="X27" s="3">
        <f t="shared" si="10"/>
        <v>0</v>
      </c>
      <c r="Y27" s="3">
        <f t="shared" si="10"/>
        <v>0</v>
      </c>
      <c r="Z27" s="3">
        <f t="shared" si="10"/>
        <v>0</v>
      </c>
      <c r="AA27" s="3">
        <f t="shared" si="10"/>
        <v>0</v>
      </c>
      <c r="AB27" s="3">
        <f t="shared" si="10"/>
        <v>0</v>
      </c>
      <c r="AC27" s="3">
        <f t="shared" si="10"/>
        <v>0</v>
      </c>
      <c r="AD27" s="3">
        <f t="shared" si="10"/>
        <v>0</v>
      </c>
      <c r="AE27" s="3">
        <f t="shared" si="10"/>
        <v>0</v>
      </c>
      <c r="AF27" s="3">
        <f t="shared" si="10"/>
        <v>0</v>
      </c>
      <c r="AG27" s="3">
        <f t="shared" si="10"/>
        <v>0</v>
      </c>
      <c r="AH27" s="3">
        <f t="shared" si="10"/>
        <v>0</v>
      </c>
      <c r="AI27" s="3">
        <f t="shared" si="10"/>
        <v>0</v>
      </c>
      <c r="AJ27" s="3">
        <f t="shared" si="10"/>
        <v>6.6666666666666666E-2</v>
      </c>
      <c r="AK27" s="3">
        <f t="shared" si="10"/>
        <v>1</v>
      </c>
      <c r="AL27" s="3">
        <f t="shared" si="10"/>
        <v>0.80645161290322576</v>
      </c>
      <c r="AM27" s="3">
        <f t="shared" si="10"/>
        <v>1</v>
      </c>
      <c r="AN27" s="3">
        <f t="shared" si="10"/>
        <v>1</v>
      </c>
      <c r="AO27" s="3">
        <f t="shared" si="10"/>
        <v>1</v>
      </c>
      <c r="AP27" s="3">
        <f t="shared" si="10"/>
        <v>1</v>
      </c>
      <c r="AQ27" s="3">
        <f t="shared" si="10"/>
        <v>1</v>
      </c>
      <c r="AR27" s="3">
        <f t="shared" si="10"/>
        <v>0.93548387096774188</v>
      </c>
      <c r="AS27" s="3">
        <f t="shared" si="10"/>
        <v>1</v>
      </c>
      <c r="AT27" s="3">
        <f t="shared" si="10"/>
        <v>1</v>
      </c>
      <c r="AU27" s="3">
        <f t="shared" si="10"/>
        <v>1</v>
      </c>
      <c r="AV27" s="3">
        <f t="shared" si="10"/>
        <v>1</v>
      </c>
      <c r="AW27" s="3">
        <f t="shared" si="10"/>
        <v>1</v>
      </c>
      <c r="AX27" s="3">
        <f t="shared" si="10"/>
        <v>1</v>
      </c>
      <c r="AY27" s="3">
        <f t="shared" si="10"/>
        <v>1</v>
      </c>
      <c r="AZ27" s="3">
        <f t="shared" si="10"/>
        <v>1</v>
      </c>
      <c r="BA27" s="3">
        <f t="shared" si="10"/>
        <v>1</v>
      </c>
      <c r="BB27" s="3">
        <f t="shared" si="10"/>
        <v>0.67741935483870963</v>
      </c>
      <c r="BC27" s="3">
        <f t="shared" si="10"/>
        <v>1</v>
      </c>
      <c r="BD27" s="3">
        <f t="shared" si="10"/>
        <v>0.93548387096774188</v>
      </c>
      <c r="BE27" s="3">
        <f t="shared" si="10"/>
        <v>1</v>
      </c>
      <c r="BF27" s="3">
        <f>AVERAGE(AJ27:BE27)</f>
        <v>0.9282502443792765</v>
      </c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</row>
    <row r="28" spans="1:111" ht="15.5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S28" s="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</row>
    <row r="29" spans="1:111" ht="15.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DF29" s="3"/>
    </row>
    <row r="30" spans="1:111" ht="15.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DF30" s="3">
        <f>AVERAGE(DF24:DF28)</f>
        <v>0.64631895202902889</v>
      </c>
      <c r="DG30" s="7">
        <f>1.2*DG10</f>
        <v>0</v>
      </c>
    </row>
    <row r="31" spans="1:111" ht="15.5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</row>
    <row r="32" spans="1:111" ht="15.5" x14ac:dyDescent="0.3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</row>
    <row r="33" spans="1:17" ht="15.5" x14ac:dyDescent="0.3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</row>
    <row r="34" spans="1:17" ht="15.5" x14ac:dyDescent="0.3"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</row>
    <row r="35" spans="1:17" ht="15.5" x14ac:dyDescent="0.3"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</row>
    <row r="36" spans="1:17" ht="15.5" x14ac:dyDescent="0.3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</row>
    <row r="37" spans="1:17" ht="15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5" x14ac:dyDescent="0.3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</row>
    <row r="40" spans="1:17" ht="15.5" x14ac:dyDescent="0.3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</row>
    <row r="41" spans="1:17" ht="15.5" x14ac:dyDescent="0.3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7" ht="15.5" x14ac:dyDescent="0.3"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7" ht="15.5" x14ac:dyDescent="0.3"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7" ht="15.5" x14ac:dyDescent="0.3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6" spans="1:17" ht="15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7" ht="15.5" x14ac:dyDescent="0.3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7" ht="15.5" x14ac:dyDescent="0.3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5" x14ac:dyDescent="0.3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5" x14ac:dyDescent="0.3"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5" x14ac:dyDescent="0.3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5" x14ac:dyDescent="0.3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4" spans="1:14" ht="15.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5" x14ac:dyDescent="0.3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5" x14ac:dyDescent="0.3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5" x14ac:dyDescent="0.3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5" x14ac:dyDescent="0.3"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5" x14ac:dyDescent="0.3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5" x14ac:dyDescent="0.3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429"/>
  <sheetViews>
    <sheetView zoomScale="80" zoomScaleNormal="80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T16" sqref="T16"/>
    </sheetView>
  </sheetViews>
  <sheetFormatPr defaultRowHeight="13" x14ac:dyDescent="0.3"/>
  <cols>
    <col min="2" max="2" width="13.296875" bestFit="1" customWidth="1"/>
    <col min="3" max="3" width="10.8984375" bestFit="1" customWidth="1"/>
    <col min="4" max="4" width="6.19921875" customWidth="1"/>
    <col min="5" max="5" width="14" customWidth="1"/>
    <col min="78" max="78" width="11.5" bestFit="1" customWidth="1"/>
  </cols>
  <sheetData>
    <row r="1" spans="2:77" x14ac:dyDescent="0.3">
      <c r="C1" s="30" t="s">
        <v>53</v>
      </c>
      <c r="E1" s="25" t="s">
        <v>52</v>
      </c>
    </row>
    <row r="2" spans="2:77" s="27" customFormat="1" x14ac:dyDescent="0.3">
      <c r="B2" s="26" t="s">
        <v>42</v>
      </c>
      <c r="C2" s="26" t="s">
        <v>43</v>
      </c>
      <c r="E2" s="26" t="s">
        <v>50</v>
      </c>
    </row>
    <row r="3" spans="2:77" ht="13.5" x14ac:dyDescent="0.3">
      <c r="B3" s="23">
        <v>40914</v>
      </c>
      <c r="C3" s="24">
        <v>101.56</v>
      </c>
      <c r="F3" s="25" t="s">
        <v>24</v>
      </c>
      <c r="G3" s="25" t="s">
        <v>25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30</v>
      </c>
      <c r="M3" s="25" t="s">
        <v>31</v>
      </c>
      <c r="N3" s="25" t="s">
        <v>32</v>
      </c>
      <c r="O3" s="25" t="s">
        <v>33</v>
      </c>
      <c r="P3" s="25" t="s">
        <v>34</v>
      </c>
      <c r="Q3" s="25" t="s">
        <v>35</v>
      </c>
    </row>
    <row r="4" spans="2:77" ht="13.5" x14ac:dyDescent="0.3">
      <c r="B4" s="23">
        <v>40921</v>
      </c>
      <c r="C4" s="24">
        <v>98.7</v>
      </c>
      <c r="E4" s="28" t="s">
        <v>44</v>
      </c>
      <c r="F4" s="29">
        <v>108.12</v>
      </c>
      <c r="G4" s="29">
        <v>108.9</v>
      </c>
      <c r="H4" s="29">
        <v>107.48</v>
      </c>
      <c r="I4" s="29">
        <v>107.76</v>
      </c>
      <c r="J4" s="29">
        <v>109.54</v>
      </c>
      <c r="K4" s="29">
        <v>111.8</v>
      </c>
      <c r="L4" s="29">
        <v>106.77</v>
      </c>
      <c r="M4" s="29">
        <v>101.61</v>
      </c>
      <c r="N4" s="29">
        <v>97.09</v>
      </c>
      <c r="O4" s="29">
        <v>87.43</v>
      </c>
      <c r="P4" s="29">
        <v>79.44</v>
      </c>
      <c r="Q4" s="29">
        <v>62.34</v>
      </c>
    </row>
    <row r="5" spans="2:77" ht="13.5" x14ac:dyDescent="0.3">
      <c r="B5" s="23">
        <v>40928</v>
      </c>
      <c r="C5" s="24">
        <v>98.33</v>
      </c>
      <c r="E5" s="28" t="s">
        <v>45</v>
      </c>
      <c r="F5" s="29">
        <v>47.76</v>
      </c>
      <c r="G5" s="29">
        <v>58.1</v>
      </c>
      <c r="H5" s="29">
        <v>55.89</v>
      </c>
      <c r="I5" s="29">
        <v>59.52</v>
      </c>
      <c r="J5" s="29">
        <v>64.08</v>
      </c>
      <c r="K5" s="29">
        <v>61.48</v>
      </c>
      <c r="L5" s="29">
        <v>56.56</v>
      </c>
      <c r="M5" s="29">
        <v>46.52</v>
      </c>
      <c r="N5" s="29">
        <v>47.62</v>
      </c>
      <c r="O5" s="29">
        <v>48.43</v>
      </c>
      <c r="P5" s="29">
        <v>44.27</v>
      </c>
      <c r="Q5" s="29">
        <v>38.01</v>
      </c>
    </row>
    <row r="6" spans="2:77" ht="13.5" x14ac:dyDescent="0.3">
      <c r="B6" s="23">
        <v>40935</v>
      </c>
      <c r="C6" s="24">
        <v>99.56</v>
      </c>
      <c r="E6" s="28" t="s">
        <v>46</v>
      </c>
      <c r="F6" s="29">
        <v>30.7</v>
      </c>
      <c r="G6" s="29">
        <v>32.18</v>
      </c>
      <c r="H6" s="29">
        <v>38.21</v>
      </c>
      <c r="I6" s="29">
        <v>41.58</v>
      </c>
      <c r="J6" s="29">
        <v>46.74</v>
      </c>
      <c r="K6" s="29">
        <v>48.25</v>
      </c>
      <c r="L6" s="29">
        <v>44.95</v>
      </c>
      <c r="M6" s="29">
        <v>45.84</v>
      </c>
      <c r="N6" s="29">
        <v>46.57</v>
      </c>
      <c r="O6" s="29">
        <v>49.52</v>
      </c>
      <c r="P6" s="29">
        <v>44.73</v>
      </c>
      <c r="Q6" s="29">
        <v>53.31</v>
      </c>
    </row>
    <row r="7" spans="2:77" ht="13.5" x14ac:dyDescent="0.3">
      <c r="B7" s="23">
        <v>40942</v>
      </c>
      <c r="C7" s="24">
        <v>97.84</v>
      </c>
      <c r="E7" s="28" t="s">
        <v>47</v>
      </c>
      <c r="F7" s="29">
        <v>54.58</v>
      </c>
      <c r="G7" s="29">
        <v>54.87</v>
      </c>
      <c r="H7" s="29">
        <v>51.59</v>
      </c>
      <c r="I7" s="29">
        <v>52.31</v>
      </c>
      <c r="J7" s="29">
        <v>50.33</v>
      </c>
      <c r="K7" s="29">
        <v>46.37</v>
      </c>
      <c r="L7" s="29">
        <v>48.48</v>
      </c>
      <c r="M7" s="29">
        <v>51.7</v>
      </c>
      <c r="N7" s="29">
        <v>56.15</v>
      </c>
      <c r="O7" s="29">
        <v>57.51</v>
      </c>
      <c r="P7" s="29">
        <v>62.71</v>
      </c>
      <c r="Q7" s="29">
        <v>64.37</v>
      </c>
    </row>
    <row r="8" spans="2:77" ht="13.5" x14ac:dyDescent="0.3">
      <c r="B8" s="23">
        <v>40949</v>
      </c>
      <c r="C8" s="24">
        <v>98.67</v>
      </c>
      <c r="E8" s="28" t="s">
        <v>48</v>
      </c>
      <c r="F8" s="29">
        <v>69.08</v>
      </c>
      <c r="G8" s="29">
        <v>65.319999999999993</v>
      </c>
      <c r="H8" s="29">
        <v>66.02</v>
      </c>
      <c r="I8" s="29">
        <v>72.11</v>
      </c>
      <c r="J8" s="29">
        <v>76.98</v>
      </c>
      <c r="K8" s="29">
        <v>74.41</v>
      </c>
      <c r="L8" s="29">
        <v>74.25</v>
      </c>
      <c r="M8" s="29">
        <v>72.53</v>
      </c>
      <c r="N8" s="29">
        <v>78.89</v>
      </c>
      <c r="O8" s="29">
        <v>81.03</v>
      </c>
      <c r="P8" s="29">
        <v>64.75</v>
      </c>
      <c r="Q8" s="29">
        <v>57.36</v>
      </c>
    </row>
    <row r="9" spans="2:77" ht="13.5" x14ac:dyDescent="0.3">
      <c r="B9" s="23">
        <v>40956</v>
      </c>
      <c r="C9" s="24">
        <v>103.24</v>
      </c>
      <c r="E9" s="28" t="s">
        <v>49</v>
      </c>
      <c r="F9" s="29">
        <v>59.41</v>
      </c>
      <c r="G9" s="29">
        <v>63.96</v>
      </c>
      <c r="H9" s="29">
        <v>66.14</v>
      </c>
      <c r="I9" s="29">
        <v>71.23</v>
      </c>
      <c r="J9" s="29">
        <v>71.319999999999993</v>
      </c>
      <c r="K9" s="29">
        <v>64.22</v>
      </c>
      <c r="L9" s="29">
        <v>63.92</v>
      </c>
      <c r="M9" s="29">
        <v>59.04</v>
      </c>
      <c r="N9" s="29">
        <v>62.83</v>
      </c>
      <c r="O9" s="29">
        <v>59.71</v>
      </c>
      <c r="P9" s="29">
        <v>63.21</v>
      </c>
      <c r="Q9" s="29">
        <v>67.31</v>
      </c>
    </row>
    <row r="10" spans="2:77" ht="13.5" x14ac:dyDescent="0.3">
      <c r="B10" s="23">
        <v>40963</v>
      </c>
      <c r="C10" s="24">
        <v>109.77</v>
      </c>
      <c r="F10" s="28">
        <v>2014</v>
      </c>
      <c r="R10" s="28">
        <f>F10+1</f>
        <v>2015</v>
      </c>
      <c r="AD10" s="28">
        <f>R10+1</f>
        <v>2016</v>
      </c>
      <c r="AP10" s="28">
        <f>AD10+1</f>
        <v>2017</v>
      </c>
      <c r="BB10" s="28">
        <f>AP10+1</f>
        <v>2018</v>
      </c>
      <c r="BN10" s="28">
        <f>BB10+1</f>
        <v>2019</v>
      </c>
    </row>
    <row r="11" spans="2:77" s="27" customFormat="1" ht="13.5" x14ac:dyDescent="0.3">
      <c r="B11" s="23">
        <v>40970</v>
      </c>
      <c r="C11" s="24">
        <v>106.7</v>
      </c>
      <c r="F11" s="26" t="s">
        <v>24</v>
      </c>
      <c r="G11" s="26" t="s">
        <v>25</v>
      </c>
      <c r="H11" s="26" t="s">
        <v>26</v>
      </c>
      <c r="I11" s="26" t="s">
        <v>27</v>
      </c>
      <c r="J11" s="26" t="s">
        <v>28</v>
      </c>
      <c r="K11" s="26" t="s">
        <v>29</v>
      </c>
      <c r="L11" s="26" t="s">
        <v>30</v>
      </c>
      <c r="M11" s="26" t="s">
        <v>31</v>
      </c>
      <c r="N11" s="26" t="s">
        <v>32</v>
      </c>
      <c r="O11" s="26" t="s">
        <v>33</v>
      </c>
      <c r="P11" s="26" t="s">
        <v>34</v>
      </c>
      <c r="Q11" s="26" t="s">
        <v>35</v>
      </c>
      <c r="R11" s="26" t="s">
        <v>24</v>
      </c>
      <c r="S11" s="26" t="s">
        <v>25</v>
      </c>
      <c r="T11" s="26" t="s">
        <v>26</v>
      </c>
      <c r="U11" s="26" t="s">
        <v>27</v>
      </c>
      <c r="V11" s="26" t="s">
        <v>28</v>
      </c>
      <c r="W11" s="26" t="s">
        <v>29</v>
      </c>
      <c r="X11" s="26" t="s">
        <v>30</v>
      </c>
      <c r="Y11" s="26" t="s">
        <v>31</v>
      </c>
      <c r="Z11" s="26" t="s">
        <v>32</v>
      </c>
      <c r="AA11" s="26" t="s">
        <v>33</v>
      </c>
      <c r="AB11" s="26" t="s">
        <v>34</v>
      </c>
      <c r="AC11" s="26" t="s">
        <v>35</v>
      </c>
      <c r="AD11" s="26" t="s">
        <v>24</v>
      </c>
      <c r="AE11" s="26" t="s">
        <v>25</v>
      </c>
      <c r="AF11" s="26" t="s">
        <v>26</v>
      </c>
      <c r="AG11" s="26" t="s">
        <v>27</v>
      </c>
      <c r="AH11" s="26" t="s">
        <v>28</v>
      </c>
      <c r="AI11" s="26" t="s">
        <v>29</v>
      </c>
      <c r="AJ11" s="26" t="s">
        <v>30</v>
      </c>
      <c r="AK11" s="26" t="s">
        <v>31</v>
      </c>
      <c r="AL11" s="26" t="s">
        <v>32</v>
      </c>
      <c r="AM11" s="26" t="s">
        <v>33</v>
      </c>
      <c r="AN11" s="26" t="s">
        <v>34</v>
      </c>
      <c r="AO11" s="26" t="s">
        <v>35</v>
      </c>
      <c r="AP11" s="26" t="s">
        <v>24</v>
      </c>
      <c r="AQ11" s="26" t="s">
        <v>25</v>
      </c>
      <c r="AR11" s="26" t="s">
        <v>26</v>
      </c>
      <c r="AS11" s="26" t="s">
        <v>27</v>
      </c>
      <c r="AT11" s="26" t="s">
        <v>28</v>
      </c>
      <c r="AU11" s="26" t="s">
        <v>29</v>
      </c>
      <c r="AV11" s="26" t="s">
        <v>30</v>
      </c>
      <c r="AW11" s="26" t="s">
        <v>31</v>
      </c>
      <c r="AX11" s="26" t="s">
        <v>32</v>
      </c>
      <c r="AY11" s="26" t="s">
        <v>33</v>
      </c>
      <c r="AZ11" s="26" t="s">
        <v>34</v>
      </c>
      <c r="BA11" s="26" t="s">
        <v>35</v>
      </c>
      <c r="BB11" s="26" t="s">
        <v>24</v>
      </c>
      <c r="BC11" s="26" t="s">
        <v>25</v>
      </c>
      <c r="BD11" s="26" t="s">
        <v>26</v>
      </c>
      <c r="BE11" s="26" t="s">
        <v>27</v>
      </c>
      <c r="BF11" s="26" t="s">
        <v>28</v>
      </c>
      <c r="BG11" s="26" t="s">
        <v>29</v>
      </c>
      <c r="BH11" s="26" t="s">
        <v>30</v>
      </c>
      <c r="BI11" s="26" t="s">
        <v>31</v>
      </c>
      <c r="BJ11" s="26" t="s">
        <v>32</v>
      </c>
      <c r="BK11" s="26" t="s">
        <v>33</v>
      </c>
      <c r="BL11" s="26" t="s">
        <v>34</v>
      </c>
      <c r="BM11" s="26" t="s">
        <v>35</v>
      </c>
      <c r="BN11" s="26" t="s">
        <v>24</v>
      </c>
      <c r="BO11" s="26" t="s">
        <v>25</v>
      </c>
      <c r="BP11" s="26" t="s">
        <v>26</v>
      </c>
      <c r="BQ11" s="26" t="s">
        <v>27</v>
      </c>
      <c r="BR11" s="26" t="s">
        <v>28</v>
      </c>
      <c r="BS11" s="26" t="s">
        <v>29</v>
      </c>
      <c r="BT11" s="26" t="s">
        <v>30</v>
      </c>
      <c r="BU11" s="26" t="s">
        <v>31</v>
      </c>
      <c r="BV11" s="26" t="s">
        <v>32</v>
      </c>
      <c r="BW11" s="26" t="s">
        <v>33</v>
      </c>
      <c r="BX11" s="26" t="s">
        <v>34</v>
      </c>
      <c r="BY11" s="26" t="s">
        <v>35</v>
      </c>
    </row>
    <row r="12" spans="2:77" ht="39" x14ac:dyDescent="0.3">
      <c r="B12" s="23">
        <v>40977</v>
      </c>
      <c r="C12" s="24">
        <v>107.4</v>
      </c>
      <c r="E12" s="39" t="s">
        <v>51</v>
      </c>
      <c r="F12" s="29">
        <v>108.12</v>
      </c>
      <c r="G12" s="29">
        <v>108.9</v>
      </c>
      <c r="H12" s="29">
        <v>107.48</v>
      </c>
      <c r="I12" s="29">
        <v>107.76</v>
      </c>
      <c r="J12" s="29">
        <v>109.54</v>
      </c>
      <c r="K12" s="29">
        <v>111.8</v>
      </c>
      <c r="L12" s="29">
        <v>106.77</v>
      </c>
      <c r="M12" s="29">
        <v>101.61</v>
      </c>
      <c r="N12" s="29">
        <v>97.09</v>
      </c>
      <c r="O12" s="29">
        <v>87.43</v>
      </c>
      <c r="P12" s="29">
        <v>79.44</v>
      </c>
      <c r="Q12" s="29">
        <v>62.34</v>
      </c>
      <c r="R12" s="29">
        <v>47.76</v>
      </c>
      <c r="S12" s="29">
        <v>58.1</v>
      </c>
      <c r="T12" s="29">
        <v>55.89</v>
      </c>
      <c r="U12" s="29">
        <v>59.52</v>
      </c>
      <c r="V12" s="29">
        <v>64.08</v>
      </c>
      <c r="W12" s="29">
        <v>61.48</v>
      </c>
      <c r="X12" s="29">
        <v>56.56</v>
      </c>
      <c r="Y12" s="29">
        <v>46.52</v>
      </c>
      <c r="Z12" s="29">
        <v>47.62</v>
      </c>
      <c r="AA12" s="29">
        <v>48.43</v>
      </c>
      <c r="AB12" s="29">
        <v>44.27</v>
      </c>
      <c r="AC12" s="29">
        <v>38.01</v>
      </c>
      <c r="AD12" s="29">
        <v>30.7</v>
      </c>
      <c r="AE12" s="29">
        <v>32.18</v>
      </c>
      <c r="AF12" s="29">
        <v>38.21</v>
      </c>
      <c r="AG12" s="29">
        <v>41.58</v>
      </c>
      <c r="AH12" s="29">
        <v>46.74</v>
      </c>
      <c r="AI12" s="29">
        <v>48.25</v>
      </c>
      <c r="AJ12" s="29">
        <v>44.95</v>
      </c>
      <c r="AK12" s="29">
        <v>45.84</v>
      </c>
      <c r="AL12" s="29">
        <v>46.57</v>
      </c>
      <c r="AM12" s="29">
        <v>49.52</v>
      </c>
      <c r="AN12" s="29">
        <v>44.73</v>
      </c>
      <c r="AO12" s="29">
        <v>53.31</v>
      </c>
      <c r="AP12" s="29">
        <v>54.58</v>
      </c>
      <c r="AQ12" s="29">
        <v>54.87</v>
      </c>
      <c r="AR12" s="29">
        <v>51.59</v>
      </c>
      <c r="AS12" s="29">
        <v>52.31</v>
      </c>
      <c r="AT12" s="29">
        <v>50.33</v>
      </c>
      <c r="AU12" s="29">
        <v>46.37</v>
      </c>
      <c r="AV12" s="29">
        <v>48.48</v>
      </c>
      <c r="AW12" s="29">
        <v>51.7</v>
      </c>
      <c r="AX12" s="29">
        <v>56.15</v>
      </c>
      <c r="AY12" s="29">
        <v>57.51</v>
      </c>
      <c r="AZ12" s="29">
        <v>62.71</v>
      </c>
      <c r="BA12" s="29">
        <v>64.37</v>
      </c>
      <c r="BB12" s="29">
        <v>69.08</v>
      </c>
      <c r="BC12" s="29">
        <v>65.319999999999993</v>
      </c>
      <c r="BD12" s="29">
        <v>66.02</v>
      </c>
      <c r="BE12" s="29">
        <v>72.11</v>
      </c>
      <c r="BF12" s="29">
        <v>76.98</v>
      </c>
      <c r="BG12" s="29">
        <v>74.41</v>
      </c>
      <c r="BH12" s="29">
        <v>74.25</v>
      </c>
      <c r="BI12" s="29">
        <v>72.53</v>
      </c>
      <c r="BJ12" s="29">
        <v>78.89</v>
      </c>
      <c r="BK12" s="29">
        <v>81.03</v>
      </c>
      <c r="BL12" s="29">
        <v>64.75</v>
      </c>
      <c r="BM12" s="29">
        <v>57.36</v>
      </c>
      <c r="BN12" s="29">
        <v>59.41</v>
      </c>
      <c r="BO12" s="29">
        <v>63.96</v>
      </c>
      <c r="BP12" s="29">
        <v>66.14</v>
      </c>
      <c r="BQ12" s="29">
        <v>71.23</v>
      </c>
      <c r="BR12" s="29">
        <v>71.319999999999993</v>
      </c>
      <c r="BS12" s="29">
        <v>64.22</v>
      </c>
      <c r="BT12" s="29">
        <v>63.92</v>
      </c>
      <c r="BU12" s="29">
        <v>59.04</v>
      </c>
      <c r="BV12" s="29">
        <v>62.83</v>
      </c>
      <c r="BW12" s="29">
        <v>59.71</v>
      </c>
      <c r="BX12" s="29">
        <v>63.21</v>
      </c>
      <c r="BY12" s="29">
        <v>67.31</v>
      </c>
    </row>
    <row r="13" spans="2:77" s="27" customFormat="1" ht="13.5" x14ac:dyDescent="0.3">
      <c r="B13" s="23">
        <v>40984</v>
      </c>
      <c r="C13" s="24">
        <v>107.06</v>
      </c>
      <c r="E13" s="40" t="s">
        <v>58</v>
      </c>
      <c r="F13" s="41">
        <f t="shared" ref="F13:AK13" si="0">F12-OPEX</f>
        <v>93.12</v>
      </c>
      <c r="G13" s="41">
        <f t="shared" si="0"/>
        <v>93.9</v>
      </c>
      <c r="H13" s="41">
        <f t="shared" si="0"/>
        <v>92.48</v>
      </c>
      <c r="I13" s="41">
        <f t="shared" si="0"/>
        <v>92.76</v>
      </c>
      <c r="J13" s="41">
        <f t="shared" si="0"/>
        <v>94.54</v>
      </c>
      <c r="K13" s="41">
        <f t="shared" si="0"/>
        <v>96.8</v>
      </c>
      <c r="L13" s="41">
        <f t="shared" si="0"/>
        <v>91.77</v>
      </c>
      <c r="M13" s="41">
        <f t="shared" si="0"/>
        <v>86.61</v>
      </c>
      <c r="N13" s="41">
        <f t="shared" si="0"/>
        <v>82.09</v>
      </c>
      <c r="O13" s="41">
        <f t="shared" si="0"/>
        <v>72.430000000000007</v>
      </c>
      <c r="P13" s="41">
        <f t="shared" si="0"/>
        <v>64.44</v>
      </c>
      <c r="Q13" s="41">
        <f t="shared" si="0"/>
        <v>47.34</v>
      </c>
      <c r="R13" s="41">
        <f t="shared" si="0"/>
        <v>32.76</v>
      </c>
      <c r="S13" s="41">
        <f t="shared" si="0"/>
        <v>43.1</v>
      </c>
      <c r="T13" s="41">
        <f t="shared" si="0"/>
        <v>40.89</v>
      </c>
      <c r="U13" s="41">
        <f t="shared" si="0"/>
        <v>44.52</v>
      </c>
      <c r="V13" s="41">
        <f t="shared" si="0"/>
        <v>49.08</v>
      </c>
      <c r="W13" s="41">
        <f t="shared" si="0"/>
        <v>46.48</v>
      </c>
      <c r="X13" s="41">
        <f t="shared" si="0"/>
        <v>41.56</v>
      </c>
      <c r="Y13" s="41">
        <f t="shared" si="0"/>
        <v>31.520000000000003</v>
      </c>
      <c r="Z13" s="41">
        <f t="shared" si="0"/>
        <v>32.619999999999997</v>
      </c>
      <c r="AA13" s="41">
        <f t="shared" si="0"/>
        <v>33.43</v>
      </c>
      <c r="AB13" s="41">
        <f t="shared" si="0"/>
        <v>29.270000000000003</v>
      </c>
      <c r="AC13" s="41">
        <f t="shared" si="0"/>
        <v>23.009999999999998</v>
      </c>
      <c r="AD13" s="41">
        <f t="shared" si="0"/>
        <v>15.7</v>
      </c>
      <c r="AE13" s="41">
        <f t="shared" si="0"/>
        <v>17.18</v>
      </c>
      <c r="AF13" s="41">
        <f t="shared" si="0"/>
        <v>23.21</v>
      </c>
      <c r="AG13" s="41">
        <f t="shared" si="0"/>
        <v>26.58</v>
      </c>
      <c r="AH13" s="41">
        <f t="shared" si="0"/>
        <v>31.740000000000002</v>
      </c>
      <c r="AI13" s="41">
        <f t="shared" si="0"/>
        <v>33.25</v>
      </c>
      <c r="AJ13" s="41">
        <f t="shared" si="0"/>
        <v>29.950000000000003</v>
      </c>
      <c r="AK13" s="41">
        <f t="shared" si="0"/>
        <v>30.840000000000003</v>
      </c>
      <c r="AL13" s="41">
        <f t="shared" ref="AL13:BQ13" si="1">AL12-OPEX</f>
        <v>31.57</v>
      </c>
      <c r="AM13" s="41">
        <f t="shared" si="1"/>
        <v>34.520000000000003</v>
      </c>
      <c r="AN13" s="41">
        <f t="shared" si="1"/>
        <v>29.729999999999997</v>
      </c>
      <c r="AO13" s="41">
        <f t="shared" si="1"/>
        <v>38.31</v>
      </c>
      <c r="AP13" s="41">
        <f t="shared" si="1"/>
        <v>39.58</v>
      </c>
      <c r="AQ13" s="41">
        <f t="shared" si="1"/>
        <v>39.869999999999997</v>
      </c>
      <c r="AR13" s="41">
        <f t="shared" si="1"/>
        <v>36.590000000000003</v>
      </c>
      <c r="AS13" s="41">
        <f t="shared" si="1"/>
        <v>37.31</v>
      </c>
      <c r="AT13" s="41">
        <f t="shared" si="1"/>
        <v>35.33</v>
      </c>
      <c r="AU13" s="41">
        <f t="shared" si="1"/>
        <v>31.369999999999997</v>
      </c>
      <c r="AV13" s="41">
        <f t="shared" si="1"/>
        <v>33.479999999999997</v>
      </c>
      <c r="AW13" s="41">
        <f t="shared" si="1"/>
        <v>36.700000000000003</v>
      </c>
      <c r="AX13" s="41">
        <f t="shared" si="1"/>
        <v>41.15</v>
      </c>
      <c r="AY13" s="41">
        <f t="shared" si="1"/>
        <v>42.51</v>
      </c>
      <c r="AZ13" s="41">
        <f t="shared" si="1"/>
        <v>47.71</v>
      </c>
      <c r="BA13" s="41">
        <f t="shared" si="1"/>
        <v>49.370000000000005</v>
      </c>
      <c r="BB13" s="41">
        <f t="shared" si="1"/>
        <v>54.08</v>
      </c>
      <c r="BC13" s="41">
        <f t="shared" si="1"/>
        <v>50.319999999999993</v>
      </c>
      <c r="BD13" s="41">
        <f t="shared" si="1"/>
        <v>51.019999999999996</v>
      </c>
      <c r="BE13" s="41">
        <f t="shared" si="1"/>
        <v>57.11</v>
      </c>
      <c r="BF13" s="41">
        <f t="shared" si="1"/>
        <v>61.980000000000004</v>
      </c>
      <c r="BG13" s="41">
        <f t="shared" si="1"/>
        <v>59.41</v>
      </c>
      <c r="BH13" s="41">
        <f t="shared" si="1"/>
        <v>59.25</v>
      </c>
      <c r="BI13" s="41">
        <f t="shared" si="1"/>
        <v>57.53</v>
      </c>
      <c r="BJ13" s="41">
        <f t="shared" si="1"/>
        <v>63.89</v>
      </c>
      <c r="BK13" s="41">
        <f t="shared" si="1"/>
        <v>66.03</v>
      </c>
      <c r="BL13" s="41">
        <f t="shared" si="1"/>
        <v>49.75</v>
      </c>
      <c r="BM13" s="41">
        <f t="shared" si="1"/>
        <v>42.36</v>
      </c>
      <c r="BN13" s="41">
        <f t="shared" si="1"/>
        <v>44.41</v>
      </c>
      <c r="BO13" s="41">
        <f t="shared" si="1"/>
        <v>48.96</v>
      </c>
      <c r="BP13" s="41">
        <f t="shared" si="1"/>
        <v>51.14</v>
      </c>
      <c r="BQ13" s="41">
        <f t="shared" si="1"/>
        <v>56.230000000000004</v>
      </c>
      <c r="BR13" s="41">
        <f t="shared" ref="BR13:BY13" si="2">BR12-OPEX</f>
        <v>56.319999999999993</v>
      </c>
      <c r="BS13" s="41">
        <f t="shared" si="2"/>
        <v>49.22</v>
      </c>
      <c r="BT13" s="41">
        <f t="shared" si="2"/>
        <v>48.92</v>
      </c>
      <c r="BU13" s="41">
        <f t="shared" si="2"/>
        <v>44.04</v>
      </c>
      <c r="BV13" s="41">
        <f t="shared" si="2"/>
        <v>47.83</v>
      </c>
      <c r="BW13" s="41">
        <f t="shared" si="2"/>
        <v>44.71</v>
      </c>
      <c r="BX13" s="41">
        <f t="shared" si="2"/>
        <v>48.21</v>
      </c>
      <c r="BY13" s="41">
        <f t="shared" si="2"/>
        <v>52.31</v>
      </c>
    </row>
    <row r="14" spans="2:77" ht="14" x14ac:dyDescent="0.3">
      <c r="B14" s="23">
        <v>40991</v>
      </c>
      <c r="C14" s="24">
        <v>106.87</v>
      </c>
      <c r="E14" s="43" t="s">
        <v>59</v>
      </c>
    </row>
    <row r="15" spans="2:77" ht="14" x14ac:dyDescent="0.3">
      <c r="B15" s="23">
        <v>40998</v>
      </c>
      <c r="C15" s="24">
        <v>103.02</v>
      </c>
      <c r="E15" s="43" t="s">
        <v>60</v>
      </c>
    </row>
    <row r="16" spans="2:77" ht="17.5" x14ac:dyDescent="0.3">
      <c r="B16" s="23">
        <v>41005</v>
      </c>
      <c r="C16" s="24">
        <v>103.31</v>
      </c>
      <c r="E16" s="42">
        <f>AVERAGE(F12:BY12)</f>
        <v>64.098611111111111</v>
      </c>
    </row>
    <row r="17" spans="2:5" ht="17.5" x14ac:dyDescent="0.3">
      <c r="B17" s="23">
        <v>41012</v>
      </c>
      <c r="C17" s="24">
        <v>102.83</v>
      </c>
      <c r="D17" s="44" t="s">
        <v>61</v>
      </c>
      <c r="E17" s="42">
        <f>AVERAGE(F13:BY13)</f>
        <v>49.098611111111104</v>
      </c>
    </row>
    <row r="18" spans="2:5" ht="13.5" x14ac:dyDescent="0.3">
      <c r="B18" s="23">
        <v>41019</v>
      </c>
      <c r="C18" s="24">
        <v>103.88</v>
      </c>
    </row>
    <row r="19" spans="2:5" ht="14" x14ac:dyDescent="0.3">
      <c r="B19" s="23">
        <v>41026</v>
      </c>
      <c r="C19" s="24">
        <v>104.93</v>
      </c>
      <c r="E19" s="43" t="s">
        <v>59</v>
      </c>
    </row>
    <row r="20" spans="2:5" ht="14" x14ac:dyDescent="0.3">
      <c r="B20" s="23">
        <v>41033</v>
      </c>
      <c r="C20" s="24">
        <v>98.49</v>
      </c>
      <c r="E20" s="43" t="s">
        <v>43</v>
      </c>
    </row>
    <row r="21" spans="2:5" ht="17.5" x14ac:dyDescent="0.3">
      <c r="B21" s="23">
        <v>41040</v>
      </c>
      <c r="C21" s="24">
        <v>96.13</v>
      </c>
      <c r="E21" s="42">
        <f>AVERAGE(C109:C421)</f>
        <v>59.555974440894545</v>
      </c>
    </row>
    <row r="22" spans="2:5" ht="14" x14ac:dyDescent="0.3">
      <c r="B22" s="23">
        <v>41047</v>
      </c>
      <c r="C22" s="24">
        <v>91.48</v>
      </c>
      <c r="E22" s="43" t="s">
        <v>62</v>
      </c>
    </row>
    <row r="23" spans="2:5" ht="14" x14ac:dyDescent="0.3">
      <c r="B23" s="23">
        <v>41054</v>
      </c>
      <c r="C23" s="24">
        <v>90.86</v>
      </c>
      <c r="E23" s="43" t="s">
        <v>63</v>
      </c>
    </row>
    <row r="24" spans="2:5" ht="13.5" x14ac:dyDescent="0.3">
      <c r="B24" s="23">
        <v>41061</v>
      </c>
      <c r="C24" s="24">
        <v>83.23</v>
      </c>
    </row>
    <row r="25" spans="2:5" ht="13.5" x14ac:dyDescent="0.3">
      <c r="B25" s="23">
        <v>41068</v>
      </c>
      <c r="C25" s="24">
        <v>84.1</v>
      </c>
    </row>
    <row r="26" spans="2:5" ht="13.5" x14ac:dyDescent="0.3">
      <c r="B26" s="23">
        <v>41075</v>
      </c>
      <c r="C26" s="24">
        <v>84.03</v>
      </c>
    </row>
    <row r="27" spans="2:5" ht="13.5" x14ac:dyDescent="0.3">
      <c r="B27" s="23">
        <v>41082</v>
      </c>
      <c r="C27" s="24">
        <v>79.760000000000005</v>
      </c>
    </row>
    <row r="28" spans="2:5" ht="13.5" x14ac:dyDescent="0.3">
      <c r="B28" s="23">
        <v>41089</v>
      </c>
      <c r="C28" s="24">
        <v>84.96</v>
      </c>
    </row>
    <row r="29" spans="2:5" ht="13.5" x14ac:dyDescent="0.3">
      <c r="B29" s="23">
        <v>41096</v>
      </c>
      <c r="C29" s="24">
        <v>84.45</v>
      </c>
    </row>
    <row r="30" spans="2:5" ht="13.5" x14ac:dyDescent="0.3">
      <c r="B30" s="23">
        <v>41103</v>
      </c>
      <c r="C30" s="24">
        <v>87.1</v>
      </c>
    </row>
    <row r="31" spans="2:5" ht="13.5" x14ac:dyDescent="0.3">
      <c r="B31" s="23">
        <v>41110</v>
      </c>
      <c r="C31" s="24">
        <v>91.83</v>
      </c>
    </row>
    <row r="32" spans="2:5" ht="13.5" x14ac:dyDescent="0.3">
      <c r="B32" s="23">
        <v>41117</v>
      </c>
      <c r="C32" s="24">
        <v>90.13</v>
      </c>
    </row>
    <row r="33" spans="2:3" ht="13.5" x14ac:dyDescent="0.3">
      <c r="B33" s="23">
        <v>41124</v>
      </c>
      <c r="C33" s="24">
        <v>91.4</v>
      </c>
    </row>
    <row r="34" spans="2:3" ht="13.5" x14ac:dyDescent="0.3">
      <c r="B34" s="23">
        <v>41131</v>
      </c>
      <c r="C34" s="24">
        <v>92.87</v>
      </c>
    </row>
    <row r="35" spans="2:3" ht="13.5" x14ac:dyDescent="0.3">
      <c r="B35" s="23">
        <v>41138</v>
      </c>
      <c r="C35" s="24">
        <v>96.01</v>
      </c>
    </row>
    <row r="36" spans="2:3" ht="13.5" x14ac:dyDescent="0.3">
      <c r="B36" s="23">
        <v>41145</v>
      </c>
      <c r="C36" s="24">
        <v>96.15</v>
      </c>
    </row>
    <row r="37" spans="2:3" ht="13.5" x14ac:dyDescent="0.3">
      <c r="B37" s="23">
        <v>41152</v>
      </c>
      <c r="C37" s="24">
        <v>96.47</v>
      </c>
    </row>
    <row r="38" spans="2:3" ht="13.5" x14ac:dyDescent="0.3">
      <c r="B38" s="23">
        <v>41159</v>
      </c>
      <c r="C38" s="24">
        <v>96.42</v>
      </c>
    </row>
    <row r="39" spans="2:3" ht="13.5" x14ac:dyDescent="0.3">
      <c r="B39" s="23">
        <v>41166</v>
      </c>
      <c r="C39" s="24">
        <v>99</v>
      </c>
    </row>
    <row r="40" spans="2:3" ht="13.5" x14ac:dyDescent="0.3">
      <c r="B40" s="23">
        <v>41173</v>
      </c>
      <c r="C40" s="24">
        <v>92.89</v>
      </c>
    </row>
    <row r="41" spans="2:3" ht="13.5" x14ac:dyDescent="0.3">
      <c r="B41" s="23">
        <v>41180</v>
      </c>
      <c r="C41" s="24">
        <v>92.19</v>
      </c>
    </row>
    <row r="42" spans="2:3" ht="13.5" x14ac:dyDescent="0.3">
      <c r="B42" s="23">
        <v>41187</v>
      </c>
      <c r="C42" s="24">
        <v>89.88</v>
      </c>
    </row>
    <row r="43" spans="2:3" ht="13.5" x14ac:dyDescent="0.3">
      <c r="B43" s="23">
        <v>41194</v>
      </c>
      <c r="C43" s="24">
        <v>91.86</v>
      </c>
    </row>
    <row r="44" spans="2:3" ht="13.5" x14ac:dyDescent="0.3">
      <c r="B44" s="23">
        <v>41201</v>
      </c>
      <c r="C44" s="24">
        <v>90.05</v>
      </c>
    </row>
    <row r="45" spans="2:3" ht="13.5" x14ac:dyDescent="0.3">
      <c r="B45" s="23">
        <v>41208</v>
      </c>
      <c r="C45" s="24">
        <v>86.28</v>
      </c>
    </row>
    <row r="46" spans="2:3" ht="13.5" x14ac:dyDescent="0.3">
      <c r="B46" s="23">
        <v>41215</v>
      </c>
      <c r="C46" s="24">
        <v>84.86</v>
      </c>
    </row>
    <row r="47" spans="2:3" ht="13.5" x14ac:dyDescent="0.3">
      <c r="B47" s="23">
        <v>41222</v>
      </c>
      <c r="C47" s="24">
        <v>86.07</v>
      </c>
    </row>
    <row r="48" spans="2:3" ht="13.5" x14ac:dyDescent="0.3">
      <c r="B48" s="23">
        <v>41229</v>
      </c>
      <c r="C48" s="24">
        <v>86.92</v>
      </c>
    </row>
    <row r="49" spans="2:3" ht="13.5" x14ac:dyDescent="0.3">
      <c r="B49" s="23">
        <v>41236</v>
      </c>
      <c r="C49" s="24">
        <v>88.28</v>
      </c>
    </row>
    <row r="50" spans="2:3" ht="13.5" x14ac:dyDescent="0.3">
      <c r="B50" s="23">
        <v>41243</v>
      </c>
      <c r="C50" s="24">
        <v>88.91</v>
      </c>
    </row>
    <row r="51" spans="2:3" ht="13.5" x14ac:dyDescent="0.3">
      <c r="B51" s="23">
        <v>41250</v>
      </c>
      <c r="C51" s="24">
        <v>85.93</v>
      </c>
    </row>
    <row r="52" spans="2:3" ht="13.5" x14ac:dyDescent="0.3">
      <c r="B52" s="23">
        <v>41257</v>
      </c>
      <c r="C52" s="24">
        <v>86.73</v>
      </c>
    </row>
    <row r="53" spans="2:3" ht="13.5" x14ac:dyDescent="0.3">
      <c r="B53" s="23">
        <v>41264</v>
      </c>
      <c r="C53" s="24">
        <v>88.66</v>
      </c>
    </row>
    <row r="54" spans="2:3" ht="13.5" x14ac:dyDescent="0.3">
      <c r="B54" s="23">
        <v>41271</v>
      </c>
      <c r="C54" s="24">
        <v>90.8</v>
      </c>
    </row>
    <row r="55" spans="2:3" ht="13.5" x14ac:dyDescent="0.3">
      <c r="B55" s="23">
        <v>41274</v>
      </c>
      <c r="C55" s="24">
        <v>91.82</v>
      </c>
    </row>
    <row r="56" spans="2:3" ht="13.5" x14ac:dyDescent="0.3">
      <c r="B56" s="23">
        <v>41278</v>
      </c>
      <c r="C56" s="24">
        <v>93.09</v>
      </c>
    </row>
    <row r="57" spans="2:3" ht="13.5" x14ac:dyDescent="0.3">
      <c r="B57" s="23">
        <v>41285</v>
      </c>
      <c r="C57" s="24">
        <v>93.56</v>
      </c>
    </row>
    <row r="58" spans="2:3" ht="13.5" x14ac:dyDescent="0.3">
      <c r="B58" s="23">
        <v>41292</v>
      </c>
      <c r="C58" s="24">
        <v>95.56</v>
      </c>
    </row>
    <row r="59" spans="2:3" ht="13.5" x14ac:dyDescent="0.3">
      <c r="B59" s="23">
        <v>41299</v>
      </c>
      <c r="C59" s="24">
        <v>95.88</v>
      </c>
    </row>
    <row r="60" spans="2:3" ht="13.5" x14ac:dyDescent="0.3">
      <c r="B60" s="23">
        <v>41306</v>
      </c>
      <c r="C60" s="24">
        <v>97.77</v>
      </c>
    </row>
    <row r="61" spans="2:3" ht="13.5" x14ac:dyDescent="0.3">
      <c r="B61" s="23">
        <v>41313</v>
      </c>
      <c r="C61" s="24">
        <v>95.72</v>
      </c>
    </row>
    <row r="62" spans="2:3" ht="13.5" x14ac:dyDescent="0.3">
      <c r="B62" s="23">
        <v>41320</v>
      </c>
      <c r="C62" s="24">
        <v>95.86</v>
      </c>
    </row>
    <row r="63" spans="2:3" ht="13.5" x14ac:dyDescent="0.3">
      <c r="B63" s="23">
        <v>41327</v>
      </c>
      <c r="C63" s="24">
        <v>93.13</v>
      </c>
    </row>
    <row r="64" spans="2:3" ht="13.5" x14ac:dyDescent="0.3">
      <c r="B64" s="23">
        <v>41334</v>
      </c>
      <c r="C64" s="24">
        <v>90.68</v>
      </c>
    </row>
    <row r="65" spans="2:3" ht="13.5" x14ac:dyDescent="0.3">
      <c r="B65" s="23">
        <v>41341</v>
      </c>
      <c r="C65" s="24">
        <v>91.95</v>
      </c>
    </row>
    <row r="66" spans="2:3" ht="13.5" x14ac:dyDescent="0.3">
      <c r="B66" s="23">
        <v>41348</v>
      </c>
      <c r="C66" s="24">
        <v>93.45</v>
      </c>
    </row>
    <row r="67" spans="2:3" ht="13.5" x14ac:dyDescent="0.3">
      <c r="B67" s="23">
        <v>41355</v>
      </c>
      <c r="C67" s="24">
        <v>93.71</v>
      </c>
    </row>
    <row r="68" spans="2:3" ht="13.5" x14ac:dyDescent="0.3">
      <c r="B68" s="23">
        <v>41362</v>
      </c>
      <c r="C68" s="24">
        <v>97.23</v>
      </c>
    </row>
    <row r="69" spans="2:3" ht="13.5" x14ac:dyDescent="0.3">
      <c r="B69" s="23">
        <v>41369</v>
      </c>
      <c r="C69" s="24">
        <v>92.7</v>
      </c>
    </row>
    <row r="70" spans="2:3" ht="13.5" x14ac:dyDescent="0.3">
      <c r="B70" s="23">
        <v>41376</v>
      </c>
      <c r="C70" s="24">
        <v>91.29</v>
      </c>
    </row>
    <row r="71" spans="2:3" ht="13.5" x14ac:dyDescent="0.3">
      <c r="B71" s="23">
        <v>41383</v>
      </c>
      <c r="C71" s="24">
        <v>88.01</v>
      </c>
    </row>
    <row r="72" spans="2:3" ht="13.5" x14ac:dyDescent="0.3">
      <c r="B72" s="23">
        <v>41390</v>
      </c>
      <c r="C72" s="24">
        <v>93</v>
      </c>
    </row>
    <row r="73" spans="2:3" ht="13.5" x14ac:dyDescent="0.3">
      <c r="B73" s="23">
        <v>41397</v>
      </c>
      <c r="C73" s="24">
        <v>95.61</v>
      </c>
    </row>
    <row r="74" spans="2:3" ht="13.5" x14ac:dyDescent="0.3">
      <c r="B74" s="23">
        <v>41404</v>
      </c>
      <c r="C74" s="24">
        <v>96.04</v>
      </c>
    </row>
    <row r="75" spans="2:3" ht="13.5" x14ac:dyDescent="0.3">
      <c r="B75" s="23">
        <v>41411</v>
      </c>
      <c r="C75" s="24">
        <v>96.02</v>
      </c>
    </row>
    <row r="76" spans="2:3" ht="13.5" x14ac:dyDescent="0.3">
      <c r="B76" s="23">
        <v>41418</v>
      </c>
      <c r="C76" s="24">
        <v>94.15</v>
      </c>
    </row>
    <row r="77" spans="2:3" ht="13.5" x14ac:dyDescent="0.3">
      <c r="B77" s="23">
        <v>41425</v>
      </c>
      <c r="C77" s="24">
        <v>91.97</v>
      </c>
    </row>
    <row r="78" spans="2:3" ht="13.5" x14ac:dyDescent="0.3">
      <c r="B78" s="23">
        <v>41432</v>
      </c>
      <c r="C78" s="24">
        <v>96.03</v>
      </c>
    </row>
    <row r="79" spans="2:3" ht="13.5" x14ac:dyDescent="0.3">
      <c r="B79" s="23">
        <v>41439</v>
      </c>
      <c r="C79" s="24">
        <v>97.85</v>
      </c>
    </row>
    <row r="80" spans="2:3" ht="13.5" x14ac:dyDescent="0.3">
      <c r="B80" s="23">
        <v>41446</v>
      </c>
      <c r="C80" s="24">
        <v>93.69</v>
      </c>
    </row>
    <row r="81" spans="2:3" ht="13.5" x14ac:dyDescent="0.3">
      <c r="B81" s="23">
        <v>41453</v>
      </c>
      <c r="C81" s="24">
        <v>96.56</v>
      </c>
    </row>
    <row r="82" spans="2:3" ht="13.5" x14ac:dyDescent="0.3">
      <c r="B82" s="23">
        <v>41460</v>
      </c>
      <c r="C82" s="24">
        <v>103.22</v>
      </c>
    </row>
    <row r="83" spans="2:3" ht="13.5" x14ac:dyDescent="0.3">
      <c r="B83" s="23">
        <v>41467</v>
      </c>
      <c r="C83" s="24">
        <v>105.95</v>
      </c>
    </row>
    <row r="84" spans="2:3" ht="13.5" x14ac:dyDescent="0.3">
      <c r="B84" s="23">
        <v>41474</v>
      </c>
      <c r="C84" s="24">
        <v>108.05</v>
      </c>
    </row>
    <row r="85" spans="2:3" ht="13.5" x14ac:dyDescent="0.3">
      <c r="B85" s="23">
        <v>41481</v>
      </c>
      <c r="C85" s="24">
        <v>104.7</v>
      </c>
    </row>
    <row r="86" spans="2:3" ht="13.5" x14ac:dyDescent="0.3">
      <c r="B86" s="23">
        <v>41488</v>
      </c>
      <c r="C86" s="24">
        <v>106.94</v>
      </c>
    </row>
    <row r="87" spans="2:3" ht="13.5" x14ac:dyDescent="0.3">
      <c r="B87" s="23">
        <v>41495</v>
      </c>
      <c r="C87" s="24">
        <v>105.97</v>
      </c>
    </row>
    <row r="88" spans="2:3" ht="13.5" x14ac:dyDescent="0.3">
      <c r="B88" s="23">
        <v>41502</v>
      </c>
      <c r="C88" s="24">
        <v>107.46</v>
      </c>
    </row>
    <row r="89" spans="2:3" ht="13.5" x14ac:dyDescent="0.3">
      <c r="B89" s="23">
        <v>41509</v>
      </c>
      <c r="C89" s="24">
        <v>106.42</v>
      </c>
    </row>
    <row r="90" spans="2:3" ht="13.5" x14ac:dyDescent="0.3">
      <c r="B90" s="23">
        <v>41516</v>
      </c>
      <c r="C90" s="24">
        <v>107.65</v>
      </c>
    </row>
    <row r="91" spans="2:3" ht="13.5" x14ac:dyDescent="0.3">
      <c r="B91" s="23">
        <v>41523</v>
      </c>
      <c r="C91" s="24">
        <v>110.53</v>
      </c>
    </row>
    <row r="92" spans="2:3" ht="13.5" x14ac:dyDescent="0.3">
      <c r="B92" s="23">
        <v>41530</v>
      </c>
      <c r="C92" s="24">
        <v>108.21</v>
      </c>
    </row>
    <row r="93" spans="2:3" ht="13.5" x14ac:dyDescent="0.3">
      <c r="B93" s="23">
        <v>41537</v>
      </c>
      <c r="C93" s="24">
        <v>104.75</v>
      </c>
    </row>
    <row r="94" spans="2:3" ht="13.5" x14ac:dyDescent="0.3">
      <c r="B94" s="23">
        <v>41544</v>
      </c>
      <c r="C94" s="24">
        <v>102.87</v>
      </c>
    </row>
    <row r="95" spans="2:3" ht="13.5" x14ac:dyDescent="0.3">
      <c r="B95" s="23">
        <v>41551</v>
      </c>
      <c r="C95" s="24">
        <v>103.84</v>
      </c>
    </row>
    <row r="96" spans="2:3" ht="13.5" x14ac:dyDescent="0.3">
      <c r="B96" s="23">
        <v>41558</v>
      </c>
      <c r="C96" s="24">
        <v>102.02</v>
      </c>
    </row>
    <row r="97" spans="2:3" ht="13.5" x14ac:dyDescent="0.3">
      <c r="B97" s="23">
        <v>41565</v>
      </c>
      <c r="C97" s="24">
        <v>100.81</v>
      </c>
    </row>
    <row r="98" spans="2:3" ht="13.5" x14ac:dyDescent="0.3">
      <c r="B98" s="23">
        <v>41572</v>
      </c>
      <c r="C98" s="24">
        <v>97.85</v>
      </c>
    </row>
    <row r="99" spans="2:3" ht="13.5" x14ac:dyDescent="0.3">
      <c r="B99" s="23">
        <v>41579</v>
      </c>
      <c r="C99" s="24">
        <v>94.61</v>
      </c>
    </row>
    <row r="100" spans="2:3" ht="13.5" x14ac:dyDescent="0.3">
      <c r="B100" s="23">
        <v>41586</v>
      </c>
      <c r="C100" s="24">
        <v>94.6</v>
      </c>
    </row>
    <row r="101" spans="2:3" ht="13.5" x14ac:dyDescent="0.3">
      <c r="B101" s="23">
        <v>41593</v>
      </c>
      <c r="C101" s="24">
        <v>93.84</v>
      </c>
    </row>
    <row r="102" spans="2:3" ht="13.5" x14ac:dyDescent="0.3">
      <c r="B102" s="23">
        <v>41600</v>
      </c>
      <c r="C102" s="24">
        <v>94.84</v>
      </c>
    </row>
    <row r="103" spans="2:3" ht="13.5" x14ac:dyDescent="0.3">
      <c r="B103" s="23">
        <v>41607</v>
      </c>
      <c r="C103" s="24">
        <v>92.72</v>
      </c>
    </row>
    <row r="104" spans="2:3" ht="13.5" x14ac:dyDescent="0.3">
      <c r="B104" s="23">
        <v>41614</v>
      </c>
      <c r="C104" s="24">
        <v>97.65</v>
      </c>
    </row>
    <row r="105" spans="2:3" ht="13.5" x14ac:dyDescent="0.3">
      <c r="B105" s="23">
        <v>41621</v>
      </c>
      <c r="C105" s="24">
        <v>96.6</v>
      </c>
    </row>
    <row r="106" spans="2:3" ht="13.5" x14ac:dyDescent="0.3">
      <c r="B106" s="23">
        <v>41628</v>
      </c>
      <c r="C106" s="24">
        <v>99.32</v>
      </c>
    </row>
    <row r="107" spans="2:3" ht="13.5" x14ac:dyDescent="0.3">
      <c r="B107" s="23">
        <v>41635</v>
      </c>
      <c r="C107" s="24">
        <v>100.32</v>
      </c>
    </row>
    <row r="108" spans="2:3" ht="13.5" x14ac:dyDescent="0.3">
      <c r="B108" s="23">
        <v>41639</v>
      </c>
      <c r="C108" s="24">
        <v>98.42</v>
      </c>
    </row>
    <row r="109" spans="2:3" ht="13.5" x14ac:dyDescent="0.3">
      <c r="B109" s="23">
        <v>41642</v>
      </c>
      <c r="C109" s="24">
        <v>93.96</v>
      </c>
    </row>
    <row r="110" spans="2:3" ht="13.5" x14ac:dyDescent="0.3">
      <c r="B110" s="23">
        <v>41649</v>
      </c>
      <c r="C110" s="24">
        <v>92.72</v>
      </c>
    </row>
    <row r="111" spans="2:3" ht="13.5" x14ac:dyDescent="0.3">
      <c r="B111" s="23">
        <v>41656</v>
      </c>
      <c r="C111" s="24">
        <v>94.37</v>
      </c>
    </row>
    <row r="112" spans="2:3" ht="13.5" x14ac:dyDescent="0.3">
      <c r="B112" s="23">
        <v>41663</v>
      </c>
      <c r="C112" s="24">
        <v>96.64</v>
      </c>
    </row>
    <row r="113" spans="2:3" ht="13.5" x14ac:dyDescent="0.3">
      <c r="B113" s="23">
        <v>41670</v>
      </c>
      <c r="C113" s="24">
        <v>97.49</v>
      </c>
    </row>
    <row r="114" spans="2:3" ht="13.5" x14ac:dyDescent="0.3">
      <c r="B114" s="23">
        <v>41677</v>
      </c>
      <c r="C114" s="24">
        <v>99.88</v>
      </c>
    </row>
    <row r="115" spans="2:3" ht="13.5" x14ac:dyDescent="0.3">
      <c r="B115" s="23">
        <v>41684</v>
      </c>
      <c r="C115" s="24">
        <v>100.3</v>
      </c>
    </row>
    <row r="116" spans="2:3" ht="13.5" x14ac:dyDescent="0.3">
      <c r="B116" s="23">
        <v>41691</v>
      </c>
      <c r="C116" s="24">
        <v>102.2</v>
      </c>
    </row>
    <row r="117" spans="2:3" ht="13.5" x14ac:dyDescent="0.3">
      <c r="B117" s="23">
        <v>41698</v>
      </c>
      <c r="C117" s="24">
        <v>102.59</v>
      </c>
    </row>
    <row r="118" spans="2:3" ht="13.5" x14ac:dyDescent="0.3">
      <c r="B118" s="23">
        <v>41705</v>
      </c>
      <c r="C118" s="24">
        <v>102.58</v>
      </c>
    </row>
    <row r="119" spans="2:3" ht="13.5" x14ac:dyDescent="0.3">
      <c r="B119" s="23">
        <v>41712</v>
      </c>
      <c r="C119" s="24">
        <v>98.89</v>
      </c>
    </row>
    <row r="120" spans="2:3" ht="13.5" x14ac:dyDescent="0.3">
      <c r="B120" s="23">
        <v>41719</v>
      </c>
      <c r="C120" s="24">
        <v>99.46</v>
      </c>
    </row>
    <row r="121" spans="2:3" ht="13.5" x14ac:dyDescent="0.3">
      <c r="B121" s="23">
        <v>41726</v>
      </c>
      <c r="C121" s="24">
        <v>101.67</v>
      </c>
    </row>
    <row r="122" spans="2:3" ht="13.5" x14ac:dyDescent="0.3">
      <c r="B122" s="23">
        <v>41733</v>
      </c>
      <c r="C122" s="24">
        <v>101.14</v>
      </c>
    </row>
    <row r="123" spans="2:3" ht="13.5" x14ac:dyDescent="0.3">
      <c r="B123" s="23">
        <v>41740</v>
      </c>
      <c r="C123" s="24">
        <v>103.74</v>
      </c>
    </row>
    <row r="124" spans="2:3" ht="13.5" x14ac:dyDescent="0.3">
      <c r="B124" s="23">
        <v>41747</v>
      </c>
      <c r="C124" s="24">
        <v>104.3</v>
      </c>
    </row>
    <row r="125" spans="2:3" ht="13.5" x14ac:dyDescent="0.3">
      <c r="B125" s="23">
        <v>41754</v>
      </c>
      <c r="C125" s="24">
        <v>100.6</v>
      </c>
    </row>
    <row r="126" spans="2:3" ht="13.5" x14ac:dyDescent="0.3">
      <c r="B126" s="23">
        <v>41761</v>
      </c>
      <c r="C126" s="24">
        <v>99.76</v>
      </c>
    </row>
    <row r="127" spans="2:3" ht="13.5" x14ac:dyDescent="0.3">
      <c r="B127" s="23">
        <v>41768</v>
      </c>
      <c r="C127" s="24">
        <v>99.99</v>
      </c>
    </row>
    <row r="128" spans="2:3" ht="13.5" x14ac:dyDescent="0.3">
      <c r="B128" s="23">
        <v>41775</v>
      </c>
      <c r="C128" s="24">
        <v>102.02</v>
      </c>
    </row>
    <row r="129" spans="2:3" ht="13.5" x14ac:dyDescent="0.3">
      <c r="B129" s="23">
        <v>41782</v>
      </c>
      <c r="C129" s="24">
        <v>104.35</v>
      </c>
    </row>
    <row r="130" spans="2:3" ht="13.5" x14ac:dyDescent="0.3">
      <c r="B130" s="23">
        <v>41789</v>
      </c>
      <c r="C130" s="24">
        <v>102.71</v>
      </c>
    </row>
    <row r="131" spans="2:3" ht="13.5" x14ac:dyDescent="0.3">
      <c r="B131" s="23">
        <v>41796</v>
      </c>
      <c r="C131" s="24">
        <v>102.66</v>
      </c>
    </row>
    <row r="132" spans="2:3" ht="13.5" x14ac:dyDescent="0.3">
      <c r="B132" s="23">
        <v>41803</v>
      </c>
      <c r="C132" s="24">
        <v>106.91</v>
      </c>
    </row>
    <row r="133" spans="2:3" ht="13.5" x14ac:dyDescent="0.3">
      <c r="B133" s="23">
        <v>41810</v>
      </c>
      <c r="C133" s="24">
        <v>107.26</v>
      </c>
    </row>
    <row r="134" spans="2:3" ht="13.5" x14ac:dyDescent="0.3">
      <c r="B134" s="23">
        <v>41817</v>
      </c>
      <c r="C134" s="24">
        <v>105.74</v>
      </c>
    </row>
    <row r="135" spans="2:3" ht="13.5" x14ac:dyDescent="0.3">
      <c r="B135" s="23">
        <v>41831</v>
      </c>
      <c r="C135" s="24">
        <v>100.83</v>
      </c>
    </row>
    <row r="136" spans="2:3" ht="13.5" x14ac:dyDescent="0.3">
      <c r="B136" s="23">
        <v>41838</v>
      </c>
      <c r="C136" s="24">
        <v>103.13</v>
      </c>
    </row>
    <row r="137" spans="2:3" ht="13.5" x14ac:dyDescent="0.3">
      <c r="B137" s="23">
        <v>41845</v>
      </c>
      <c r="C137" s="24">
        <v>102.09</v>
      </c>
    </row>
    <row r="138" spans="2:3" ht="13.5" x14ac:dyDescent="0.3">
      <c r="B138" s="23">
        <v>41852</v>
      </c>
      <c r="C138" s="24">
        <v>97.88</v>
      </c>
    </row>
    <row r="139" spans="2:3" ht="13.5" x14ac:dyDescent="0.3">
      <c r="B139" s="23">
        <v>41859</v>
      </c>
      <c r="C139" s="24">
        <v>97.65</v>
      </c>
    </row>
    <row r="140" spans="2:3" ht="13.5" x14ac:dyDescent="0.3">
      <c r="B140" s="23">
        <v>41866</v>
      </c>
      <c r="C140" s="24">
        <v>97.35</v>
      </c>
    </row>
    <row r="141" spans="2:3" ht="13.5" x14ac:dyDescent="0.3">
      <c r="B141" s="23">
        <v>41873</v>
      </c>
      <c r="C141" s="24">
        <v>93.65</v>
      </c>
    </row>
    <row r="142" spans="2:3" ht="13.5" x14ac:dyDescent="0.3">
      <c r="B142" s="23">
        <v>41880</v>
      </c>
      <c r="C142" s="24">
        <v>95.96</v>
      </c>
    </row>
    <row r="143" spans="2:3" ht="13.5" x14ac:dyDescent="0.3">
      <c r="B143" s="23">
        <v>41887</v>
      </c>
      <c r="C143" s="24">
        <v>93.29</v>
      </c>
    </row>
    <row r="144" spans="2:3" ht="13.5" x14ac:dyDescent="0.3">
      <c r="B144" s="23">
        <v>41894</v>
      </c>
      <c r="C144" s="24">
        <v>92.27</v>
      </c>
    </row>
    <row r="145" spans="2:3" ht="13.5" x14ac:dyDescent="0.3">
      <c r="B145" s="23">
        <v>41901</v>
      </c>
      <c r="C145" s="24">
        <v>92.41</v>
      </c>
    </row>
    <row r="146" spans="2:3" ht="13.5" x14ac:dyDescent="0.3">
      <c r="B146" s="23">
        <v>41908</v>
      </c>
      <c r="C146" s="24">
        <v>93.54</v>
      </c>
    </row>
    <row r="147" spans="2:3" ht="13.5" x14ac:dyDescent="0.3">
      <c r="B147" s="23">
        <v>41915</v>
      </c>
      <c r="C147" s="24">
        <v>89.74</v>
      </c>
    </row>
    <row r="148" spans="2:3" ht="13.5" x14ac:dyDescent="0.3">
      <c r="B148" s="23">
        <v>41922</v>
      </c>
      <c r="C148" s="24">
        <v>85.82</v>
      </c>
    </row>
    <row r="149" spans="2:3" ht="13.5" x14ac:dyDescent="0.3">
      <c r="B149" s="23">
        <v>41929</v>
      </c>
      <c r="C149" s="24">
        <v>82.75</v>
      </c>
    </row>
    <row r="150" spans="2:3" ht="13.5" x14ac:dyDescent="0.3">
      <c r="B150" s="23">
        <v>41936</v>
      </c>
      <c r="C150" s="24">
        <v>81.010000000000005</v>
      </c>
    </row>
    <row r="151" spans="2:3" ht="13.5" x14ac:dyDescent="0.3">
      <c r="B151" s="23">
        <v>41943</v>
      </c>
      <c r="C151" s="24">
        <v>80.540000000000006</v>
      </c>
    </row>
    <row r="152" spans="2:3" ht="13.5" x14ac:dyDescent="0.3">
      <c r="B152" s="23">
        <v>41950</v>
      </c>
      <c r="C152" s="24">
        <v>78.650000000000006</v>
      </c>
    </row>
    <row r="153" spans="2:3" ht="13.5" x14ac:dyDescent="0.3">
      <c r="B153" s="23">
        <v>41957</v>
      </c>
      <c r="C153" s="24">
        <v>75.819999999999993</v>
      </c>
    </row>
    <row r="154" spans="2:3" ht="13.5" x14ac:dyDescent="0.3">
      <c r="B154" s="23">
        <v>41964</v>
      </c>
      <c r="C154" s="24">
        <v>76.510000000000005</v>
      </c>
    </row>
    <row r="155" spans="2:3" ht="13.5" x14ac:dyDescent="0.3">
      <c r="B155" s="23">
        <v>41971</v>
      </c>
      <c r="C155" s="24">
        <v>66.150000000000006</v>
      </c>
    </row>
    <row r="156" spans="2:3" ht="13.5" x14ac:dyDescent="0.3">
      <c r="B156" s="23">
        <v>41978</v>
      </c>
      <c r="C156" s="24">
        <v>65.84</v>
      </c>
    </row>
    <row r="157" spans="2:3" ht="13.5" x14ac:dyDescent="0.3">
      <c r="B157" s="23">
        <v>41985</v>
      </c>
      <c r="C157" s="24">
        <v>57.81</v>
      </c>
    </row>
    <row r="158" spans="2:3" ht="13.5" x14ac:dyDescent="0.3">
      <c r="B158" s="23">
        <v>41992</v>
      </c>
      <c r="C158" s="24">
        <v>57.13</v>
      </c>
    </row>
    <row r="159" spans="2:3" ht="13.5" x14ac:dyDescent="0.3">
      <c r="B159" s="23">
        <v>41999</v>
      </c>
      <c r="C159" s="24">
        <v>54.73</v>
      </c>
    </row>
    <row r="160" spans="2:3" ht="13.5" x14ac:dyDescent="0.3">
      <c r="B160" s="23">
        <v>42006</v>
      </c>
      <c r="C160" s="24">
        <v>52.69</v>
      </c>
    </row>
    <row r="161" spans="2:3" ht="13.5" x14ac:dyDescent="0.3">
      <c r="B161" s="23">
        <v>42013</v>
      </c>
      <c r="C161" s="24">
        <v>48.36</v>
      </c>
    </row>
    <row r="162" spans="2:3" ht="13.5" x14ac:dyDescent="0.3">
      <c r="B162" s="23">
        <v>42020</v>
      </c>
      <c r="C162" s="24">
        <v>48.69</v>
      </c>
    </row>
    <row r="163" spans="2:3" ht="13.5" x14ac:dyDescent="0.3">
      <c r="B163" s="23">
        <v>42027</v>
      </c>
      <c r="C163" s="24">
        <v>45.59</v>
      </c>
    </row>
    <row r="164" spans="2:3" ht="13.5" x14ac:dyDescent="0.3">
      <c r="B164" s="23">
        <v>42034</v>
      </c>
      <c r="C164" s="24">
        <v>48.24</v>
      </c>
    </row>
    <row r="165" spans="2:3" ht="13.5" x14ac:dyDescent="0.3">
      <c r="B165" s="23">
        <v>42041</v>
      </c>
      <c r="C165" s="24">
        <v>51.69</v>
      </c>
    </row>
    <row r="166" spans="2:3" ht="13.5" x14ac:dyDescent="0.3">
      <c r="B166" s="23">
        <v>42048</v>
      </c>
      <c r="C166" s="24">
        <v>52.78</v>
      </c>
    </row>
    <row r="167" spans="2:3" ht="13.5" x14ac:dyDescent="0.3">
      <c r="B167" s="23">
        <v>42055</v>
      </c>
      <c r="C167" s="24">
        <v>50.81</v>
      </c>
    </row>
    <row r="168" spans="2:3" ht="13.5" x14ac:dyDescent="0.3">
      <c r="B168" s="23">
        <v>42062</v>
      </c>
      <c r="C168" s="24">
        <v>49.76</v>
      </c>
    </row>
    <row r="169" spans="2:3" ht="13.5" x14ac:dyDescent="0.3">
      <c r="B169" s="23">
        <v>42069</v>
      </c>
      <c r="C169" s="24">
        <v>49.61</v>
      </c>
    </row>
    <row r="170" spans="2:3" ht="13.5" x14ac:dyDescent="0.3">
      <c r="B170" s="23">
        <v>42076</v>
      </c>
      <c r="C170" s="24">
        <v>44.84</v>
      </c>
    </row>
    <row r="171" spans="2:3" ht="13.5" x14ac:dyDescent="0.3">
      <c r="B171" s="23">
        <v>42083</v>
      </c>
      <c r="C171" s="24">
        <v>45.72</v>
      </c>
    </row>
    <row r="172" spans="2:3" ht="13.5" x14ac:dyDescent="0.3">
      <c r="B172" s="23">
        <v>42090</v>
      </c>
      <c r="C172" s="24">
        <v>48.87</v>
      </c>
    </row>
    <row r="173" spans="2:3" ht="13.5" x14ac:dyDescent="0.3">
      <c r="B173" s="23">
        <v>42096</v>
      </c>
      <c r="C173" s="24">
        <v>49.14</v>
      </c>
    </row>
    <row r="174" spans="2:3" ht="13.5" x14ac:dyDescent="0.3">
      <c r="B174" s="23">
        <v>42104</v>
      </c>
      <c r="C174" s="24">
        <v>51.64</v>
      </c>
    </row>
    <row r="175" spans="2:3" ht="13.5" x14ac:dyDescent="0.3">
      <c r="B175" s="23">
        <v>42111</v>
      </c>
      <c r="C175" s="24">
        <v>55.74</v>
      </c>
    </row>
    <row r="176" spans="2:3" ht="13.5" x14ac:dyDescent="0.3">
      <c r="B176" s="23">
        <v>42118</v>
      </c>
      <c r="C176" s="24">
        <v>57.15</v>
      </c>
    </row>
    <row r="177" spans="2:3" ht="13.5" x14ac:dyDescent="0.3">
      <c r="B177" s="23">
        <v>42125</v>
      </c>
      <c r="C177" s="24">
        <v>59.15</v>
      </c>
    </row>
    <row r="178" spans="2:3" ht="13.5" x14ac:dyDescent="0.3">
      <c r="B178" s="23">
        <v>42132</v>
      </c>
      <c r="C178" s="24">
        <v>59.39</v>
      </c>
    </row>
    <row r="179" spans="2:3" ht="13.5" x14ac:dyDescent="0.3">
      <c r="B179" s="23">
        <v>42139</v>
      </c>
      <c r="C179" s="24">
        <v>59.69</v>
      </c>
    </row>
    <row r="180" spans="2:3" ht="13.5" x14ac:dyDescent="0.3">
      <c r="B180" s="23">
        <v>42146</v>
      </c>
      <c r="C180" s="24">
        <v>59.72</v>
      </c>
    </row>
    <row r="181" spans="2:3" ht="13.5" x14ac:dyDescent="0.3">
      <c r="B181" s="23">
        <v>42153</v>
      </c>
      <c r="C181" s="24">
        <v>60.3</v>
      </c>
    </row>
    <row r="182" spans="2:3" ht="13.5" x14ac:dyDescent="0.3">
      <c r="B182" s="23">
        <v>42160</v>
      </c>
      <c r="C182" s="24">
        <v>59.13</v>
      </c>
    </row>
    <row r="183" spans="2:3" ht="13.5" x14ac:dyDescent="0.3">
      <c r="B183" s="23">
        <v>42167</v>
      </c>
      <c r="C183" s="24">
        <v>59.96</v>
      </c>
    </row>
    <row r="184" spans="2:3" ht="13.5" x14ac:dyDescent="0.3">
      <c r="B184" s="23">
        <v>42174</v>
      </c>
      <c r="C184" s="24">
        <v>59.61</v>
      </c>
    </row>
    <row r="185" spans="2:3" ht="13.5" x14ac:dyDescent="0.3">
      <c r="B185" s="23">
        <v>42181</v>
      </c>
      <c r="C185" s="24">
        <v>59.63</v>
      </c>
    </row>
    <row r="186" spans="2:3" ht="13.5" x14ac:dyDescent="0.3">
      <c r="B186" s="23">
        <v>42188</v>
      </c>
      <c r="C186" s="24">
        <v>55.52</v>
      </c>
    </row>
    <row r="187" spans="2:3" ht="13.5" x14ac:dyDescent="0.3">
      <c r="B187" s="23">
        <v>42195</v>
      </c>
      <c r="C187" s="24">
        <v>52.74</v>
      </c>
    </row>
    <row r="188" spans="2:3" ht="13.5" x14ac:dyDescent="0.3">
      <c r="B188" s="23">
        <v>42202</v>
      </c>
      <c r="C188" s="24">
        <v>50.89</v>
      </c>
    </row>
    <row r="189" spans="2:3" ht="13.5" x14ac:dyDescent="0.3">
      <c r="B189" s="23">
        <v>42209</v>
      </c>
      <c r="C189" s="24">
        <v>48.14</v>
      </c>
    </row>
    <row r="190" spans="2:3" ht="13.5" x14ac:dyDescent="0.3">
      <c r="B190" s="23">
        <v>42216</v>
      </c>
      <c r="C190" s="24">
        <v>47.12</v>
      </c>
    </row>
    <row r="191" spans="2:3" ht="13.5" x14ac:dyDescent="0.3">
      <c r="B191" s="23">
        <v>42223</v>
      </c>
      <c r="C191" s="24">
        <v>43.87</v>
      </c>
    </row>
    <row r="192" spans="2:3" ht="13.5" x14ac:dyDescent="0.3">
      <c r="B192" s="23">
        <v>42230</v>
      </c>
      <c r="C192" s="24">
        <v>42.5</v>
      </c>
    </row>
    <row r="193" spans="2:3" ht="13.5" x14ac:dyDescent="0.3">
      <c r="B193" s="23">
        <v>42237</v>
      </c>
      <c r="C193" s="24">
        <v>40.450000000000003</v>
      </c>
    </row>
    <row r="194" spans="2:3" ht="13.5" x14ac:dyDescent="0.3">
      <c r="B194" s="23">
        <v>42244</v>
      </c>
      <c r="C194" s="24">
        <v>45.22</v>
      </c>
    </row>
    <row r="195" spans="2:3" ht="13.5" x14ac:dyDescent="0.3">
      <c r="B195" s="23">
        <v>42251</v>
      </c>
      <c r="C195" s="24">
        <v>46.05</v>
      </c>
    </row>
    <row r="196" spans="2:3" ht="13.5" x14ac:dyDescent="0.3">
      <c r="B196" s="23">
        <v>42258</v>
      </c>
      <c r="C196" s="24">
        <v>44.63</v>
      </c>
    </row>
    <row r="197" spans="2:3" ht="13.5" x14ac:dyDescent="0.3">
      <c r="B197" s="23">
        <v>42265</v>
      </c>
      <c r="C197" s="24">
        <v>44.68</v>
      </c>
    </row>
    <row r="198" spans="2:3" ht="13.5" x14ac:dyDescent="0.3">
      <c r="B198" s="23">
        <v>42272</v>
      </c>
      <c r="C198" s="24">
        <v>45.7</v>
      </c>
    </row>
    <row r="199" spans="2:3" ht="13.5" x14ac:dyDescent="0.3">
      <c r="B199" s="23">
        <v>42279</v>
      </c>
      <c r="C199" s="24">
        <v>45.54</v>
      </c>
    </row>
    <row r="200" spans="2:3" ht="13.5" x14ac:dyDescent="0.3">
      <c r="B200" s="23">
        <v>42286</v>
      </c>
      <c r="C200" s="24">
        <v>49.63</v>
      </c>
    </row>
    <row r="201" spans="2:3" ht="13.5" x14ac:dyDescent="0.3">
      <c r="B201" s="23">
        <v>42293</v>
      </c>
      <c r="C201" s="24">
        <v>47.26</v>
      </c>
    </row>
    <row r="202" spans="2:3" ht="13.5" x14ac:dyDescent="0.3">
      <c r="B202" s="23">
        <v>42300</v>
      </c>
      <c r="C202" s="24">
        <v>44.6</v>
      </c>
    </row>
    <row r="203" spans="2:3" ht="13.5" x14ac:dyDescent="0.3">
      <c r="B203" s="23">
        <v>42307</v>
      </c>
      <c r="C203" s="24">
        <v>46.59</v>
      </c>
    </row>
    <row r="204" spans="2:3" ht="13.5" x14ac:dyDescent="0.3">
      <c r="B204" s="23">
        <v>42314</v>
      </c>
      <c r="C204" s="24">
        <v>44.29</v>
      </c>
    </row>
    <row r="205" spans="2:3" ht="13.5" x14ac:dyDescent="0.3">
      <c r="B205" s="23">
        <v>42321</v>
      </c>
      <c r="C205" s="24">
        <v>40.74</v>
      </c>
    </row>
    <row r="206" spans="2:3" ht="13.5" x14ac:dyDescent="0.3">
      <c r="B206" s="23">
        <v>42328</v>
      </c>
      <c r="C206" s="24">
        <v>41.46</v>
      </c>
    </row>
    <row r="207" spans="2:3" ht="13.5" x14ac:dyDescent="0.3">
      <c r="B207" s="23">
        <v>42335</v>
      </c>
      <c r="C207" s="24">
        <v>41.71</v>
      </c>
    </row>
    <row r="208" spans="2:3" ht="13.5" x14ac:dyDescent="0.3">
      <c r="B208" s="23">
        <v>42342</v>
      </c>
      <c r="C208" s="24">
        <v>39.97</v>
      </c>
    </row>
    <row r="209" spans="2:3" ht="13.5" x14ac:dyDescent="0.3">
      <c r="B209" s="23">
        <v>42349</v>
      </c>
      <c r="C209" s="24">
        <v>35.619999999999997</v>
      </c>
    </row>
    <row r="210" spans="2:3" ht="13.5" x14ac:dyDescent="0.3">
      <c r="B210" s="23">
        <v>42356</v>
      </c>
      <c r="C210" s="24">
        <v>34.729999999999997</v>
      </c>
    </row>
    <row r="211" spans="2:3" ht="13.5" x14ac:dyDescent="0.3">
      <c r="B211" s="23">
        <v>42362</v>
      </c>
      <c r="C211" s="24">
        <v>38.1</v>
      </c>
    </row>
    <row r="212" spans="2:3" ht="13.5" x14ac:dyDescent="0.3">
      <c r="B212" s="23">
        <v>42369</v>
      </c>
      <c r="C212" s="24">
        <v>37.04</v>
      </c>
    </row>
    <row r="213" spans="2:3" ht="13.5" x14ac:dyDescent="0.3">
      <c r="B213" s="23">
        <v>42377</v>
      </c>
      <c r="C213" s="24">
        <v>33.159999999999997</v>
      </c>
    </row>
    <row r="214" spans="2:3" ht="13.5" x14ac:dyDescent="0.3">
      <c r="B214" s="23">
        <v>42384</v>
      </c>
      <c r="C214" s="24">
        <v>29.42</v>
      </c>
    </row>
    <row r="215" spans="2:3" ht="13.5" x14ac:dyDescent="0.3">
      <c r="B215" s="23">
        <v>42391</v>
      </c>
      <c r="C215" s="24">
        <v>32.19</v>
      </c>
    </row>
    <row r="216" spans="2:3" ht="13.5" x14ac:dyDescent="0.3">
      <c r="B216" s="23">
        <v>42398</v>
      </c>
      <c r="C216" s="24">
        <v>33.619999999999997</v>
      </c>
    </row>
    <row r="217" spans="2:3" ht="13.5" x14ac:dyDescent="0.3">
      <c r="B217" s="23">
        <v>42405</v>
      </c>
      <c r="C217" s="24">
        <v>30.89</v>
      </c>
    </row>
    <row r="218" spans="2:3" ht="13.5" x14ac:dyDescent="0.3">
      <c r="B218" s="23">
        <v>42412</v>
      </c>
      <c r="C218" s="24">
        <v>29.44</v>
      </c>
    </row>
    <row r="219" spans="2:3" ht="13.5" x14ac:dyDescent="0.3">
      <c r="B219" s="23">
        <v>42419</v>
      </c>
      <c r="C219" s="24">
        <v>29.64</v>
      </c>
    </row>
    <row r="220" spans="2:3" ht="13.5" x14ac:dyDescent="0.3">
      <c r="B220" s="23">
        <v>42426</v>
      </c>
      <c r="C220" s="24">
        <v>32.78</v>
      </c>
    </row>
    <row r="221" spans="2:3" ht="13.5" x14ac:dyDescent="0.3">
      <c r="B221" s="23">
        <v>42433</v>
      </c>
      <c r="C221" s="24">
        <v>35.92</v>
      </c>
    </row>
    <row r="222" spans="2:3" ht="13.5" x14ac:dyDescent="0.3">
      <c r="B222" s="23">
        <v>42440</v>
      </c>
      <c r="C222" s="24">
        <v>38.5</v>
      </c>
    </row>
    <row r="223" spans="2:3" ht="13.5" x14ac:dyDescent="0.3">
      <c r="B223" s="23">
        <v>42447</v>
      </c>
      <c r="C223" s="24">
        <v>39.44</v>
      </c>
    </row>
    <row r="224" spans="2:3" ht="13.5" x14ac:dyDescent="0.3">
      <c r="B224" s="23">
        <v>42453</v>
      </c>
      <c r="C224" s="24">
        <v>39.46</v>
      </c>
    </row>
    <row r="225" spans="2:3" ht="13.5" x14ac:dyDescent="0.3">
      <c r="B225" s="23">
        <v>42461</v>
      </c>
      <c r="C225" s="24">
        <v>36.79</v>
      </c>
    </row>
    <row r="226" spans="2:3" ht="13.5" x14ac:dyDescent="0.3">
      <c r="B226" s="23">
        <v>42468</v>
      </c>
      <c r="C226" s="24">
        <v>39.72</v>
      </c>
    </row>
    <row r="227" spans="2:3" ht="13.5" x14ac:dyDescent="0.3">
      <c r="B227" s="23">
        <v>42475</v>
      </c>
      <c r="C227" s="24">
        <v>40.36</v>
      </c>
    </row>
    <row r="228" spans="2:3" ht="13.5" x14ac:dyDescent="0.3">
      <c r="B228" s="23">
        <v>42482</v>
      </c>
      <c r="C228" s="24">
        <v>43.73</v>
      </c>
    </row>
    <row r="229" spans="2:3" ht="13.5" x14ac:dyDescent="0.3">
      <c r="B229" s="23">
        <v>42489</v>
      </c>
      <c r="C229" s="24">
        <v>45.92</v>
      </c>
    </row>
    <row r="230" spans="2:3" ht="13.5" x14ac:dyDescent="0.3">
      <c r="B230" s="23">
        <v>42496</v>
      </c>
      <c r="C230" s="24">
        <v>44.66</v>
      </c>
    </row>
    <row r="231" spans="2:3" ht="13.5" x14ac:dyDescent="0.3">
      <c r="B231" s="23">
        <v>42503</v>
      </c>
      <c r="C231" s="24">
        <v>46.21</v>
      </c>
    </row>
    <row r="232" spans="2:3" ht="13.5" x14ac:dyDescent="0.3">
      <c r="B232" s="23">
        <v>42510</v>
      </c>
      <c r="C232" s="24">
        <v>48.41</v>
      </c>
    </row>
    <row r="233" spans="2:3" ht="13.5" x14ac:dyDescent="0.3">
      <c r="B233" s="23">
        <v>42517</v>
      </c>
      <c r="C233" s="24">
        <v>49.33</v>
      </c>
    </row>
    <row r="234" spans="2:3" ht="13.5" x14ac:dyDescent="0.3">
      <c r="B234" s="23">
        <v>42524</v>
      </c>
      <c r="C234" s="24">
        <v>48.62</v>
      </c>
    </row>
    <row r="235" spans="2:3" ht="13.5" x14ac:dyDescent="0.3">
      <c r="B235" s="23">
        <v>42531</v>
      </c>
      <c r="C235" s="24">
        <v>49.07</v>
      </c>
    </row>
    <row r="236" spans="2:3" ht="13.5" x14ac:dyDescent="0.3">
      <c r="B236" s="23">
        <v>42538</v>
      </c>
      <c r="C236" s="24">
        <v>47.98</v>
      </c>
    </row>
    <row r="237" spans="2:3" ht="13.5" x14ac:dyDescent="0.3">
      <c r="B237" s="23">
        <v>42545</v>
      </c>
      <c r="C237" s="24">
        <v>47.64</v>
      </c>
    </row>
    <row r="238" spans="2:3" ht="13.5" x14ac:dyDescent="0.3">
      <c r="B238" s="23">
        <v>42552</v>
      </c>
      <c r="C238" s="24">
        <v>48.99</v>
      </c>
    </row>
    <row r="239" spans="2:3" ht="13.5" x14ac:dyDescent="0.3">
      <c r="B239" s="23">
        <v>42559</v>
      </c>
      <c r="C239" s="24">
        <v>45.41</v>
      </c>
    </row>
    <row r="240" spans="2:3" ht="13.5" x14ac:dyDescent="0.3">
      <c r="B240" s="23">
        <v>42566</v>
      </c>
      <c r="C240" s="24">
        <v>45.95</v>
      </c>
    </row>
    <row r="241" spans="2:3" ht="13.5" x14ac:dyDescent="0.3">
      <c r="B241" s="23">
        <v>42573</v>
      </c>
      <c r="C241" s="24">
        <v>44.19</v>
      </c>
    </row>
    <row r="242" spans="2:3" ht="13.5" x14ac:dyDescent="0.3">
      <c r="B242" s="23">
        <v>42580</v>
      </c>
      <c r="C242" s="24">
        <v>41.6</v>
      </c>
    </row>
    <row r="243" spans="2:3" ht="13.5" x14ac:dyDescent="0.3">
      <c r="B243" s="23">
        <v>42587</v>
      </c>
      <c r="C243" s="24">
        <v>41.8</v>
      </c>
    </row>
    <row r="244" spans="2:3" ht="13.5" x14ac:dyDescent="0.3">
      <c r="B244" s="23">
        <v>42594</v>
      </c>
      <c r="C244" s="24">
        <v>44.49</v>
      </c>
    </row>
    <row r="245" spans="2:3" ht="13.5" x14ac:dyDescent="0.3">
      <c r="B245" s="23">
        <v>42601</v>
      </c>
      <c r="C245" s="24">
        <v>48.57</v>
      </c>
    </row>
    <row r="246" spans="2:3" ht="13.5" x14ac:dyDescent="0.3">
      <c r="B246" s="23">
        <v>42608</v>
      </c>
      <c r="C246" s="24">
        <v>47.64</v>
      </c>
    </row>
    <row r="247" spans="2:3" ht="13.5" x14ac:dyDescent="0.3">
      <c r="B247" s="23">
        <v>42615</v>
      </c>
      <c r="C247" s="24">
        <v>44.44</v>
      </c>
    </row>
    <row r="248" spans="2:3" ht="13.5" x14ac:dyDescent="0.3">
      <c r="B248" s="23">
        <v>42622</v>
      </c>
      <c r="C248" s="24">
        <v>45.88</v>
      </c>
    </row>
    <row r="249" spans="2:3" ht="13.5" x14ac:dyDescent="0.3">
      <c r="B249" s="23">
        <v>42629</v>
      </c>
      <c r="C249" s="24">
        <v>43.03</v>
      </c>
    </row>
    <row r="250" spans="2:3" ht="13.5" x14ac:dyDescent="0.3">
      <c r="B250" s="23">
        <v>42636</v>
      </c>
      <c r="C250" s="24">
        <v>44.48</v>
      </c>
    </row>
    <row r="251" spans="2:3" ht="13.5" x14ac:dyDescent="0.3">
      <c r="B251" s="23">
        <v>42643</v>
      </c>
      <c r="C251" s="24">
        <v>48.24</v>
      </c>
    </row>
    <row r="252" spans="2:3" ht="13.5" x14ac:dyDescent="0.3">
      <c r="B252" s="23">
        <v>42650</v>
      </c>
      <c r="C252" s="24">
        <v>49.81</v>
      </c>
    </row>
    <row r="253" spans="2:3" ht="13.5" x14ac:dyDescent="0.3">
      <c r="B253" s="23">
        <v>42657</v>
      </c>
      <c r="C253" s="24">
        <v>50.35</v>
      </c>
    </row>
    <row r="254" spans="2:3" ht="13.5" x14ac:dyDescent="0.3">
      <c r="B254" s="23">
        <v>42664</v>
      </c>
      <c r="C254" s="24">
        <v>50.85</v>
      </c>
    </row>
    <row r="255" spans="2:3" ht="13.5" x14ac:dyDescent="0.3">
      <c r="B255" s="23">
        <v>42671</v>
      </c>
      <c r="C255" s="24">
        <v>48.7</v>
      </c>
    </row>
    <row r="256" spans="2:3" ht="13.5" x14ac:dyDescent="0.3">
      <c r="B256" s="23">
        <v>42678</v>
      </c>
      <c r="C256" s="24">
        <v>44.07</v>
      </c>
    </row>
    <row r="257" spans="2:3" ht="13.5" x14ac:dyDescent="0.3">
      <c r="B257" s="23">
        <v>42685</v>
      </c>
      <c r="C257" s="24">
        <v>43.41</v>
      </c>
    </row>
    <row r="258" spans="2:3" ht="13.5" x14ac:dyDescent="0.3">
      <c r="B258" s="23">
        <v>42692</v>
      </c>
      <c r="C258" s="24">
        <v>45.69</v>
      </c>
    </row>
    <row r="259" spans="2:3" ht="13.5" x14ac:dyDescent="0.3">
      <c r="B259" s="23">
        <v>42699</v>
      </c>
      <c r="C259" s="24">
        <v>46.06</v>
      </c>
    </row>
    <row r="260" spans="2:3" ht="13.5" x14ac:dyDescent="0.3">
      <c r="B260" s="23">
        <v>42706</v>
      </c>
      <c r="C260" s="24">
        <v>51.68</v>
      </c>
    </row>
    <row r="261" spans="2:3" ht="13.5" x14ac:dyDescent="0.3">
      <c r="B261" s="23">
        <v>42713</v>
      </c>
      <c r="C261" s="24">
        <v>51.5</v>
      </c>
    </row>
    <row r="262" spans="2:3" ht="13.5" x14ac:dyDescent="0.3">
      <c r="B262" s="23">
        <v>42720</v>
      </c>
      <c r="C262" s="24">
        <v>51.9</v>
      </c>
    </row>
    <row r="263" spans="2:3" ht="13.5" x14ac:dyDescent="0.3">
      <c r="B263" s="23">
        <v>42727</v>
      </c>
      <c r="C263" s="24">
        <v>53.02</v>
      </c>
    </row>
    <row r="264" spans="2:3" ht="13.5" x14ac:dyDescent="0.3">
      <c r="B264" s="23">
        <v>42734</v>
      </c>
      <c r="C264" s="24">
        <v>53.72</v>
      </c>
    </row>
    <row r="265" spans="2:3" ht="13.5" x14ac:dyDescent="0.3">
      <c r="B265" s="23">
        <v>42741</v>
      </c>
      <c r="C265" s="24">
        <v>53.99</v>
      </c>
    </row>
    <row r="266" spans="2:3" ht="13.5" x14ac:dyDescent="0.3">
      <c r="B266" s="23">
        <v>42748</v>
      </c>
      <c r="C266" s="24">
        <v>52.37</v>
      </c>
    </row>
    <row r="267" spans="2:3" ht="13.5" x14ac:dyDescent="0.3">
      <c r="B267" s="23">
        <v>42755</v>
      </c>
      <c r="C267" s="24">
        <v>53.22</v>
      </c>
    </row>
    <row r="268" spans="2:3" ht="13.5" x14ac:dyDescent="0.3">
      <c r="B268" s="23">
        <v>42762</v>
      </c>
      <c r="C268" s="24">
        <v>53.17</v>
      </c>
    </row>
    <row r="269" spans="2:3" ht="13.5" x14ac:dyDescent="0.3">
      <c r="B269" s="23">
        <v>42769</v>
      </c>
      <c r="C269" s="24">
        <v>53.83</v>
      </c>
    </row>
    <row r="270" spans="2:3" ht="13.5" x14ac:dyDescent="0.3">
      <c r="B270" s="23">
        <v>42776</v>
      </c>
      <c r="C270" s="24">
        <v>53.86</v>
      </c>
    </row>
    <row r="271" spans="2:3" ht="13.5" x14ac:dyDescent="0.3">
      <c r="B271" s="23">
        <v>42783</v>
      </c>
      <c r="C271" s="24">
        <v>53.4</v>
      </c>
    </row>
    <row r="272" spans="2:3" ht="13.5" x14ac:dyDescent="0.3">
      <c r="B272" s="23">
        <v>42790</v>
      </c>
      <c r="C272" s="24">
        <v>53.99</v>
      </c>
    </row>
    <row r="273" spans="2:3" ht="13.5" x14ac:dyDescent="0.3">
      <c r="B273" s="23">
        <v>42797</v>
      </c>
      <c r="C273" s="24">
        <v>53.33</v>
      </c>
    </row>
    <row r="274" spans="2:3" ht="13.5" x14ac:dyDescent="0.3">
      <c r="B274" s="23">
        <v>42804</v>
      </c>
      <c r="C274" s="24">
        <v>48.49</v>
      </c>
    </row>
    <row r="275" spans="2:3" ht="13.5" x14ac:dyDescent="0.3">
      <c r="B275" s="23">
        <v>42811</v>
      </c>
      <c r="C275" s="24">
        <v>48.78</v>
      </c>
    </row>
    <row r="276" spans="2:3" ht="13.5" x14ac:dyDescent="0.3">
      <c r="B276" s="23">
        <v>42818</v>
      </c>
      <c r="C276" s="24">
        <v>47.97</v>
      </c>
    </row>
    <row r="277" spans="2:3" ht="13.5" x14ac:dyDescent="0.3">
      <c r="B277" s="23">
        <v>42825</v>
      </c>
      <c r="C277" s="24">
        <v>50.6</v>
      </c>
    </row>
    <row r="278" spans="2:3" ht="13.5" x14ac:dyDescent="0.3">
      <c r="B278" s="23">
        <v>42832</v>
      </c>
      <c r="C278" s="24">
        <v>52.24</v>
      </c>
    </row>
    <row r="279" spans="2:3" ht="13.5" x14ac:dyDescent="0.3">
      <c r="B279" s="23">
        <v>42839</v>
      </c>
      <c r="C279" s="24">
        <v>53.18</v>
      </c>
    </row>
    <row r="280" spans="2:3" ht="13.5" x14ac:dyDescent="0.3">
      <c r="B280" s="23">
        <v>42846</v>
      </c>
      <c r="C280" s="24">
        <v>49.62</v>
      </c>
    </row>
    <row r="281" spans="2:3" ht="13.5" x14ac:dyDescent="0.3">
      <c r="B281" s="23">
        <v>42853</v>
      </c>
      <c r="C281" s="24">
        <v>49.33</v>
      </c>
    </row>
    <row r="282" spans="2:3" ht="13.5" x14ac:dyDescent="0.3">
      <c r="B282" s="23">
        <v>42860</v>
      </c>
      <c r="C282" s="24">
        <v>46.22</v>
      </c>
    </row>
    <row r="283" spans="2:3" ht="13.5" x14ac:dyDescent="0.3">
      <c r="B283" s="23">
        <v>42867</v>
      </c>
      <c r="C283" s="24">
        <v>47.84</v>
      </c>
    </row>
    <row r="284" spans="2:3" ht="13.5" x14ac:dyDescent="0.3">
      <c r="B284" s="23">
        <v>42874</v>
      </c>
      <c r="C284" s="24">
        <v>50.33</v>
      </c>
    </row>
    <row r="285" spans="2:3" ht="13.5" x14ac:dyDescent="0.3">
      <c r="B285" s="23">
        <v>42881</v>
      </c>
      <c r="C285" s="24">
        <v>49.8</v>
      </c>
    </row>
    <row r="286" spans="2:3" ht="13.5" x14ac:dyDescent="0.3">
      <c r="B286" s="23">
        <v>42888</v>
      </c>
      <c r="C286" s="24">
        <v>47.66</v>
      </c>
    </row>
    <row r="287" spans="2:3" ht="13.5" x14ac:dyDescent="0.3">
      <c r="B287" s="23">
        <v>42895</v>
      </c>
      <c r="C287" s="24">
        <v>45.83</v>
      </c>
    </row>
    <row r="288" spans="2:3" ht="13.5" x14ac:dyDescent="0.3">
      <c r="B288" s="23">
        <v>42902</v>
      </c>
      <c r="C288" s="24">
        <v>44.74</v>
      </c>
    </row>
    <row r="289" spans="2:3" ht="13.5" x14ac:dyDescent="0.3">
      <c r="B289" s="23">
        <v>42909</v>
      </c>
      <c r="C289" s="24">
        <v>43.01</v>
      </c>
    </row>
    <row r="290" spans="2:3" ht="13.5" x14ac:dyDescent="0.3">
      <c r="B290" s="23">
        <v>42916</v>
      </c>
      <c r="C290" s="24">
        <v>46.04</v>
      </c>
    </row>
    <row r="291" spans="2:3" ht="13.5" x14ac:dyDescent="0.3">
      <c r="B291" s="23">
        <v>42923</v>
      </c>
      <c r="C291" s="24">
        <v>44.23</v>
      </c>
    </row>
    <row r="292" spans="2:3" ht="13.5" x14ac:dyDescent="0.3">
      <c r="B292" s="23">
        <v>42930</v>
      </c>
      <c r="C292" s="24">
        <v>46.54</v>
      </c>
    </row>
    <row r="293" spans="2:3" ht="13.5" x14ac:dyDescent="0.3">
      <c r="B293" s="23">
        <v>42937</v>
      </c>
      <c r="C293" s="24">
        <v>45.77</v>
      </c>
    </row>
    <row r="294" spans="2:3" ht="13.5" x14ac:dyDescent="0.3">
      <c r="B294" s="23">
        <v>42944</v>
      </c>
      <c r="C294" s="24">
        <v>49.71</v>
      </c>
    </row>
    <row r="295" spans="2:3" ht="13.5" x14ac:dyDescent="0.3">
      <c r="B295" s="23">
        <v>42951</v>
      </c>
      <c r="C295" s="24">
        <v>49.58</v>
      </c>
    </row>
    <row r="296" spans="2:3" ht="13.5" x14ac:dyDescent="0.3">
      <c r="B296" s="23">
        <v>42958</v>
      </c>
      <c r="C296" s="24">
        <v>48.82</v>
      </c>
    </row>
    <row r="297" spans="2:3" ht="13.5" x14ac:dyDescent="0.3">
      <c r="B297" s="23">
        <v>42965</v>
      </c>
      <c r="C297" s="24">
        <v>48.51</v>
      </c>
    </row>
    <row r="298" spans="2:3" ht="13.5" x14ac:dyDescent="0.3">
      <c r="B298" s="23">
        <v>42972</v>
      </c>
      <c r="C298" s="24">
        <v>47.87</v>
      </c>
    </row>
    <row r="299" spans="2:3" ht="13.5" x14ac:dyDescent="0.3">
      <c r="B299" s="23">
        <v>42979</v>
      </c>
      <c r="C299" s="24">
        <v>47.29</v>
      </c>
    </row>
    <row r="300" spans="2:3" ht="13.5" x14ac:dyDescent="0.3">
      <c r="B300" s="23">
        <v>42986</v>
      </c>
      <c r="C300" s="24">
        <v>47.48</v>
      </c>
    </row>
    <row r="301" spans="2:3" ht="13.5" x14ac:dyDescent="0.3">
      <c r="B301" s="23">
        <v>42993</v>
      </c>
      <c r="C301" s="24">
        <v>49.89</v>
      </c>
    </row>
    <row r="302" spans="2:3" ht="13.5" x14ac:dyDescent="0.3">
      <c r="B302" s="23">
        <v>43000</v>
      </c>
      <c r="C302" s="24">
        <v>50.66</v>
      </c>
    </row>
    <row r="303" spans="2:3" ht="13.5" x14ac:dyDescent="0.3">
      <c r="B303" s="23">
        <v>43007</v>
      </c>
      <c r="C303" s="24">
        <v>51.67</v>
      </c>
    </row>
    <row r="304" spans="2:3" ht="13.5" x14ac:dyDescent="0.3">
      <c r="B304" s="23">
        <v>43014</v>
      </c>
      <c r="C304" s="24">
        <v>49.29</v>
      </c>
    </row>
    <row r="305" spans="2:3" ht="13.5" x14ac:dyDescent="0.3">
      <c r="B305" s="23">
        <v>43021</v>
      </c>
      <c r="C305" s="24">
        <v>51.45</v>
      </c>
    </row>
    <row r="306" spans="2:3" ht="13.5" x14ac:dyDescent="0.3">
      <c r="B306" s="23">
        <v>43028</v>
      </c>
      <c r="C306" s="24">
        <v>51.84</v>
      </c>
    </row>
    <row r="307" spans="2:3" ht="13.5" x14ac:dyDescent="0.3">
      <c r="B307" s="23">
        <v>43035</v>
      </c>
      <c r="C307" s="24">
        <v>53.9</v>
      </c>
    </row>
    <row r="308" spans="2:3" ht="13.5" x14ac:dyDescent="0.3">
      <c r="B308" s="23">
        <v>43042</v>
      </c>
      <c r="C308" s="24">
        <v>55.64</v>
      </c>
    </row>
    <row r="309" spans="2:3" ht="13.5" x14ac:dyDescent="0.3">
      <c r="B309" s="23">
        <v>43049</v>
      </c>
      <c r="C309" s="24">
        <v>56.74</v>
      </c>
    </row>
    <row r="310" spans="2:3" ht="13.5" x14ac:dyDescent="0.3">
      <c r="B310" s="23">
        <v>43056</v>
      </c>
      <c r="C310" s="24">
        <v>56.55</v>
      </c>
    </row>
    <row r="311" spans="2:3" ht="13.5" x14ac:dyDescent="0.3">
      <c r="B311" s="23">
        <v>43063</v>
      </c>
      <c r="C311" s="24">
        <v>58.95</v>
      </c>
    </row>
    <row r="312" spans="2:3" ht="13.5" x14ac:dyDescent="0.3">
      <c r="B312" s="23">
        <v>43070</v>
      </c>
      <c r="C312" s="24">
        <v>58.36</v>
      </c>
    </row>
    <row r="313" spans="2:3" ht="13.5" x14ac:dyDescent="0.3">
      <c r="B313" s="23">
        <v>43077</v>
      </c>
      <c r="C313" s="24">
        <v>57.36</v>
      </c>
    </row>
    <row r="314" spans="2:3" ht="13.5" x14ac:dyDescent="0.3">
      <c r="B314" s="23">
        <v>43084</v>
      </c>
      <c r="C314" s="24">
        <v>57.3</v>
      </c>
    </row>
    <row r="315" spans="2:3" ht="13.5" x14ac:dyDescent="0.3">
      <c r="B315" s="23">
        <v>43091</v>
      </c>
      <c r="C315" s="24">
        <v>58.47</v>
      </c>
    </row>
    <row r="316" spans="2:3" ht="13.5" x14ac:dyDescent="0.3">
      <c r="B316" s="23">
        <v>43098</v>
      </c>
      <c r="C316" s="24">
        <v>60.42</v>
      </c>
    </row>
    <row r="317" spans="2:3" ht="13.5" x14ac:dyDescent="0.3">
      <c r="B317" s="23">
        <v>43105</v>
      </c>
      <c r="C317" s="24">
        <v>61.44</v>
      </c>
    </row>
    <row r="318" spans="2:3" ht="13.5" x14ac:dyDescent="0.3">
      <c r="B318" s="23">
        <v>43112</v>
      </c>
      <c r="C318" s="24">
        <v>64.3</v>
      </c>
    </row>
    <row r="319" spans="2:3" ht="13.5" x14ac:dyDescent="0.3">
      <c r="B319" s="23">
        <v>43119</v>
      </c>
      <c r="C319" s="24">
        <v>63.37</v>
      </c>
    </row>
    <row r="320" spans="2:3" ht="13.5" x14ac:dyDescent="0.3">
      <c r="B320" s="23">
        <v>43126</v>
      </c>
      <c r="C320" s="24">
        <v>66.14</v>
      </c>
    </row>
    <row r="321" spans="2:3" ht="13.5" x14ac:dyDescent="0.3">
      <c r="B321" s="23">
        <v>43133</v>
      </c>
      <c r="C321" s="24">
        <v>65.45</v>
      </c>
    </row>
    <row r="322" spans="2:3" ht="13.5" x14ac:dyDescent="0.3">
      <c r="B322" s="23">
        <v>43140</v>
      </c>
      <c r="C322" s="24">
        <v>59.2</v>
      </c>
    </row>
    <row r="323" spans="2:3" ht="13.5" x14ac:dyDescent="0.3">
      <c r="B323" s="23">
        <v>43147</v>
      </c>
      <c r="C323" s="24">
        <v>61.68</v>
      </c>
    </row>
    <row r="324" spans="2:3" ht="13.5" x14ac:dyDescent="0.3">
      <c r="B324" s="23">
        <v>43154</v>
      </c>
      <c r="C324" s="24">
        <v>63.55</v>
      </c>
    </row>
    <row r="325" spans="2:3" ht="13.5" x14ac:dyDescent="0.3">
      <c r="B325" s="23">
        <v>43161</v>
      </c>
      <c r="C325" s="24">
        <v>61.25</v>
      </c>
    </row>
    <row r="326" spans="2:3" ht="13.5" x14ac:dyDescent="0.3">
      <c r="B326" s="23">
        <v>43168</v>
      </c>
      <c r="C326" s="24">
        <v>62.04</v>
      </c>
    </row>
    <row r="327" spans="2:3" ht="13.5" x14ac:dyDescent="0.3">
      <c r="B327" s="23">
        <v>43175</v>
      </c>
      <c r="C327" s="24">
        <v>62.34</v>
      </c>
    </row>
    <row r="328" spans="2:3" ht="13.5" x14ac:dyDescent="0.3">
      <c r="B328" s="23">
        <v>43182</v>
      </c>
      <c r="C328" s="24">
        <v>65.88</v>
      </c>
    </row>
    <row r="329" spans="2:3" ht="13.5" x14ac:dyDescent="0.3">
      <c r="B329" s="23">
        <v>43189</v>
      </c>
      <c r="C329" s="24">
        <v>64.94</v>
      </c>
    </row>
    <row r="330" spans="2:3" ht="13.5" x14ac:dyDescent="0.3">
      <c r="B330" s="23">
        <v>43196</v>
      </c>
      <c r="C330" s="24">
        <v>62.06</v>
      </c>
    </row>
    <row r="331" spans="2:3" ht="13.5" x14ac:dyDescent="0.3">
      <c r="B331" s="23">
        <v>43203</v>
      </c>
      <c r="C331" s="24">
        <v>67.39</v>
      </c>
    </row>
    <row r="332" spans="2:3" ht="13.5" x14ac:dyDescent="0.3">
      <c r="B332" s="23">
        <v>43210</v>
      </c>
      <c r="C332" s="24">
        <v>68.400000000000006</v>
      </c>
    </row>
    <row r="333" spans="2:3" ht="13.5" x14ac:dyDescent="0.3">
      <c r="B333" s="23">
        <v>43217</v>
      </c>
      <c r="C333" s="24">
        <v>68.099999999999994</v>
      </c>
    </row>
    <row r="334" spans="2:3" ht="13.5" x14ac:dyDescent="0.3">
      <c r="B334" s="23">
        <v>43224</v>
      </c>
      <c r="C334" s="24">
        <v>69.72</v>
      </c>
    </row>
    <row r="335" spans="2:3" ht="13.5" x14ac:dyDescent="0.3">
      <c r="B335" s="23">
        <v>43231</v>
      </c>
      <c r="C335" s="24">
        <v>70.7</v>
      </c>
    </row>
    <row r="336" spans="2:3" ht="13.5" x14ac:dyDescent="0.3">
      <c r="B336" s="23">
        <v>43238</v>
      </c>
      <c r="C336" s="24">
        <v>71.28</v>
      </c>
    </row>
    <row r="337" spans="2:3" ht="13.5" x14ac:dyDescent="0.3">
      <c r="B337" s="23">
        <v>43245</v>
      </c>
      <c r="C337" s="24">
        <v>67.88</v>
      </c>
    </row>
    <row r="338" spans="2:3" ht="13.5" x14ac:dyDescent="0.3">
      <c r="B338" s="23">
        <v>43252</v>
      </c>
      <c r="C338" s="24">
        <v>65.81</v>
      </c>
    </row>
    <row r="339" spans="2:3" ht="13.5" x14ac:dyDescent="0.3">
      <c r="B339" s="23">
        <v>43259</v>
      </c>
      <c r="C339" s="24">
        <v>65.739999999999995</v>
      </c>
    </row>
    <row r="340" spans="2:3" ht="13.5" x14ac:dyDescent="0.3">
      <c r="B340" s="23">
        <v>43266</v>
      </c>
      <c r="C340" s="24">
        <v>65.06</v>
      </c>
    </row>
    <row r="341" spans="2:3" ht="13.5" x14ac:dyDescent="0.3">
      <c r="B341" s="23">
        <v>43273</v>
      </c>
      <c r="C341" s="24">
        <v>68.58</v>
      </c>
    </row>
    <row r="342" spans="2:3" ht="13.5" x14ac:dyDescent="0.3">
      <c r="B342" s="23">
        <v>43280</v>
      </c>
      <c r="C342" s="24">
        <v>74.150000000000006</v>
      </c>
    </row>
    <row r="343" spans="2:3" ht="13.5" x14ac:dyDescent="0.3">
      <c r="B343" s="23">
        <v>43287</v>
      </c>
      <c r="C343" s="24">
        <v>73.8</v>
      </c>
    </row>
    <row r="344" spans="2:3" ht="13.5" x14ac:dyDescent="0.3">
      <c r="B344" s="23">
        <v>43294</v>
      </c>
      <c r="C344" s="24">
        <v>71.010000000000005</v>
      </c>
    </row>
    <row r="345" spans="2:3" ht="13.5" x14ac:dyDescent="0.3">
      <c r="B345" s="23">
        <v>43301</v>
      </c>
      <c r="C345" s="24">
        <v>70.459999999999994</v>
      </c>
    </row>
    <row r="346" spans="2:3" ht="13.5" x14ac:dyDescent="0.3">
      <c r="B346" s="23">
        <v>43308</v>
      </c>
      <c r="C346" s="24">
        <v>68.69</v>
      </c>
    </row>
    <row r="347" spans="2:3" ht="13.5" x14ac:dyDescent="0.3">
      <c r="B347" s="23">
        <v>43315</v>
      </c>
      <c r="C347" s="24">
        <v>68.489999999999995</v>
      </c>
    </row>
    <row r="348" spans="2:3" ht="13.5" x14ac:dyDescent="0.3">
      <c r="B348" s="23">
        <v>43322</v>
      </c>
      <c r="C348" s="24">
        <v>67.63</v>
      </c>
    </row>
    <row r="349" spans="2:3" ht="13.5" x14ac:dyDescent="0.3">
      <c r="B349" s="23">
        <v>43329</v>
      </c>
      <c r="C349" s="24">
        <v>65.91</v>
      </c>
    </row>
    <row r="350" spans="2:3" ht="13.5" x14ac:dyDescent="0.3">
      <c r="B350" s="23">
        <v>43336</v>
      </c>
      <c r="C350" s="24">
        <v>68.72</v>
      </c>
    </row>
    <row r="351" spans="2:3" ht="13.5" x14ac:dyDescent="0.3">
      <c r="B351" s="23">
        <v>43343</v>
      </c>
      <c r="C351" s="24">
        <v>69.8</v>
      </c>
    </row>
    <row r="352" spans="2:3" ht="13.5" x14ac:dyDescent="0.3">
      <c r="B352" s="23">
        <v>43350</v>
      </c>
      <c r="C352" s="24">
        <v>67.75</v>
      </c>
    </row>
    <row r="353" spans="2:3" ht="13.5" x14ac:dyDescent="0.3">
      <c r="B353" s="23">
        <v>43357</v>
      </c>
      <c r="C353" s="24">
        <v>68.989999999999995</v>
      </c>
    </row>
    <row r="354" spans="2:3" ht="13.5" x14ac:dyDescent="0.3">
      <c r="B354" s="23">
        <v>43364</v>
      </c>
      <c r="C354" s="24">
        <v>70.78</v>
      </c>
    </row>
    <row r="355" spans="2:3" ht="13.5" x14ac:dyDescent="0.3">
      <c r="B355" s="23">
        <v>43371</v>
      </c>
      <c r="C355" s="24">
        <v>73.25</v>
      </c>
    </row>
    <row r="356" spans="2:3" ht="13.5" x14ac:dyDescent="0.3">
      <c r="B356" s="23">
        <v>43378</v>
      </c>
      <c r="C356" s="24">
        <v>74.34</v>
      </c>
    </row>
    <row r="357" spans="2:3" ht="13.5" x14ac:dyDescent="0.3">
      <c r="B357" s="23">
        <v>43385</v>
      </c>
      <c r="C357" s="24">
        <v>71.34</v>
      </c>
    </row>
    <row r="358" spans="2:3" ht="13.5" x14ac:dyDescent="0.3">
      <c r="B358" s="23">
        <v>43392</v>
      </c>
      <c r="C358" s="24">
        <v>69.12</v>
      </c>
    </row>
    <row r="359" spans="2:3" ht="13.5" x14ac:dyDescent="0.3">
      <c r="B359" s="23">
        <v>43399</v>
      </c>
      <c r="C359" s="24">
        <v>67.59</v>
      </c>
    </row>
    <row r="360" spans="2:3" ht="13.5" x14ac:dyDescent="0.3">
      <c r="B360" s="23">
        <v>43406</v>
      </c>
      <c r="C360" s="24">
        <v>63.14</v>
      </c>
    </row>
    <row r="361" spans="2:3" ht="13.5" x14ac:dyDescent="0.3">
      <c r="B361" s="23">
        <v>43413</v>
      </c>
      <c r="C361" s="24">
        <v>60.19</v>
      </c>
    </row>
    <row r="362" spans="2:3" ht="13.5" x14ac:dyDescent="0.3">
      <c r="B362" s="23">
        <v>43420</v>
      </c>
      <c r="C362" s="24">
        <v>56.46</v>
      </c>
    </row>
    <row r="363" spans="2:3" ht="13.5" x14ac:dyDescent="0.3">
      <c r="B363" s="23">
        <v>43427</v>
      </c>
      <c r="C363" s="24">
        <v>50.42</v>
      </c>
    </row>
    <row r="364" spans="2:3" ht="13.5" x14ac:dyDescent="0.3">
      <c r="B364" s="23">
        <v>43434</v>
      </c>
      <c r="C364" s="24">
        <v>50.93</v>
      </c>
    </row>
    <row r="365" spans="2:3" ht="13.5" x14ac:dyDescent="0.3">
      <c r="B365" s="23">
        <v>43441</v>
      </c>
      <c r="C365" s="24">
        <v>52.61</v>
      </c>
    </row>
    <row r="366" spans="2:3" ht="13.5" x14ac:dyDescent="0.3">
      <c r="B366" s="23">
        <v>43448</v>
      </c>
      <c r="C366" s="24">
        <v>51.2</v>
      </c>
    </row>
    <row r="367" spans="2:3" ht="13.5" x14ac:dyDescent="0.3">
      <c r="B367" s="23">
        <v>43455</v>
      </c>
      <c r="C367" s="24">
        <v>45.59</v>
      </c>
    </row>
    <row r="368" spans="2:3" ht="13.5" x14ac:dyDescent="0.3">
      <c r="B368" s="23">
        <v>43462</v>
      </c>
      <c r="C368" s="24">
        <v>45.33</v>
      </c>
    </row>
    <row r="369" spans="2:3" ht="13.5" x14ac:dyDescent="0.3">
      <c r="B369" s="23">
        <v>43469</v>
      </c>
      <c r="C369" s="24">
        <v>47.96</v>
      </c>
    </row>
    <row r="370" spans="2:3" ht="13.5" x14ac:dyDescent="0.3">
      <c r="B370" s="23">
        <v>43476</v>
      </c>
      <c r="C370" s="24">
        <v>51.59</v>
      </c>
    </row>
    <row r="371" spans="2:3" ht="13.5" x14ac:dyDescent="0.3">
      <c r="B371" s="23">
        <v>43483</v>
      </c>
      <c r="C371" s="24">
        <v>53.8</v>
      </c>
    </row>
    <row r="372" spans="2:3" ht="13.5" x14ac:dyDescent="0.3">
      <c r="B372" s="23">
        <v>43490</v>
      </c>
      <c r="C372" s="24">
        <v>53.69</v>
      </c>
    </row>
    <row r="373" spans="2:3" ht="13.5" x14ac:dyDescent="0.3">
      <c r="B373" s="23">
        <v>43497</v>
      </c>
      <c r="C373" s="24">
        <v>55.26</v>
      </c>
    </row>
    <row r="374" spans="2:3" ht="13.5" x14ac:dyDescent="0.3">
      <c r="B374" s="23">
        <v>43504</v>
      </c>
      <c r="C374" s="24">
        <v>52.72</v>
      </c>
    </row>
    <row r="375" spans="2:3" ht="13.5" x14ac:dyDescent="0.3">
      <c r="B375" s="23">
        <v>43511</v>
      </c>
      <c r="C375" s="24">
        <v>55.59</v>
      </c>
    </row>
    <row r="376" spans="2:3" ht="13.5" x14ac:dyDescent="0.3">
      <c r="B376" s="23">
        <v>43518</v>
      </c>
      <c r="C376" s="24">
        <v>57.26</v>
      </c>
    </row>
    <row r="377" spans="2:3" ht="13.5" x14ac:dyDescent="0.3">
      <c r="B377" s="23">
        <v>43525</v>
      </c>
      <c r="C377" s="24">
        <v>55.8</v>
      </c>
    </row>
    <row r="378" spans="2:3" ht="13.5" x14ac:dyDescent="0.3">
      <c r="B378" s="23">
        <v>43532</v>
      </c>
      <c r="C378" s="24">
        <v>56.07</v>
      </c>
    </row>
    <row r="379" spans="2:3" ht="13.5" x14ac:dyDescent="0.3">
      <c r="B379" s="23">
        <v>43539</v>
      </c>
      <c r="C379" s="24">
        <v>58.52</v>
      </c>
    </row>
    <row r="380" spans="2:3" ht="13.5" x14ac:dyDescent="0.3">
      <c r="B380" s="23">
        <v>43546</v>
      </c>
      <c r="C380" s="24">
        <v>59.04</v>
      </c>
    </row>
    <row r="381" spans="2:3" ht="13.5" x14ac:dyDescent="0.3">
      <c r="B381" s="23">
        <v>43553</v>
      </c>
      <c r="C381" s="24">
        <v>60.14</v>
      </c>
    </row>
    <row r="382" spans="2:3" ht="13.5" x14ac:dyDescent="0.3">
      <c r="B382" s="23">
        <v>43560</v>
      </c>
      <c r="C382" s="24">
        <v>63.08</v>
      </c>
    </row>
    <row r="383" spans="2:3" ht="13.5" x14ac:dyDescent="0.3">
      <c r="B383" s="23">
        <v>43567</v>
      </c>
      <c r="C383" s="24">
        <v>63.89</v>
      </c>
    </row>
    <row r="384" spans="2:3" ht="13.5" x14ac:dyDescent="0.3">
      <c r="B384" s="23">
        <v>43574</v>
      </c>
      <c r="C384" s="24">
        <v>64</v>
      </c>
    </row>
    <row r="385" spans="2:3" ht="13.5" x14ac:dyDescent="0.3">
      <c r="B385" s="23">
        <v>43581</v>
      </c>
      <c r="C385" s="24">
        <v>63.3</v>
      </c>
    </row>
    <row r="386" spans="2:3" ht="13.5" x14ac:dyDescent="0.3">
      <c r="B386" s="23">
        <v>43588</v>
      </c>
      <c r="C386" s="24">
        <v>61.94</v>
      </c>
    </row>
    <row r="387" spans="2:3" ht="13.5" x14ac:dyDescent="0.3">
      <c r="B387" s="23">
        <v>43595</v>
      </c>
      <c r="C387" s="24">
        <v>61.66</v>
      </c>
    </row>
    <row r="388" spans="2:3" ht="13.5" x14ac:dyDescent="0.3">
      <c r="B388" s="23">
        <v>43602</v>
      </c>
      <c r="C388" s="24">
        <v>62.76</v>
      </c>
    </row>
    <row r="389" spans="2:3" ht="13.5" x14ac:dyDescent="0.3">
      <c r="B389" s="23">
        <v>43609</v>
      </c>
      <c r="C389" s="24">
        <v>58.63</v>
      </c>
    </row>
    <row r="390" spans="2:3" ht="13.5" x14ac:dyDescent="0.3">
      <c r="B390" s="23">
        <v>43616</v>
      </c>
      <c r="C390" s="24">
        <v>53.5</v>
      </c>
    </row>
    <row r="391" spans="2:3" ht="13.5" x14ac:dyDescent="0.3">
      <c r="B391" s="23">
        <v>43623</v>
      </c>
      <c r="C391" s="24">
        <v>53.99</v>
      </c>
    </row>
    <row r="392" spans="2:3" ht="13.5" x14ac:dyDescent="0.3">
      <c r="B392" s="23">
        <v>43630</v>
      </c>
      <c r="C392" s="24">
        <v>52.51</v>
      </c>
    </row>
    <row r="393" spans="2:3" ht="13.5" x14ac:dyDescent="0.3">
      <c r="B393" s="23">
        <v>43637</v>
      </c>
      <c r="C393" s="24">
        <v>57.43</v>
      </c>
    </row>
    <row r="394" spans="2:3" ht="13.5" x14ac:dyDescent="0.3">
      <c r="B394" s="23">
        <v>43644</v>
      </c>
      <c r="C394" s="24">
        <v>58.47</v>
      </c>
    </row>
    <row r="395" spans="2:3" ht="13.5" x14ac:dyDescent="0.3">
      <c r="B395" s="23">
        <v>43651</v>
      </c>
      <c r="C395" s="24">
        <v>57.51</v>
      </c>
    </row>
    <row r="396" spans="2:3" ht="13.5" x14ac:dyDescent="0.3">
      <c r="B396" s="23">
        <v>43658</v>
      </c>
      <c r="C396" s="24">
        <v>60.21</v>
      </c>
    </row>
    <row r="397" spans="2:3" ht="13.5" x14ac:dyDescent="0.3">
      <c r="B397" s="23">
        <v>43665</v>
      </c>
      <c r="C397" s="24">
        <v>55.63</v>
      </c>
    </row>
    <row r="398" spans="2:3" ht="13.5" x14ac:dyDescent="0.3">
      <c r="B398" s="23">
        <v>43672</v>
      </c>
      <c r="C398" s="24">
        <v>56.2</v>
      </c>
    </row>
    <row r="399" spans="2:3" ht="13.5" x14ac:dyDescent="0.3">
      <c r="B399" s="23">
        <v>43679</v>
      </c>
      <c r="C399" s="24">
        <v>55.66</v>
      </c>
    </row>
    <row r="400" spans="2:3" ht="13.5" x14ac:dyDescent="0.3">
      <c r="B400" s="23">
        <v>43686</v>
      </c>
      <c r="C400" s="24">
        <v>54.5</v>
      </c>
    </row>
    <row r="401" spans="2:3" ht="13.5" x14ac:dyDescent="0.3">
      <c r="B401" s="23">
        <v>43693</v>
      </c>
      <c r="C401" s="24">
        <v>54.87</v>
      </c>
    </row>
    <row r="402" spans="2:3" ht="13.5" x14ac:dyDescent="0.3">
      <c r="B402" s="23">
        <v>43700</v>
      </c>
      <c r="C402" s="24">
        <v>54.17</v>
      </c>
    </row>
    <row r="403" spans="2:3" ht="13.5" x14ac:dyDescent="0.3">
      <c r="B403" s="23">
        <v>43707</v>
      </c>
      <c r="C403" s="24">
        <v>55.1</v>
      </c>
    </row>
    <row r="404" spans="2:3" ht="13.5" x14ac:dyDescent="0.3">
      <c r="B404" s="23">
        <v>43714</v>
      </c>
      <c r="C404" s="24">
        <v>56.52</v>
      </c>
    </row>
    <row r="405" spans="2:3" ht="13.5" x14ac:dyDescent="0.3">
      <c r="B405" s="23">
        <v>43721</v>
      </c>
      <c r="C405" s="24">
        <v>54.85</v>
      </c>
    </row>
    <row r="406" spans="2:3" ht="13.5" x14ac:dyDescent="0.3">
      <c r="B406" s="23">
        <v>43728</v>
      </c>
      <c r="C406" s="24">
        <v>58.09</v>
      </c>
    </row>
    <row r="407" spans="2:3" ht="13.5" x14ac:dyDescent="0.3">
      <c r="B407" s="23">
        <v>43735</v>
      </c>
      <c r="C407" s="24">
        <v>55.91</v>
      </c>
    </row>
    <row r="408" spans="2:3" ht="13.5" x14ac:dyDescent="0.3">
      <c r="B408" s="23">
        <v>43742</v>
      </c>
      <c r="C408" s="24">
        <v>52.81</v>
      </c>
    </row>
    <row r="409" spans="2:3" ht="13.5" x14ac:dyDescent="0.3">
      <c r="B409" s="23">
        <v>43749</v>
      </c>
      <c r="C409" s="24">
        <v>54.7</v>
      </c>
    </row>
    <row r="410" spans="2:3" ht="13.5" x14ac:dyDescent="0.3">
      <c r="B410" s="23">
        <v>43756</v>
      </c>
      <c r="C410" s="24">
        <v>53.78</v>
      </c>
    </row>
    <row r="411" spans="2:3" ht="13.5" x14ac:dyDescent="0.3">
      <c r="B411" s="23">
        <v>43763</v>
      </c>
      <c r="C411" s="24">
        <v>56.66</v>
      </c>
    </row>
    <row r="412" spans="2:3" ht="13.5" x14ac:dyDescent="0.3">
      <c r="B412" s="23">
        <v>43770</v>
      </c>
      <c r="C412" s="24">
        <v>56.2</v>
      </c>
    </row>
    <row r="413" spans="2:3" ht="13.5" x14ac:dyDescent="0.3">
      <c r="B413" s="23">
        <v>43777</v>
      </c>
      <c r="C413" s="24">
        <v>57.24</v>
      </c>
    </row>
    <row r="414" spans="2:3" ht="13.5" x14ac:dyDescent="0.3">
      <c r="B414" s="23">
        <v>43784</v>
      </c>
      <c r="C414" s="24">
        <v>57.72</v>
      </c>
    </row>
    <row r="415" spans="2:3" ht="13.5" x14ac:dyDescent="0.3">
      <c r="B415" s="23">
        <v>43791</v>
      </c>
      <c r="C415" s="24">
        <v>57.77</v>
      </c>
    </row>
    <row r="416" spans="2:3" ht="13.5" x14ac:dyDescent="0.3">
      <c r="B416" s="23">
        <v>43798</v>
      </c>
      <c r="C416" s="24">
        <v>55.17</v>
      </c>
    </row>
    <row r="417" spans="2:3" ht="13.5" x14ac:dyDescent="0.3">
      <c r="B417" s="23">
        <v>43805</v>
      </c>
      <c r="C417" s="24">
        <v>59.2</v>
      </c>
    </row>
    <row r="418" spans="2:3" ht="13.5" x14ac:dyDescent="0.3">
      <c r="B418" s="23">
        <v>43812</v>
      </c>
      <c r="C418" s="24">
        <v>60.07</v>
      </c>
    </row>
    <row r="419" spans="2:3" ht="13.5" x14ac:dyDescent="0.3">
      <c r="B419" s="23">
        <v>43819</v>
      </c>
      <c r="C419" s="24">
        <v>60.44</v>
      </c>
    </row>
    <row r="420" spans="2:3" ht="13.5" x14ac:dyDescent="0.3">
      <c r="B420" s="23">
        <v>43826</v>
      </c>
      <c r="C420" s="24">
        <v>61.72</v>
      </c>
    </row>
    <row r="421" spans="2:3" ht="13.5" x14ac:dyDescent="0.3">
      <c r="B421" s="23">
        <v>43830</v>
      </c>
      <c r="C421" s="24">
        <v>61.06</v>
      </c>
    </row>
    <row r="422" spans="2:3" ht="13.5" x14ac:dyDescent="0.3">
      <c r="B422" s="23">
        <v>43833</v>
      </c>
      <c r="C422" s="24">
        <v>63.05</v>
      </c>
    </row>
    <row r="423" spans="2:3" ht="13.5" x14ac:dyDescent="0.3">
      <c r="B423" s="23">
        <v>43840</v>
      </c>
      <c r="C423" s="24">
        <v>59.04</v>
      </c>
    </row>
    <row r="424" spans="2:3" ht="13.5" x14ac:dyDescent="0.3">
      <c r="B424" s="23">
        <v>43847</v>
      </c>
      <c r="C424" s="24">
        <v>58.54</v>
      </c>
    </row>
    <row r="425" spans="2:3" ht="13.5" x14ac:dyDescent="0.3">
      <c r="B425" s="23">
        <v>43854</v>
      </c>
      <c r="C425" s="24">
        <v>54.19</v>
      </c>
    </row>
    <row r="426" spans="2:3" ht="13.5" x14ac:dyDescent="0.3">
      <c r="B426" s="23">
        <v>43861</v>
      </c>
      <c r="C426" s="24">
        <v>51.56</v>
      </c>
    </row>
    <row r="427" spans="2:3" ht="13.5" x14ac:dyDescent="0.3">
      <c r="B427" s="23">
        <v>43868</v>
      </c>
      <c r="C427" s="24">
        <v>50.32</v>
      </c>
    </row>
    <row r="428" spans="2:3" ht="13.5" x14ac:dyDescent="0.3">
      <c r="B428" s="23">
        <v>43875</v>
      </c>
      <c r="C428" s="24">
        <v>52.05</v>
      </c>
    </row>
    <row r="429" spans="2:3" ht="13.5" x14ac:dyDescent="0.3">
      <c r="B429" s="23">
        <v>43882</v>
      </c>
      <c r="C429" s="24">
        <v>53.46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JULIA production</vt:lpstr>
      <vt:lpstr>Oil Prices</vt:lpstr>
      <vt:lpstr>OPEX</vt:lpstr>
      <vt:lpstr>ProdRATE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pbp9152a.pdf</dc:title>
  <dc:creator>Oracle Reports</dc:creator>
  <cp:lastModifiedBy>Achanta, Vamsee S</cp:lastModifiedBy>
  <dcterms:created xsi:type="dcterms:W3CDTF">2019-11-14T21:10:40Z</dcterms:created>
  <dcterms:modified xsi:type="dcterms:W3CDTF">2020-04-04T04:43:26Z</dcterms:modified>
</cp:coreProperties>
</file>