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ll\OneDrive\FDAS\Mktg\Chevron\cvx\"/>
    </mc:Choice>
  </mc:AlternateContent>
  <xr:revisionPtr revIDLastSave="1667" documentId="8_{74D511DF-41E7-46B2-9DB2-EA714CDAE58D}" xr6:coauthVersionLast="45" xr6:coauthVersionMax="45" xr10:uidLastSave="{B96D950F-9A16-43E8-B4D3-3C85F43B62A3}"/>
  <bookViews>
    <workbookView xWindow="30" yWindow="60" windowWidth="20385" windowHeight="14640" activeTab="1" xr2:uid="{00000000-000D-0000-FFFF-FFFF00000000}"/>
  </bookViews>
  <sheets>
    <sheet name="Table 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68" i="2" l="1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C68" i="2" s="1"/>
  <c r="DD68" i="2" s="1"/>
  <c r="DE68" i="2" s="1"/>
  <c r="DF68" i="2" s="1"/>
  <c r="DG68" i="2" s="1"/>
  <c r="BC68" i="2"/>
  <c r="V68" i="2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U68" i="2"/>
  <c r="BD67" i="2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BC67" i="2"/>
  <c r="V67" i="2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U67" i="2"/>
  <c r="BC78" i="2"/>
  <c r="T68" i="2" l="1"/>
  <c r="T67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DK68" i="2"/>
  <c r="DJ68" i="2"/>
  <c r="DI68" i="2"/>
  <c r="DH68" i="2"/>
  <c r="BD69" i="2" l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P16" i="2"/>
  <c r="DP17" i="2" s="1"/>
  <c r="DP9" i="2"/>
  <c r="DP8" i="2"/>
  <c r="BE21" i="2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BD21" i="2"/>
  <c r="BC21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DL63" i="2" l="1"/>
  <c r="DL60" i="2"/>
  <c r="DL59" i="2"/>
  <c r="DL58" i="2"/>
  <c r="DL57" i="2"/>
  <c r="DL56" i="2"/>
  <c r="DL55" i="2"/>
  <c r="DL54" i="2"/>
  <c r="DL53" i="2"/>
  <c r="DL52" i="2"/>
  <c r="DL51" i="2"/>
  <c r="DL50" i="2"/>
  <c r="DL49" i="2"/>
  <c r="DL48" i="2"/>
  <c r="DL47" i="2"/>
  <c r="DL46" i="2"/>
  <c r="BC46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D46" i="2"/>
  <c r="BE46" i="2"/>
  <c r="BI29" i="3" l="1"/>
  <c r="BH29" i="3"/>
  <c r="BG29" i="3"/>
  <c r="BF29" i="3"/>
  <c r="BE29" i="3"/>
  <c r="BD29" i="3"/>
  <c r="BC29" i="3"/>
  <c r="BB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O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H27" i="3"/>
  <c r="G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F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L24" i="3"/>
  <c r="AK24" i="3"/>
  <c r="AJ24" i="3"/>
  <c r="AI24" i="3"/>
  <c r="AH24" i="3"/>
  <c r="AG24" i="3"/>
  <c r="AF24" i="3"/>
  <c r="AE24" i="3"/>
  <c r="F24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B18" i="3"/>
  <c r="P18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F19" i="2"/>
  <c r="DE19" i="2"/>
  <c r="DD19" i="2"/>
  <c r="DC19" i="2"/>
  <c r="DB19" i="2"/>
  <c r="DA19" i="2"/>
  <c r="CZ19" i="2"/>
  <c r="DF18" i="2"/>
  <c r="DE18" i="2"/>
  <c r="DD18" i="2"/>
  <c r="DC18" i="2"/>
  <c r="DB18" i="2"/>
  <c r="DA18" i="2"/>
  <c r="CZ18" i="2"/>
  <c r="DF17" i="2"/>
  <c r="DE17" i="2"/>
  <c r="DD17" i="2"/>
  <c r="DC17" i="2"/>
  <c r="DB17" i="2"/>
  <c r="DA17" i="2"/>
  <c r="CZ17" i="2"/>
  <c r="DF16" i="2"/>
  <c r="DE16" i="2"/>
  <c r="DD16" i="2"/>
  <c r="DC16" i="2"/>
  <c r="DB16" i="2"/>
  <c r="DA16" i="2"/>
  <c r="CZ16" i="2"/>
  <c r="DF15" i="2"/>
  <c r="DE15" i="2"/>
  <c r="DD15" i="2"/>
  <c r="DC15" i="2"/>
  <c r="DB15" i="2"/>
  <c r="DA15" i="2"/>
  <c r="CZ15" i="2"/>
  <c r="DG13" i="2"/>
  <c r="DF13" i="2"/>
  <c r="DE13" i="2"/>
  <c r="DD13" i="2"/>
  <c r="DC13" i="2"/>
  <c r="DB13" i="2"/>
  <c r="DA13" i="2"/>
  <c r="CZ13" i="2"/>
  <c r="DG12" i="2"/>
  <c r="DF12" i="2"/>
  <c r="DE12" i="2"/>
  <c r="DD12" i="2"/>
  <c r="DC12" i="2"/>
  <c r="DB12" i="2"/>
  <c r="DA12" i="2"/>
  <c r="CZ12" i="2"/>
  <c r="DG11" i="2"/>
  <c r="DF11" i="2"/>
  <c r="DE11" i="2"/>
  <c r="DD11" i="2"/>
  <c r="DC11" i="2"/>
  <c r="DB11" i="2"/>
  <c r="DA11" i="2"/>
  <c r="CZ11" i="2"/>
  <c r="DG10" i="2"/>
  <c r="DF10" i="2"/>
  <c r="DE10" i="2"/>
  <c r="DD10" i="2"/>
  <c r="DC10" i="2"/>
  <c r="DB10" i="2"/>
  <c r="DA10" i="2"/>
  <c r="CZ10" i="2"/>
  <c r="DG9" i="2"/>
  <c r="DF9" i="2"/>
  <c r="DE9" i="2"/>
  <c r="DD9" i="2"/>
  <c r="DC9" i="2"/>
  <c r="DB9" i="2"/>
  <c r="DA9" i="2"/>
  <c r="CZ9" i="2"/>
  <c r="DG8" i="2"/>
  <c r="DF8" i="2"/>
  <c r="DE8" i="2"/>
  <c r="DD8" i="2"/>
  <c r="DC8" i="2"/>
  <c r="DB8" i="2"/>
  <c r="DA8" i="2"/>
  <c r="CZ8" i="2"/>
  <c r="DG7" i="2"/>
  <c r="DF7" i="2"/>
  <c r="DE7" i="2"/>
  <c r="DD7" i="2"/>
  <c r="DC7" i="2"/>
  <c r="DB7" i="2"/>
  <c r="DA7" i="2"/>
  <c r="CZ7" i="2"/>
  <c r="DG6" i="2"/>
  <c r="DF6" i="2"/>
  <c r="DE6" i="2"/>
  <c r="DD6" i="2"/>
  <c r="DC6" i="2"/>
  <c r="DB6" i="2"/>
  <c r="DA6" i="2"/>
  <c r="CZ6" i="2"/>
  <c r="DG5" i="2"/>
  <c r="DF5" i="2"/>
  <c r="DE5" i="2"/>
  <c r="DD5" i="2"/>
  <c r="DC5" i="2"/>
  <c r="DB5" i="2"/>
  <c r="DA5" i="2"/>
  <c r="CZ5" i="2"/>
  <c r="CY19" i="2"/>
  <c r="CY18" i="2"/>
  <c r="CX18" i="2"/>
  <c r="CW18" i="2"/>
  <c r="CV18" i="2"/>
  <c r="CU18" i="2"/>
  <c r="CT18" i="2"/>
  <c r="CS18" i="2"/>
  <c r="CR18" i="2"/>
  <c r="CQ18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Y13" i="2"/>
  <c r="CX13" i="2"/>
  <c r="CW13" i="2"/>
  <c r="CV13" i="2"/>
  <c r="CU13" i="2"/>
  <c r="CT13" i="2"/>
  <c r="CS13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Y9" i="2"/>
  <c r="CX9" i="2"/>
  <c r="CW9" i="2"/>
  <c r="CV9" i="2"/>
  <c r="CU9" i="2"/>
  <c r="CT9" i="2"/>
  <c r="CS9" i="2"/>
  <c r="CR9" i="2"/>
  <c r="CQ9" i="2"/>
  <c r="CP9" i="2"/>
  <c r="CO9" i="2"/>
  <c r="CN9" i="2"/>
  <c r="CY8" i="2"/>
  <c r="CX8" i="2"/>
  <c r="CW8" i="2"/>
  <c r="CV8" i="2"/>
  <c r="CU8" i="2"/>
  <c r="CT8" i="2"/>
  <c r="CS8" i="2"/>
  <c r="CR8" i="2"/>
  <c r="CQ8" i="2"/>
  <c r="CP8" i="2"/>
  <c r="CO8" i="2"/>
  <c r="CN8" i="2"/>
  <c r="CY7" i="2"/>
  <c r="CX7" i="2"/>
  <c r="CW7" i="2"/>
  <c r="CV7" i="2"/>
  <c r="CU7" i="2"/>
  <c r="CT7" i="2"/>
  <c r="CS7" i="2"/>
  <c r="CR7" i="2"/>
  <c r="CQ7" i="2"/>
  <c r="CP7" i="2"/>
  <c r="CO7" i="2"/>
  <c r="CN7" i="2"/>
  <c r="CY6" i="2"/>
  <c r="CX6" i="2"/>
  <c r="CW6" i="2"/>
  <c r="CV6" i="2"/>
  <c r="CU6" i="2"/>
  <c r="CT6" i="2"/>
  <c r="CS6" i="2"/>
  <c r="CR6" i="2"/>
  <c r="CQ6" i="2"/>
  <c r="CP6" i="2"/>
  <c r="CO6" i="2"/>
  <c r="CN6" i="2"/>
  <c r="CY5" i="2"/>
  <c r="CX5" i="2"/>
  <c r="CW5" i="2"/>
  <c r="CV5" i="2"/>
  <c r="CU5" i="2"/>
  <c r="CT5" i="2"/>
  <c r="CS5" i="2"/>
  <c r="CR5" i="2"/>
  <c r="CQ5" i="2"/>
  <c r="CP5" i="2"/>
  <c r="CO5" i="2"/>
  <c r="CN5" i="2"/>
  <c r="CL18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I14" i="2"/>
  <c r="CH14" i="2"/>
  <c r="CG14" i="2"/>
  <c r="CF14" i="2"/>
  <c r="CE14" i="2"/>
  <c r="CD14" i="2"/>
  <c r="CC14" i="2"/>
  <c r="CB14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M9" i="2"/>
  <c r="CL9" i="2"/>
  <c r="CK9" i="2"/>
  <c r="CJ9" i="2"/>
  <c r="CI9" i="2"/>
  <c r="CH9" i="2"/>
  <c r="CG9" i="2"/>
  <c r="CF9" i="2"/>
  <c r="CE9" i="2"/>
  <c r="CD9" i="2"/>
  <c r="CC9" i="2"/>
  <c r="CB9" i="2"/>
  <c r="CM8" i="2"/>
  <c r="CL8" i="2"/>
  <c r="CK8" i="2"/>
  <c r="CJ8" i="2"/>
  <c r="CI8" i="2"/>
  <c r="CH8" i="2"/>
  <c r="CG8" i="2"/>
  <c r="CF8" i="2"/>
  <c r="CM7" i="2"/>
  <c r="CL7" i="2"/>
  <c r="CK7" i="2"/>
  <c r="CJ7" i="2"/>
  <c r="CI7" i="2"/>
  <c r="CH7" i="2"/>
  <c r="CG7" i="2"/>
  <c r="CF7" i="2"/>
  <c r="CE7" i="2"/>
  <c r="CD7" i="2"/>
  <c r="CC7" i="2"/>
  <c r="CB7" i="2"/>
  <c r="CM6" i="2"/>
  <c r="CL6" i="2"/>
  <c r="CK6" i="2"/>
  <c r="CJ6" i="2"/>
  <c r="CI6" i="2"/>
  <c r="CH6" i="2"/>
  <c r="CG6" i="2"/>
  <c r="CF6" i="2"/>
  <c r="CE6" i="2"/>
  <c r="CD6" i="2"/>
  <c r="CC6" i="2"/>
  <c r="CB6" i="2"/>
  <c r="CM5" i="2"/>
  <c r="CL5" i="2"/>
  <c r="CK5" i="2"/>
  <c r="CJ5" i="2"/>
  <c r="CI5" i="2"/>
  <c r="CH5" i="2"/>
  <c r="CG5" i="2"/>
  <c r="CF5" i="2"/>
  <c r="CE5" i="2"/>
  <c r="CD5" i="2"/>
  <c r="CC5" i="2"/>
  <c r="CB5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CA12" i="2"/>
  <c r="BZ12" i="2"/>
  <c r="BY12" i="2"/>
  <c r="BX12" i="2"/>
  <c r="BW12" i="2"/>
  <c r="CA10" i="2"/>
  <c r="BZ10" i="2"/>
  <c r="BY10" i="2"/>
  <c r="BX10" i="2"/>
  <c r="BW10" i="2"/>
  <c r="BV10" i="2"/>
  <c r="BU10" i="2"/>
  <c r="BT10" i="2"/>
  <c r="BS10" i="2"/>
  <c r="CA9" i="2"/>
  <c r="BZ9" i="2"/>
  <c r="BY9" i="2"/>
  <c r="BX9" i="2"/>
  <c r="BW9" i="2"/>
  <c r="BV9" i="2"/>
  <c r="BU9" i="2"/>
  <c r="BT9" i="2"/>
  <c r="BS9" i="2"/>
  <c r="BR9" i="2"/>
  <c r="BQ9" i="2"/>
  <c r="BP9" i="2"/>
  <c r="BY8" i="2"/>
  <c r="CA7" i="2"/>
  <c r="BZ7" i="2"/>
  <c r="BY7" i="2"/>
  <c r="BX7" i="2"/>
  <c r="BW7" i="2"/>
  <c r="BV7" i="2"/>
  <c r="BU7" i="2"/>
  <c r="BT7" i="2"/>
  <c r="BS7" i="2"/>
  <c r="BR7" i="2"/>
  <c r="BQ7" i="2"/>
  <c r="BP7" i="2"/>
  <c r="CA6" i="2"/>
  <c r="BZ6" i="2"/>
  <c r="BY6" i="2"/>
  <c r="BX6" i="2"/>
  <c r="BW6" i="2"/>
  <c r="BV6" i="2"/>
  <c r="BU6" i="2"/>
  <c r="CA5" i="2"/>
  <c r="BZ5" i="2"/>
  <c r="BY5" i="2"/>
  <c r="BX5" i="2"/>
  <c r="BW5" i="2"/>
  <c r="BV5" i="2"/>
  <c r="BU5" i="2"/>
  <c r="BT5" i="2"/>
  <c r="BS5" i="2"/>
  <c r="BR5" i="2"/>
  <c r="BQ5" i="2"/>
  <c r="BP5" i="2"/>
  <c r="BO17" i="2"/>
  <c r="BN17" i="2"/>
  <c r="BM17" i="2"/>
  <c r="BL17" i="2"/>
  <c r="BK17" i="2"/>
  <c r="BJ17" i="2"/>
  <c r="BI17" i="2"/>
  <c r="BH17" i="2"/>
  <c r="BG17" i="2"/>
  <c r="BE17" i="2"/>
  <c r="BD17" i="2"/>
  <c r="BO16" i="2"/>
  <c r="BN16" i="2"/>
  <c r="BM16" i="2"/>
  <c r="BL16" i="2"/>
  <c r="BK16" i="2"/>
  <c r="BJ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O9" i="2"/>
  <c r="BN9" i="2"/>
  <c r="BM9" i="2"/>
  <c r="BL9" i="2"/>
  <c r="BK9" i="2"/>
  <c r="BJ9" i="2"/>
  <c r="BI9" i="2"/>
  <c r="BH9" i="2"/>
  <c r="BG9" i="2"/>
  <c r="BF9" i="2"/>
  <c r="BE9" i="2"/>
  <c r="BD9" i="2"/>
  <c r="BM8" i="2"/>
  <c r="BO7" i="2"/>
  <c r="BN7" i="2"/>
  <c r="BM7" i="2"/>
  <c r="BL7" i="2"/>
  <c r="BK7" i="2"/>
  <c r="BJ7" i="2"/>
  <c r="BI7" i="2"/>
  <c r="BH7" i="2"/>
  <c r="BG7" i="2"/>
  <c r="BF7" i="2"/>
  <c r="BE7" i="2"/>
  <c r="BO5" i="2"/>
  <c r="BN5" i="2"/>
  <c r="BM5" i="2"/>
  <c r="BL5" i="2"/>
  <c r="BK5" i="2"/>
  <c r="BJ5" i="2"/>
  <c r="BI5" i="2"/>
  <c r="BH5" i="2"/>
  <c r="BG5" i="2"/>
  <c r="BF5" i="2"/>
  <c r="BE5" i="2"/>
  <c r="BD5" i="2"/>
  <c r="BC16" i="2"/>
  <c r="BC14" i="2"/>
  <c r="BC9" i="2"/>
  <c r="C112" i="2"/>
  <c r="J111" i="2"/>
  <c r="I111" i="2"/>
  <c r="H111" i="2"/>
  <c r="G111" i="2"/>
  <c r="F111" i="2"/>
  <c r="F110" i="2"/>
  <c r="E111" i="2"/>
  <c r="D111" i="2"/>
  <c r="C111" i="2"/>
  <c r="N92" i="2"/>
  <c r="M92" i="2"/>
  <c r="L92" i="2"/>
  <c r="K92" i="2"/>
  <c r="J92" i="2"/>
  <c r="I92" i="2"/>
  <c r="H92" i="2"/>
  <c r="N84" i="2"/>
  <c r="M84" i="2"/>
  <c r="L84" i="2"/>
  <c r="K84" i="2"/>
  <c r="J84" i="2"/>
  <c r="I84" i="2"/>
  <c r="H84" i="2"/>
  <c r="G84" i="2"/>
  <c r="F84" i="2"/>
  <c r="E84" i="2"/>
  <c r="D84" i="2"/>
  <c r="C84" i="2"/>
  <c r="N91" i="2"/>
  <c r="M91" i="2"/>
  <c r="L91" i="2"/>
  <c r="K91" i="2"/>
  <c r="J91" i="2"/>
  <c r="I91" i="2"/>
  <c r="H91" i="2"/>
  <c r="G91" i="2"/>
  <c r="F91" i="2"/>
  <c r="E91" i="2"/>
  <c r="D91" i="2"/>
  <c r="C91" i="2"/>
  <c r="N64" i="2"/>
  <c r="M64" i="2"/>
  <c r="L64" i="2"/>
  <c r="K64" i="2"/>
  <c r="J64" i="2"/>
  <c r="I64" i="2"/>
  <c r="H64" i="2"/>
  <c r="G64" i="2"/>
  <c r="F64" i="2"/>
  <c r="E64" i="2"/>
  <c r="D64" i="2"/>
  <c r="C64" i="2"/>
  <c r="N71" i="2"/>
  <c r="M71" i="2"/>
  <c r="L71" i="2"/>
  <c r="K71" i="2"/>
  <c r="J71" i="2"/>
  <c r="I71" i="2"/>
  <c r="H71" i="2"/>
  <c r="G71" i="2"/>
  <c r="F71" i="2"/>
  <c r="E71" i="2"/>
  <c r="D71" i="2"/>
  <c r="C71" i="2"/>
  <c r="H46" i="2"/>
  <c r="N44" i="2"/>
  <c r="M44" i="2"/>
  <c r="L44" i="2"/>
  <c r="K44" i="2"/>
  <c r="J44" i="2"/>
  <c r="I44" i="2"/>
  <c r="H44" i="2"/>
  <c r="G44" i="2"/>
  <c r="F44" i="2"/>
  <c r="E44" i="2"/>
  <c r="D44" i="2"/>
  <c r="C44" i="2"/>
  <c r="N51" i="2"/>
  <c r="M51" i="2"/>
  <c r="L51" i="2"/>
  <c r="K51" i="2"/>
  <c r="J51" i="2"/>
  <c r="N24" i="2"/>
  <c r="M24" i="2"/>
  <c r="L24" i="2"/>
  <c r="K24" i="2"/>
  <c r="J24" i="2"/>
  <c r="I24" i="2"/>
  <c r="H24" i="2"/>
  <c r="G24" i="2"/>
  <c r="F24" i="2"/>
  <c r="E24" i="2"/>
  <c r="D24" i="2"/>
  <c r="C24" i="2"/>
  <c r="BC58" i="2" l="1"/>
  <c r="BC56" i="2"/>
  <c r="BE48" i="2"/>
  <c r="BE58" i="2"/>
  <c r="BD58" i="2"/>
  <c r="BE57" i="2"/>
  <c r="BD57" i="2"/>
  <c r="BE56" i="2"/>
  <c r="BD56" i="2"/>
  <c r="BE50" i="2"/>
  <c r="BD50" i="2"/>
  <c r="BC50" i="2"/>
  <c r="BY28" i="2"/>
  <c r="BM28" i="2"/>
  <c r="DK14" i="2" l="1"/>
  <c r="DJ14" i="2"/>
  <c r="DI14" i="2"/>
  <c r="DH14" i="2"/>
  <c r="N16" i="2"/>
  <c r="N14" i="2"/>
  <c r="N9" i="2"/>
  <c r="C19" i="2"/>
  <c r="K19" i="2"/>
  <c r="G19" i="2"/>
  <c r="L19" i="2"/>
  <c r="H19" i="2"/>
  <c r="D19" i="2"/>
  <c r="M19" i="2"/>
  <c r="J19" i="2"/>
  <c r="I19" i="2"/>
  <c r="F19" i="2"/>
  <c r="E19" i="2"/>
  <c r="N36" i="2"/>
  <c r="N35" i="2"/>
  <c r="N34" i="2"/>
  <c r="M36" i="2"/>
  <c r="M35" i="2"/>
  <c r="M34" i="2"/>
  <c r="L36" i="2"/>
  <c r="L35" i="2"/>
  <c r="L34" i="2"/>
  <c r="K36" i="2"/>
  <c r="K35" i="2"/>
  <c r="K34" i="2"/>
  <c r="J36" i="2"/>
  <c r="J35" i="2"/>
  <c r="J34" i="2"/>
  <c r="I36" i="2"/>
  <c r="I35" i="2"/>
  <c r="I34" i="2"/>
  <c r="H36" i="2"/>
  <c r="H34" i="2"/>
  <c r="H39" i="2" s="1"/>
  <c r="G36" i="2"/>
  <c r="G34" i="2"/>
  <c r="F36" i="2"/>
  <c r="F34" i="2"/>
  <c r="E34" i="2"/>
  <c r="D36" i="2"/>
  <c r="D39" i="2" s="1"/>
  <c r="D34" i="2"/>
  <c r="C36" i="2"/>
  <c r="C34" i="2"/>
  <c r="C39" i="2" s="1"/>
  <c r="N28" i="2"/>
  <c r="N26" i="2"/>
  <c r="M28" i="2"/>
  <c r="M26" i="2"/>
  <c r="L28" i="2"/>
  <c r="L26" i="2"/>
  <c r="K28" i="2"/>
  <c r="J28" i="2"/>
  <c r="J26" i="2"/>
  <c r="I28" i="2"/>
  <c r="I26" i="2"/>
  <c r="H28" i="2"/>
  <c r="H26" i="2"/>
  <c r="G28" i="2"/>
  <c r="G26" i="2"/>
  <c r="F28" i="2"/>
  <c r="F26" i="2"/>
  <c r="E28" i="2"/>
  <c r="E26" i="2"/>
  <c r="D28" i="2"/>
  <c r="D26" i="2"/>
  <c r="C28" i="2"/>
  <c r="L27" i="2"/>
  <c r="K26" i="2"/>
  <c r="K39" i="2"/>
  <c r="N56" i="2"/>
  <c r="N55" i="2"/>
  <c r="N54" i="2"/>
  <c r="M56" i="2"/>
  <c r="M55" i="2"/>
  <c r="M54" i="2"/>
  <c r="L56" i="2"/>
  <c r="L55" i="2"/>
  <c r="L54" i="2"/>
  <c r="K56" i="2"/>
  <c r="K55" i="2"/>
  <c r="K54" i="2"/>
  <c r="J56" i="2"/>
  <c r="J55" i="2"/>
  <c r="J54" i="2"/>
  <c r="I56" i="2"/>
  <c r="I55" i="2"/>
  <c r="I54" i="2"/>
  <c r="H56" i="2"/>
  <c r="H55" i="2"/>
  <c r="H54" i="2"/>
  <c r="G76" i="2"/>
  <c r="G56" i="2"/>
  <c r="G55" i="2"/>
  <c r="G54" i="2"/>
  <c r="F56" i="2"/>
  <c r="F55" i="2"/>
  <c r="F54" i="2"/>
  <c r="F59" i="2" s="1"/>
  <c r="F74" i="2"/>
  <c r="E56" i="2"/>
  <c r="E55" i="2"/>
  <c r="E54" i="2"/>
  <c r="D56" i="2"/>
  <c r="D55" i="2"/>
  <c r="D54" i="2"/>
  <c r="C56" i="2"/>
  <c r="C55" i="2"/>
  <c r="C54" i="2"/>
  <c r="N49" i="2"/>
  <c r="N48" i="2"/>
  <c r="N45" i="2"/>
  <c r="N46" i="2"/>
  <c r="M49" i="2"/>
  <c r="M48" i="2"/>
  <c r="M46" i="2"/>
  <c r="M45" i="2"/>
  <c r="L49" i="2"/>
  <c r="L48" i="2"/>
  <c r="L47" i="2"/>
  <c r="L59" i="2" s="1"/>
  <c r="L46" i="2"/>
  <c r="L45" i="2"/>
  <c r="H49" i="2"/>
  <c r="K49" i="2"/>
  <c r="J48" i="2"/>
  <c r="K48" i="2"/>
  <c r="K46" i="2"/>
  <c r="J49" i="2"/>
  <c r="K45" i="2"/>
  <c r="J46" i="2"/>
  <c r="J45" i="2"/>
  <c r="I49" i="2"/>
  <c r="I48" i="2"/>
  <c r="I46" i="2"/>
  <c r="I45" i="2"/>
  <c r="H48" i="2"/>
  <c r="H45" i="2"/>
  <c r="G49" i="2"/>
  <c r="G48" i="2"/>
  <c r="G46" i="2"/>
  <c r="F48" i="2"/>
  <c r="F49" i="2"/>
  <c r="F46" i="2"/>
  <c r="E48" i="2"/>
  <c r="E46" i="2"/>
  <c r="D48" i="2"/>
  <c r="D46" i="2"/>
  <c r="C48" i="2"/>
  <c r="C46" i="2"/>
  <c r="I59" i="2"/>
  <c r="M77" i="2"/>
  <c r="M76" i="2"/>
  <c r="M75" i="2"/>
  <c r="M74" i="2"/>
  <c r="N76" i="2"/>
  <c r="N75" i="2"/>
  <c r="N74" i="2"/>
  <c r="L76" i="2"/>
  <c r="L75" i="2"/>
  <c r="L74" i="2"/>
  <c r="K74" i="2"/>
  <c r="K75" i="2"/>
  <c r="K76" i="2"/>
  <c r="J76" i="2"/>
  <c r="J75" i="2"/>
  <c r="J74" i="2"/>
  <c r="J73" i="2"/>
  <c r="I76" i="2"/>
  <c r="I75" i="2"/>
  <c r="I74" i="2"/>
  <c r="I73" i="2"/>
  <c r="H76" i="2"/>
  <c r="H75" i="2"/>
  <c r="H74" i="2"/>
  <c r="H73" i="2"/>
  <c r="G75" i="2"/>
  <c r="G74" i="2"/>
  <c r="G73" i="2"/>
  <c r="F76" i="2"/>
  <c r="F75" i="2"/>
  <c r="F73" i="2"/>
  <c r="E76" i="2"/>
  <c r="E75" i="2"/>
  <c r="E74" i="2"/>
  <c r="E73" i="2"/>
  <c r="D76" i="2"/>
  <c r="D75" i="2"/>
  <c r="D74" i="2"/>
  <c r="D73" i="2"/>
  <c r="C76" i="2"/>
  <c r="C75" i="2"/>
  <c r="C74" i="2"/>
  <c r="C73" i="2"/>
  <c r="N69" i="2"/>
  <c r="N68" i="2"/>
  <c r="N67" i="2"/>
  <c r="N66" i="2"/>
  <c r="N65" i="2"/>
  <c r="M69" i="2"/>
  <c r="M68" i="2"/>
  <c r="M67" i="2"/>
  <c r="M66" i="2"/>
  <c r="M65" i="2"/>
  <c r="L69" i="2"/>
  <c r="L68" i="2"/>
  <c r="L67" i="2"/>
  <c r="L66" i="2"/>
  <c r="L65" i="2"/>
  <c r="K69" i="2"/>
  <c r="K68" i="2"/>
  <c r="K67" i="2"/>
  <c r="K66" i="2"/>
  <c r="K65" i="2"/>
  <c r="J69" i="2"/>
  <c r="J68" i="2"/>
  <c r="J67" i="2"/>
  <c r="J66" i="2"/>
  <c r="J65" i="2"/>
  <c r="I69" i="2"/>
  <c r="I68" i="2"/>
  <c r="I67" i="2"/>
  <c r="I66" i="2"/>
  <c r="I65" i="2"/>
  <c r="H69" i="2"/>
  <c r="H68" i="2"/>
  <c r="H67" i="2"/>
  <c r="H66" i="2"/>
  <c r="H65" i="2"/>
  <c r="G69" i="2"/>
  <c r="G68" i="2"/>
  <c r="G67" i="2"/>
  <c r="G66" i="2"/>
  <c r="G65" i="2"/>
  <c r="F69" i="2"/>
  <c r="F68" i="2"/>
  <c r="F66" i="2"/>
  <c r="F65" i="2"/>
  <c r="E69" i="2"/>
  <c r="E68" i="2"/>
  <c r="E66" i="2"/>
  <c r="E65" i="2"/>
  <c r="D69" i="2"/>
  <c r="D68" i="2"/>
  <c r="D66" i="2"/>
  <c r="D65" i="2"/>
  <c r="C68" i="2"/>
  <c r="C69" i="2"/>
  <c r="C66" i="2"/>
  <c r="C65" i="2"/>
  <c r="E79" i="2"/>
  <c r="C85" i="2"/>
  <c r="C99" i="2" s="1"/>
  <c r="D85" i="2"/>
  <c r="E85" i="2"/>
  <c r="F85" i="2"/>
  <c r="F99" i="2" s="1"/>
  <c r="G85" i="2"/>
  <c r="G99" i="2" s="1"/>
  <c r="H85" i="2"/>
  <c r="I85" i="2"/>
  <c r="J85" i="2"/>
  <c r="K85" i="2"/>
  <c r="K99" i="2" s="1"/>
  <c r="L85" i="2"/>
  <c r="M85" i="2"/>
  <c r="N85" i="2"/>
  <c r="N99" i="2" s="1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F97" i="2"/>
  <c r="G97" i="2"/>
  <c r="H97" i="2"/>
  <c r="I97" i="2"/>
  <c r="J97" i="2"/>
  <c r="K97" i="2"/>
  <c r="L97" i="2"/>
  <c r="M97" i="2"/>
  <c r="N97" i="2"/>
  <c r="N98" i="2"/>
  <c r="J99" i="2"/>
  <c r="C104" i="2"/>
  <c r="D104" i="2"/>
  <c r="D119" i="2" s="1"/>
  <c r="E104" i="2"/>
  <c r="F104" i="2"/>
  <c r="G104" i="2"/>
  <c r="H104" i="2"/>
  <c r="H119" i="2" s="1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G110" i="2"/>
  <c r="H110" i="2"/>
  <c r="I110" i="2"/>
  <c r="J110" i="2"/>
  <c r="D112" i="2"/>
  <c r="E112" i="2"/>
  <c r="F112" i="2"/>
  <c r="G112" i="2"/>
  <c r="H112" i="2"/>
  <c r="I112" i="2"/>
  <c r="J112" i="2"/>
  <c r="C114" i="2"/>
  <c r="D114" i="2"/>
  <c r="E114" i="2"/>
  <c r="F114" i="2"/>
  <c r="G114" i="2"/>
  <c r="H114" i="2"/>
  <c r="I114" i="2"/>
  <c r="K114" i="2"/>
  <c r="L114" i="2"/>
  <c r="M114" i="2"/>
  <c r="N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N19" i="2" l="1"/>
  <c r="N39" i="2"/>
  <c r="L39" i="2"/>
  <c r="G39" i="2"/>
  <c r="M39" i="2"/>
  <c r="J39" i="2"/>
  <c r="I39" i="2"/>
  <c r="F39" i="2"/>
  <c r="E39" i="2"/>
  <c r="N59" i="2"/>
  <c r="E59" i="2"/>
  <c r="D59" i="2"/>
  <c r="M59" i="2"/>
  <c r="J59" i="2"/>
  <c r="K59" i="2"/>
  <c r="H59" i="2"/>
  <c r="G59" i="2"/>
  <c r="C59" i="2"/>
  <c r="J79" i="2"/>
  <c r="M79" i="2"/>
  <c r="I79" i="2"/>
  <c r="F79" i="2"/>
  <c r="N79" i="2"/>
  <c r="J119" i="2"/>
  <c r="F119" i="2"/>
  <c r="D79" i="2"/>
  <c r="H79" i="2"/>
  <c r="L79" i="2"/>
  <c r="G119" i="2"/>
  <c r="C119" i="2"/>
  <c r="C79" i="2"/>
  <c r="G79" i="2"/>
  <c r="K79" i="2"/>
  <c r="I119" i="2"/>
  <c r="E119" i="2"/>
  <c r="E99" i="2"/>
  <c r="M99" i="2"/>
  <c r="I99" i="2"/>
  <c r="L99" i="2"/>
  <c r="H99" i="2"/>
  <c r="D99" i="2"/>
</calcChain>
</file>

<file path=xl/sharedStrings.xml><?xml version="1.0" encoding="utf-8"?>
<sst xmlns="http://schemas.openxmlformats.org/spreadsheetml/2006/main" count="1161" uniqueCount="96">
  <si>
    <r>
      <rPr>
        <b/>
        <sz val="10"/>
        <rFont val="Courier New"/>
        <family val="3"/>
      </rPr>
      <t>Field: Lease: Operator:</t>
    </r>
  </si>
  <si>
    <r>
      <rPr>
        <sz val="10"/>
        <rFont val="Courier New"/>
        <family val="3"/>
      </rPr>
      <t>WR206 G16970 PETROBRAS</t>
    </r>
  </si>
  <si>
    <r>
      <rPr>
        <sz val="10"/>
        <rFont val="Courier New"/>
        <family val="3"/>
      </rPr>
      <t>AMERICA INC</t>
    </r>
  </si>
  <si>
    <r>
      <rPr>
        <b/>
        <u/>
        <sz val="10"/>
        <rFont val="Courier New"/>
        <family val="3"/>
      </rPr>
      <t>Pro</t>
    </r>
    <r>
      <rPr>
        <b/>
        <sz val="10"/>
        <rFont val="Courier New"/>
        <family val="3"/>
      </rPr>
      <t xml:space="preserve">d </t>
    </r>
  </si>
  <si>
    <r>
      <rPr>
        <b/>
        <u/>
        <sz val="10"/>
        <rFont val="Courier New"/>
        <family val="3"/>
      </rPr>
      <t>Com</t>
    </r>
    <r>
      <rPr>
        <b/>
        <sz val="10"/>
        <rFont val="Courier New"/>
        <family val="3"/>
      </rPr>
      <t xml:space="preserve">p </t>
    </r>
  </si>
  <si>
    <r>
      <rPr>
        <b/>
        <u/>
        <sz val="10"/>
        <rFont val="Courier New"/>
        <family val="3"/>
      </rPr>
      <t>Days</t>
    </r>
  </si>
  <si>
    <r>
      <rPr>
        <b/>
        <u/>
        <sz val="10"/>
        <rFont val="Courier New"/>
        <family val="3"/>
      </rPr>
      <t>Gravity/</t>
    </r>
  </si>
  <si>
    <r>
      <rPr>
        <b/>
        <u/>
        <sz val="10"/>
        <rFont val="Courier New"/>
        <family val="3"/>
      </rPr>
      <t>Gas-Well</t>
    </r>
  </si>
  <si>
    <r>
      <rPr>
        <b/>
        <u/>
        <sz val="10"/>
        <rFont val="Courier New"/>
        <family val="3"/>
      </rPr>
      <t>Casing</t>
    </r>
  </si>
  <si>
    <r>
      <rPr>
        <b/>
        <u/>
        <sz val="10"/>
        <rFont val="Courier New"/>
        <family val="3"/>
      </rPr>
      <t>Wate</t>
    </r>
    <r>
      <rPr>
        <b/>
        <sz val="10"/>
        <rFont val="Courier New"/>
        <family val="3"/>
      </rPr>
      <t xml:space="preserve">r </t>
    </r>
  </si>
  <si>
    <r>
      <rPr>
        <b/>
        <u/>
        <sz val="10"/>
        <rFont val="Courier New"/>
        <family val="3"/>
      </rPr>
      <t>Type</t>
    </r>
  </si>
  <si>
    <r>
      <rPr>
        <b/>
        <u/>
        <sz val="10"/>
        <rFont val="Courier New"/>
        <family val="3"/>
      </rPr>
      <t>Date</t>
    </r>
  </si>
  <si>
    <r>
      <rPr>
        <b/>
        <u/>
        <sz val="10"/>
        <rFont val="Courier New"/>
        <family val="3"/>
      </rPr>
      <t>Name</t>
    </r>
  </si>
  <si>
    <r>
      <rPr>
        <b/>
        <u/>
        <sz val="10"/>
        <rFont val="Courier New"/>
        <family val="3"/>
      </rPr>
      <t>Prod</t>
    </r>
  </si>
  <si>
    <r>
      <rPr>
        <b/>
        <u/>
        <sz val="10"/>
        <rFont val="Courier New"/>
        <family val="3"/>
      </rPr>
      <t>Oi</t>
    </r>
    <r>
      <rPr>
        <b/>
        <sz val="10"/>
        <rFont val="Courier New"/>
        <family val="3"/>
      </rPr>
      <t>l BBLs</t>
    </r>
  </si>
  <si>
    <r>
      <rPr>
        <b/>
        <u/>
        <sz val="10"/>
        <rFont val="Courier New"/>
        <family val="3"/>
      </rPr>
      <t>Con</t>
    </r>
    <r>
      <rPr>
        <b/>
        <sz val="10"/>
        <rFont val="Courier New"/>
        <family val="3"/>
      </rPr>
      <t>d BBLs</t>
    </r>
  </si>
  <si>
    <r>
      <rPr>
        <b/>
        <u/>
        <sz val="10"/>
        <rFont val="Courier New"/>
        <family val="3"/>
      </rPr>
      <t>Injection</t>
    </r>
  </si>
  <si>
    <r>
      <rPr>
        <b/>
        <u/>
        <sz val="10"/>
        <rFont val="Courier New"/>
        <family val="3"/>
      </rPr>
      <t>Gas/MCF</t>
    </r>
  </si>
  <si>
    <r>
      <rPr>
        <b/>
        <u/>
        <sz val="10"/>
        <rFont val="Courier New"/>
        <family val="3"/>
      </rPr>
      <t>BBLs</t>
    </r>
  </si>
  <si>
    <r>
      <rPr>
        <b/>
        <u/>
        <sz val="10"/>
        <rFont val="Courier New"/>
        <family val="3"/>
      </rPr>
      <t>Well</t>
    </r>
  </si>
  <si>
    <r>
      <rPr>
        <sz val="10"/>
        <rFont val="Courier New"/>
        <family val="3"/>
      </rPr>
      <t>U</t>
    </r>
  </si>
  <si>
    <r>
      <rPr>
        <sz val="10"/>
        <rFont val="Courier New"/>
        <family val="3"/>
      </rPr>
      <t>CA003</t>
    </r>
  </si>
  <si>
    <r>
      <rPr>
        <sz val="10"/>
        <rFont val="Courier New"/>
        <family val="3"/>
      </rPr>
      <t>Oil</t>
    </r>
  </si>
  <si>
    <r>
      <rPr>
        <b/>
        <sz val="10"/>
        <rFont val="Courier New"/>
        <family val="3"/>
      </rPr>
      <t>Total for</t>
    </r>
  </si>
  <si>
    <r>
      <rPr>
        <b/>
        <sz val="10"/>
        <rFont val="Courier New"/>
        <family val="3"/>
      </rPr>
      <t>Month:</t>
    </r>
  </si>
  <si>
    <r>
      <rPr>
        <b/>
        <sz val="10"/>
        <color rgb="FFD80000"/>
        <rFont val="Courier New"/>
        <family val="3"/>
      </rPr>
      <t>*  *  *  *</t>
    </r>
  </si>
  <si>
    <r>
      <rPr>
        <b/>
        <sz val="10"/>
        <color rgb="FFD80000"/>
        <rFont val="Courier New"/>
        <family val="3"/>
      </rPr>
      <t>*  *</t>
    </r>
  </si>
  <si>
    <r>
      <rPr>
        <b/>
        <sz val="10"/>
        <color rgb="FFD80000"/>
        <rFont val="Courier New"/>
        <family val="3"/>
      </rPr>
      <t>UNCLASSIFIED</t>
    </r>
  </si>
  <si>
    <r>
      <rPr>
        <b/>
        <sz val="10"/>
        <color rgb="FFD80000"/>
        <rFont val="Courier New"/>
        <family val="3"/>
      </rPr>
      <t>*  *  *</t>
    </r>
  </si>
  <si>
    <r>
      <rPr>
        <b/>
        <sz val="10"/>
        <rFont val="Courier New"/>
        <family val="3"/>
      </rPr>
      <t xml:space="preserve">Field: Lease:
</t>
    </r>
    <r>
      <rPr>
        <b/>
        <sz val="10"/>
        <rFont val="Courier New"/>
        <family val="3"/>
      </rPr>
      <t>Operator:</t>
    </r>
  </si>
  <si>
    <r>
      <rPr>
        <sz val="10"/>
        <rFont val="Courier New"/>
        <family val="3"/>
      </rPr>
      <t xml:space="preserve">WR206 G16970
</t>
    </r>
    <r>
      <rPr>
        <sz val="10"/>
        <rFont val="Courier New"/>
        <family val="3"/>
      </rPr>
      <t>PETROBRAS AMERICA INC</t>
    </r>
  </si>
  <si>
    <r>
      <rPr>
        <b/>
        <sz val="10"/>
        <rFont val="Courier New"/>
        <family val="3"/>
      </rPr>
      <t>Total</t>
    </r>
  </si>
  <si>
    <r>
      <rPr>
        <b/>
        <sz val="10"/>
        <rFont val="Courier New"/>
        <family val="3"/>
      </rPr>
      <t>for</t>
    </r>
  </si>
  <si>
    <r>
      <rPr>
        <sz val="10"/>
        <rFont val="Courier New"/>
        <family val="3"/>
      </rPr>
      <t>CA004</t>
    </r>
  </si>
  <si>
    <r>
      <rPr>
        <b/>
        <sz val="10"/>
        <color rgb="FFD80000"/>
        <rFont val="Courier New"/>
        <family val="3"/>
      </rPr>
      <t>*  *  *  *  *  *        UNCLASSIFIED        *  *  *  *  *  *</t>
    </r>
  </si>
  <si>
    <r>
      <rPr>
        <sz val="10"/>
        <rFont val="Courier New"/>
        <family val="3"/>
      </rPr>
      <t>WR469 G16997 PETROBRAS</t>
    </r>
  </si>
  <si>
    <r>
      <rPr>
        <sz val="10"/>
        <rFont val="Courier New"/>
        <family val="3"/>
      </rPr>
      <t>CH002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</si>
  <si>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</si>
  <si>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</si>
  <si>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</si>
  <si>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</si>
  <si>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</si>
  <si>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</si>
  <si>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</si>
  <si>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</si>
  <si>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</si>
  <si>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</si>
  <si>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</si>
  <si>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</si>
  <si>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</si>
  <si>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Days</t>
  </si>
  <si>
    <t>PN002</t>
  </si>
  <si>
    <t>PS001</t>
  </si>
  <si>
    <t>PS002</t>
  </si>
  <si>
    <t>PS003</t>
  </si>
  <si>
    <t>PS004</t>
  </si>
  <si>
    <t>PS005</t>
  </si>
  <si>
    <t>PS007</t>
  </si>
  <si>
    <t>PN001</t>
  </si>
  <si>
    <t>PS008</t>
  </si>
  <si>
    <t>WR759</t>
  </si>
  <si>
    <t>WR678</t>
  </si>
  <si>
    <t>=</t>
  </si>
  <si>
    <t>PN007</t>
  </si>
  <si>
    <t>WR678 PN001</t>
  </si>
  <si>
    <t>WR678 PN002</t>
  </si>
  <si>
    <t>WR678 PS001</t>
  </si>
  <si>
    <t>WR678 PS002</t>
  </si>
  <si>
    <t>WR678 PS003</t>
  </si>
  <si>
    <t>WR678 PS004</t>
  </si>
  <si>
    <t>WR678 PS005</t>
  </si>
  <si>
    <t>WR678 PN007</t>
  </si>
  <si>
    <t>WR678 PS007</t>
  </si>
  <si>
    <t>WR759 PS001</t>
  </si>
  <si>
    <t>WR759 PS002</t>
  </si>
  <si>
    <t>WR759 PS004</t>
  </si>
  <si>
    <t>WR759 PS005</t>
  </si>
  <si>
    <t>WR759 PS007</t>
  </si>
  <si>
    <t>WR759 PS008</t>
  </si>
  <si>
    <t>Average</t>
  </si>
  <si>
    <t>Total Oil Produced</t>
  </si>
  <si>
    <t>Cum Total Oil</t>
  </si>
  <si>
    <t>Average Oil Price</t>
  </si>
  <si>
    <t>Wet Tree Operating Cost</t>
  </si>
  <si>
    <t>Dry Tree Operating Cost</t>
  </si>
  <si>
    <t>Wet Tree Net Oil Price</t>
  </si>
  <si>
    <t>Dry Tree Net Oil Price</t>
  </si>
  <si>
    <t xml:space="preserve">Subsea </t>
  </si>
  <si>
    <t>Control Umbilicals</t>
  </si>
  <si>
    <t>Wells</t>
  </si>
  <si>
    <t>Semi</t>
  </si>
  <si>
    <t>Subsea Pumps</t>
  </si>
  <si>
    <t>Flexibles</t>
  </si>
  <si>
    <t>FrPs</t>
  </si>
  <si>
    <t>Jack St Malo Subsea</t>
  </si>
  <si>
    <t>2 x FrPs Jack and St 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</si>
</sst>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&quot;$&quot;* #,##0.0_);_(&quot;$&quot;* \(#,##0.0\);_(&quot;$&quot;* &quot;-&quot;?_);_(@_)"/>
  </numFmts>
  <fonts count="14" x14ac:knownFonts="1">
    <font>
      <sz val="10"/>
      <color rgb="FF000000"/>
      <name val="Times New Roman"/>
      <charset val="204"/>
    </font>
    <font>
      <b/>
      <sz val="10"/>
      <name val="Courier New"/>
    </font>
    <font>
      <sz val="10"/>
      <name val="Courier New"/>
    </font>
    <font>
      <sz val="10"/>
      <color rgb="FF000000"/>
      <name val="Courier New"/>
      <family val="2"/>
    </font>
    <font>
      <b/>
      <sz val="10"/>
      <name val="Courier New"/>
      <family val="3"/>
    </font>
    <font>
      <sz val="10"/>
      <name val="Courier New"/>
      <family val="3"/>
    </font>
    <font>
      <b/>
      <u/>
      <sz val="10"/>
      <name val="Courier New"/>
      <family val="3"/>
    </font>
    <font>
      <b/>
      <sz val="10"/>
      <color rgb="FFD80000"/>
      <name val="Courier New"/>
      <family val="3"/>
    </font>
    <font>
      <sz val="10"/>
      <color rgb="FF000000"/>
      <name val="Times New Roman"/>
      <charset val="204"/>
    </font>
    <font>
      <sz val="12"/>
      <color rgb="FF000000"/>
      <name val="Eras Medium ITC"/>
      <family val="2"/>
    </font>
    <font>
      <u val="singleAccounting"/>
      <sz val="12"/>
      <color rgb="FF000000"/>
      <name val="Eras Medium ITC"/>
      <family val="2"/>
    </font>
    <font>
      <sz val="10"/>
      <color rgb="FF000000"/>
      <name val="Eras Medium ITC"/>
      <family val="2"/>
    </font>
    <font>
      <u/>
      <sz val="12"/>
      <color rgb="FF000000"/>
      <name val="Eras Medium ITC"/>
      <family val="2"/>
    </font>
    <font>
      <b/>
      <sz val="12"/>
      <color rgb="FFFF0000"/>
      <name val="Eras Medium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right" vertical="top" wrapText="1" indent="3"/>
    </xf>
    <xf numFmtId="0" fontId="0" fillId="0" borderId="0" xfId="0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 indent="2"/>
    </xf>
    <xf numFmtId="0" fontId="1" fillId="0" borderId="0" xfId="0" applyFont="1" applyFill="1" applyBorder="1" applyAlignment="1">
      <alignment horizontal="right" vertical="top" wrapText="1" indent="1"/>
    </xf>
    <xf numFmtId="1" fontId="3" fillId="0" borderId="0" xfId="0" applyNumberFormat="1" applyFont="1" applyFill="1" applyBorder="1" applyAlignment="1">
      <alignment horizontal="left" vertical="top" indent="6" shrinkToFit="1"/>
    </xf>
    <xf numFmtId="1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165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right" vertical="top" indent="3" shrinkToFit="1"/>
    </xf>
    <xf numFmtId="1" fontId="3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left" vertical="top" indent="2" shrinkToFit="1"/>
    </xf>
    <xf numFmtId="1" fontId="3" fillId="0" borderId="0" xfId="0" applyNumberFormat="1" applyFont="1" applyFill="1" applyBorder="1" applyAlignment="1">
      <alignment horizontal="left" vertical="top" indent="5" shrinkToFi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 indent="4"/>
    </xf>
    <xf numFmtId="164" fontId="3" fillId="0" borderId="0" xfId="0" applyNumberFormat="1" applyFont="1" applyFill="1" applyBorder="1" applyAlignment="1">
      <alignment horizontal="left" vertical="center" indent="2" shrinkToFit="1"/>
    </xf>
    <xf numFmtId="1" fontId="3" fillId="0" borderId="0" xfId="0" applyNumberFormat="1" applyFont="1" applyFill="1" applyBorder="1" applyAlignment="1">
      <alignment horizontal="right" vertical="center" indent="2" shrinkToFit="1"/>
    </xf>
    <xf numFmtId="1" fontId="3" fillId="0" borderId="0" xfId="0" applyNumberFormat="1" applyFont="1" applyFill="1" applyBorder="1" applyAlignment="1">
      <alignment horizontal="right" vertical="center" indent="1" shrinkToFit="1"/>
    </xf>
    <xf numFmtId="165" fontId="3" fillId="0" borderId="0" xfId="0" applyNumberFormat="1" applyFont="1" applyFill="1" applyBorder="1" applyAlignment="1">
      <alignment horizontal="right" vertical="center" indent="2" shrinkToFit="1"/>
    </xf>
    <xf numFmtId="1" fontId="3" fillId="0" borderId="0" xfId="0" applyNumberFormat="1" applyFont="1" applyFill="1" applyBorder="1" applyAlignment="1">
      <alignment horizontal="right" vertical="center" indent="3" shrinkToFit="1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top"/>
    </xf>
    <xf numFmtId="166" fontId="9" fillId="0" borderId="0" xfId="1" applyNumberFormat="1" applyFont="1" applyFill="1" applyBorder="1" applyAlignment="1">
      <alignment horizontal="left" vertical="top"/>
    </xf>
    <xf numFmtId="9" fontId="9" fillId="0" borderId="0" xfId="3" applyFont="1" applyFill="1" applyBorder="1" applyAlignment="1">
      <alignment horizontal="left" vertical="top"/>
    </xf>
    <xf numFmtId="166" fontId="10" fillId="0" borderId="0" xfId="1" applyNumberFormat="1" applyFont="1" applyFill="1" applyBorder="1" applyAlignment="1">
      <alignment horizontal="left" vertical="top"/>
    </xf>
    <xf numFmtId="167" fontId="9" fillId="0" borderId="0" xfId="2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166" fontId="12" fillId="0" borderId="0" xfId="1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9" fontId="9" fillId="0" borderId="0" xfId="3" applyFont="1" applyFill="1" applyBorder="1" applyAlignment="1">
      <alignment horizontal="right" vertical="top"/>
    </xf>
    <xf numFmtId="166" fontId="9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6" fontId="13" fillId="0" borderId="0" xfId="1" applyNumberFormat="1" applyFont="1" applyFill="1" applyBorder="1" applyAlignment="1">
      <alignment horizontal="right" vertical="top"/>
    </xf>
    <xf numFmtId="167" fontId="13" fillId="0" borderId="0" xfId="2" applyNumberFormat="1" applyFont="1" applyFill="1" applyBorder="1" applyAlignment="1">
      <alignment horizontal="left" vertical="top"/>
    </xf>
    <xf numFmtId="0" fontId="9" fillId="0" borderId="0" xfId="0" applyFont="1" applyAlignment="1">
      <alignment horizontal="right" vertical="top"/>
    </xf>
    <xf numFmtId="167" fontId="9" fillId="0" borderId="0" xfId="2" applyNumberFormat="1" applyFont="1" applyFill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left" vertical="top" indent="2" shrinkToFit="1"/>
    </xf>
    <xf numFmtId="1" fontId="3" fillId="0" borderId="0" xfId="0" applyNumberFormat="1" applyFont="1" applyFill="1" applyBorder="1" applyAlignment="1">
      <alignment horizontal="left" vertical="top" indent="3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 indent="2"/>
    </xf>
    <xf numFmtId="1" fontId="3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left" vertical="top" indent="3" shrinkToFit="1"/>
    </xf>
    <xf numFmtId="0" fontId="1" fillId="0" borderId="0" xfId="0" applyFont="1" applyFill="1" applyBorder="1" applyAlignment="1">
      <alignment horizontal="left" vertical="top" wrapText="1" indent="26"/>
    </xf>
    <xf numFmtId="1" fontId="3" fillId="0" borderId="0" xfId="0" applyNumberFormat="1" applyFont="1" applyFill="1" applyBorder="1" applyAlignment="1">
      <alignment horizontal="left" vertical="center" indent="2" shrinkToFit="1"/>
    </xf>
    <xf numFmtId="1" fontId="3" fillId="0" borderId="0" xfId="0" applyNumberFormat="1" applyFont="1" applyFill="1" applyBorder="1" applyAlignment="1">
      <alignment horizontal="right" vertical="center" indent="1" shrinkToFit="1"/>
    </xf>
    <xf numFmtId="1" fontId="3" fillId="0" borderId="0" xfId="0" applyNumberFormat="1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indent="4" shrinkToFi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BSEE</a:t>
            </a:r>
            <a:r>
              <a:rPr lang="en-US" baseline="0"/>
              <a:t> Jack St Malo Production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91443548022787E-3"/>
          <c:y val="0.12103642485189822"/>
          <c:w val="0.97915073545114051"/>
          <c:h val="0.85225118732032823"/>
        </c:manualLayout>
      </c:layout>
      <c:lineChart>
        <c:grouping val="standard"/>
        <c:varyColors val="0"/>
        <c:ser>
          <c:idx val="1"/>
          <c:order val="1"/>
          <c:tx>
            <c:strRef>
              <c:f>Sheet1!$R$5:$S$5</c:f>
              <c:strCache>
                <c:ptCount val="2"/>
                <c:pt idx="0">
                  <c:v>WR678</c:v>
                </c:pt>
                <c:pt idx="1">
                  <c:v>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Sheet1!$T$5:$DG$5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7978.3809523809523</c:v>
                </c:pt>
                <c:pt idx="37" formatCode="_(* #,##0_);_(* \(#,##0\);_(* &quot;-&quot;??_);_(@_)">
                  <c:v>9853</c:v>
                </c:pt>
                <c:pt idx="38" formatCode="_(* #,##0_);_(* \(#,##0\);_(* &quot;-&quot;??_);_(@_)">
                  <c:v>11042.193548387097</c:v>
                </c:pt>
                <c:pt idx="39" formatCode="_(* #,##0_);_(* \(#,##0\);_(* &quot;-&quot;??_);_(@_)">
                  <c:v>10748.866666666667</c:v>
                </c:pt>
                <c:pt idx="40" formatCode="_(* #,##0_);_(* \(#,##0\);_(* &quot;-&quot;??_);_(@_)">
                  <c:v>10206.612903225807</c:v>
                </c:pt>
                <c:pt idx="41" formatCode="_(* #,##0_);_(* \(#,##0\);_(* &quot;-&quot;??_);_(@_)">
                  <c:v>10205.5</c:v>
                </c:pt>
                <c:pt idx="42" formatCode="_(* #,##0_);_(* \(#,##0\);_(* &quot;-&quot;??_);_(@_)">
                  <c:v>10089.380952380952</c:v>
                </c:pt>
                <c:pt idx="43" formatCode="_(* #,##0_);_(* \(#,##0\);_(* &quot;-&quot;??_);_(@_)">
                  <c:v>9485.5483870967746</c:v>
                </c:pt>
                <c:pt idx="44" formatCode="_(* #,##0_);_(* \(#,##0\);_(* &quot;-&quot;??_);_(@_)">
                  <c:v>9431.9333333333325</c:v>
                </c:pt>
                <c:pt idx="45" formatCode="_(* #,##0_);_(* \(#,##0\);_(* &quot;-&quot;??_);_(@_)">
                  <c:v>8844.5161290322576</c:v>
                </c:pt>
                <c:pt idx="46" formatCode="_(* #,##0_);_(* \(#,##0\);_(* &quot;-&quot;??_);_(@_)">
                  <c:v>7649.8888888888887</c:v>
                </c:pt>
                <c:pt idx="47" formatCode="_(* #,##0_);_(* \(#,##0\);_(* &quot;-&quot;??_);_(@_)">
                  <c:v>8007.6451612903229</c:v>
                </c:pt>
                <c:pt idx="48" formatCode="_(* #,##0_);_(* \(#,##0\);_(* &quot;-&quot;??_);_(@_)">
                  <c:v>8039.8064516129034</c:v>
                </c:pt>
                <c:pt idx="49" formatCode="_(* #,##0_);_(* \(#,##0\);_(* &quot;-&quot;??_);_(@_)">
                  <c:v>7953.0689655172409</c:v>
                </c:pt>
                <c:pt idx="50" formatCode="_(* #,##0_);_(* \(#,##0\);_(* &quot;-&quot;??_);_(@_)">
                  <c:v>8173.9032258064517</c:v>
                </c:pt>
                <c:pt idx="51" formatCode="_(* #,##0_);_(* \(#,##0\);_(* &quot;-&quot;??_);_(@_)">
                  <c:v>7626.2666666666664</c:v>
                </c:pt>
                <c:pt idx="52" formatCode="_(* #,##0_);_(* \(#,##0\);_(* &quot;-&quot;??_);_(@_)">
                  <c:v>7860.8709677419356</c:v>
                </c:pt>
                <c:pt idx="53" formatCode="_(* #,##0_);_(* \(#,##0\);_(* &quot;-&quot;??_);_(@_)">
                  <c:v>7935.2333333333336</c:v>
                </c:pt>
                <c:pt idx="54" formatCode="_(* #,##0_);_(* \(#,##0\);_(* &quot;-&quot;??_);_(@_)">
                  <c:v>6824.0645161290322</c:v>
                </c:pt>
                <c:pt idx="55" formatCode="_(* #,##0_);_(* \(#,##0\);_(* &quot;-&quot;??_);_(@_)">
                  <c:v>6681.4516129032254</c:v>
                </c:pt>
                <c:pt idx="56" formatCode="_(* #,##0_);_(* \(#,##0\);_(* &quot;-&quot;??_);_(@_)">
                  <c:v>6531.6333333333332</c:v>
                </c:pt>
                <c:pt idx="57" formatCode="_(* #,##0_);_(* \(#,##0\);_(* &quot;-&quot;??_);_(@_)">
                  <c:v>6117.8064516129034</c:v>
                </c:pt>
                <c:pt idx="58" formatCode="_(* #,##0_);_(* \(#,##0\);_(* &quot;-&quot;??_);_(@_)">
                  <c:v>6007.2857142857147</c:v>
                </c:pt>
                <c:pt idx="59" formatCode="_(* #,##0_);_(* \(#,##0\);_(* &quot;-&quot;??_);_(@_)">
                  <c:v>6240.5483870967746</c:v>
                </c:pt>
                <c:pt idx="60" formatCode="_(* #,##0_);_(* \(#,##0\);_(* &quot;-&quot;??_);_(@_)">
                  <c:v>6038.0967741935483</c:v>
                </c:pt>
                <c:pt idx="61" formatCode="_(* #,##0_);_(* \(#,##0\);_(* &quot;-&quot;??_);_(@_)">
                  <c:v>5927.4642857142853</c:v>
                </c:pt>
                <c:pt idx="62" formatCode="_(* #,##0_);_(* \(#,##0\);_(* &quot;-&quot;??_);_(@_)">
                  <c:v>6011.9032258064517</c:v>
                </c:pt>
                <c:pt idx="63" formatCode="_(* #,##0_);_(* \(#,##0\);_(* &quot;-&quot;??_);_(@_)">
                  <c:v>6013.4</c:v>
                </c:pt>
                <c:pt idx="64" formatCode="_(* #,##0_);_(* \(#,##0\);_(* &quot;-&quot;??_);_(@_)">
                  <c:v>5647.1935483870966</c:v>
                </c:pt>
                <c:pt idx="65" formatCode="_(* #,##0_);_(* \(#,##0\);_(* &quot;-&quot;??_);_(@_)">
                  <c:v>5935.5</c:v>
                </c:pt>
                <c:pt idx="66" formatCode="_(* #,##0_);_(* \(#,##0\);_(* &quot;-&quot;??_);_(@_)">
                  <c:v>6113.8709677419356</c:v>
                </c:pt>
                <c:pt idx="67" formatCode="_(* #,##0_);_(* \(#,##0\);_(* &quot;-&quot;??_);_(@_)">
                  <c:v>5631.6129032258068</c:v>
                </c:pt>
                <c:pt idx="68" formatCode="_(* #,##0_);_(* \(#,##0\);_(* &quot;-&quot;??_);_(@_)">
                  <c:v>6224.0333333333338</c:v>
                </c:pt>
                <c:pt idx="69" formatCode="_(* #,##0_);_(* \(#,##0\);_(* &quot;-&quot;??_);_(@_)">
                  <c:v>5683.1785714285716</c:v>
                </c:pt>
                <c:pt idx="70" formatCode="_(* #,##0_);_(* \(#,##0\);_(* &quot;-&quot;??_);_(@_)">
                  <c:v>5987.3</c:v>
                </c:pt>
                <c:pt idx="71" formatCode="_(* #,##0_);_(* \(#,##0\);_(* &quot;-&quot;??_);_(@_)">
                  <c:v>6092.5806451612907</c:v>
                </c:pt>
                <c:pt idx="72" formatCode="_(* #,##0_);_(* \(#,##0\);_(* &quot;-&quot;??_);_(@_)">
                  <c:v>5944.6451612903229</c:v>
                </c:pt>
                <c:pt idx="73" formatCode="_(* #,##0_);_(* \(#,##0\);_(* &quot;-&quot;??_);_(@_)">
                  <c:v>6072.0357142857147</c:v>
                </c:pt>
                <c:pt idx="74" formatCode="_(* #,##0_);_(* \(#,##0\);_(* &quot;-&quot;??_);_(@_)">
                  <c:v>6044.9354838709678</c:v>
                </c:pt>
                <c:pt idx="75" formatCode="_(* #,##0_);_(* \(#,##0\);_(* &quot;-&quot;??_);_(@_)">
                  <c:v>5611.7666666666664</c:v>
                </c:pt>
                <c:pt idx="76" formatCode="_(* #,##0_);_(* \(#,##0\);_(* &quot;-&quot;??_);_(@_)">
                  <c:v>6176.1935483870966</c:v>
                </c:pt>
                <c:pt idx="77" formatCode="_(* #,##0_);_(* \(#,##0\);_(* &quot;-&quot;??_);_(@_)">
                  <c:v>6002.5666666666666</c:v>
                </c:pt>
                <c:pt idx="78" formatCode="_(* #,##0_);_(* \(#,##0\);_(* &quot;-&quot;??_);_(@_)">
                  <c:v>6444.4838709677415</c:v>
                </c:pt>
                <c:pt idx="79" formatCode="_(* #,##0_);_(* \(#,##0\);_(* &quot;-&quot;??_);_(@_)">
                  <c:v>6884.9032258064517</c:v>
                </c:pt>
                <c:pt idx="80" formatCode="_(* #,##0_);_(* \(#,##0\);_(* &quot;-&quot;??_);_(@_)">
                  <c:v>6609.666666666667</c:v>
                </c:pt>
                <c:pt idx="81" formatCode="_(* #,##0_);_(* \(#,##0\);_(* &quot;-&quot;??_);_(@_)">
                  <c:v>6472.8064516129034</c:v>
                </c:pt>
                <c:pt idx="82" formatCode="_(* #,##0_);_(* \(#,##0\);_(* &quot;-&quot;??_);_(@_)">
                  <c:v>5804.6896551724139</c:v>
                </c:pt>
                <c:pt idx="83" formatCode="_(* #,##0_);_(* \(#,##0\);_(* &quot;-&quot;??_);_(@_)">
                  <c:v>5995.0967741935483</c:v>
                </c:pt>
                <c:pt idx="84" formatCode="_(* #,##0_);_(* \(#,##0\);_(* &quot;-&quot;??_);_(@_)">
                  <c:v>5995.2258064516127</c:v>
                </c:pt>
                <c:pt idx="85" formatCode="_(* #,##0_);_(* \(#,##0\);_(* &quot;-&quot;??_);_(@_)">
                  <c:v>5705.2857142857147</c:v>
                </c:pt>
                <c:pt idx="86" formatCode="_(* #,##0_);_(* \(#,##0\);_(* &quot;-&quot;??_);_(@_)">
                  <c:v>5507.4838709677415</c:v>
                </c:pt>
                <c:pt idx="87" formatCode="_(* #,##0_);_(* \(#,##0\);_(* &quot;-&quot;??_);_(@_)">
                  <c:v>5643.9</c:v>
                </c:pt>
                <c:pt idx="88" formatCode="_(* #,##0_);_(* \(#,##0\);_(* &quot;-&quot;??_);_(@_)">
                  <c:v>5442.727272727273</c:v>
                </c:pt>
                <c:pt idx="89" formatCode="_(* #,##0_);_(* \(#,##0\);_(* &quot;-&quot;??_);_(@_)">
                  <c:v>5243.4</c:v>
                </c:pt>
                <c:pt idx="90" formatCode="_(* #,##0_);_(* \(#,##0\);_(* &quot;-&quot;??_);_(@_)">
                  <c:v>4983</c:v>
                </c:pt>
                <c:pt idx="91" formatCode="_(* #,##0_);_(* \(#,##0\);_(* &quot;-&quot;??_);_(@_)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8-4867-8FE0-DCBF26041D6E}"/>
            </c:ext>
          </c:extLst>
        </c:ser>
        <c:ser>
          <c:idx val="2"/>
          <c:order val="2"/>
          <c:tx>
            <c:strRef>
              <c:f>Sheet1!$R$6:$S$6</c:f>
              <c:strCache>
                <c:ptCount val="2"/>
                <c:pt idx="0">
                  <c:v>WR678</c:v>
                </c:pt>
                <c:pt idx="1">
                  <c:v>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Sheet1!$T$6:$DG$6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10735.181818181818</c:v>
                </c:pt>
                <c:pt idx="54" formatCode="_(* #,##0_);_(* \(#,##0\);_(* &quot;-&quot;??_);_(@_)">
                  <c:v>12157.451612903225</c:v>
                </c:pt>
                <c:pt idx="55" formatCode="_(* #,##0_);_(* \(#,##0\);_(* &quot;-&quot;??_);_(@_)">
                  <c:v>12217.709677419354</c:v>
                </c:pt>
                <c:pt idx="56" formatCode="_(* #,##0_);_(* \(#,##0\);_(* &quot;-&quot;??_);_(@_)">
                  <c:v>12712.4</c:v>
                </c:pt>
                <c:pt idx="57" formatCode="_(* #,##0_);_(* \(#,##0\);_(* &quot;-&quot;??_);_(@_)">
                  <c:v>12919.225806451614</c:v>
                </c:pt>
                <c:pt idx="58" formatCode="_(* #,##0_);_(* \(#,##0\);_(* &quot;-&quot;??_);_(@_)">
                  <c:v>12136.620689655172</c:v>
                </c:pt>
                <c:pt idx="59" formatCode="_(* #,##0_);_(* \(#,##0\);_(* &quot;-&quot;??_);_(@_)">
                  <c:v>13452.58064516129</c:v>
                </c:pt>
                <c:pt idx="60" formatCode="_(* #,##0_);_(* \(#,##0\);_(* &quot;-&quot;??_);_(@_)">
                  <c:v>13748.516129032258</c:v>
                </c:pt>
                <c:pt idx="61" formatCode="_(* #,##0_);_(* \(#,##0\);_(* &quot;-&quot;??_);_(@_)">
                  <c:v>13450.607142857143</c:v>
                </c:pt>
                <c:pt idx="62" formatCode="_(* #,##0_);_(* \(#,##0\);_(* &quot;-&quot;??_);_(@_)">
                  <c:v>13546.645161290322</c:v>
                </c:pt>
                <c:pt idx="63" formatCode="_(* #,##0_);_(* \(#,##0\);_(* &quot;-&quot;??_);_(@_)">
                  <c:v>13789.933333333332</c:v>
                </c:pt>
                <c:pt idx="64" formatCode="_(* #,##0_);_(* \(#,##0\);_(* &quot;-&quot;??_);_(@_)">
                  <c:v>14013.193548387097</c:v>
                </c:pt>
                <c:pt idx="65" formatCode="_(* #,##0_);_(* \(#,##0\);_(* &quot;-&quot;??_);_(@_)">
                  <c:v>13047.066666666668</c:v>
                </c:pt>
                <c:pt idx="66" formatCode="_(* #,##0_);_(* \(#,##0\);_(* &quot;-&quot;??_);_(@_)">
                  <c:v>12882.793103448275</c:v>
                </c:pt>
                <c:pt idx="67" formatCode="_(* #,##0_);_(* \(#,##0\);_(* &quot;-&quot;??_);_(@_)">
                  <c:v>13779.387096774193</c:v>
                </c:pt>
                <c:pt idx="68" formatCode="_(* #,##0_);_(* \(#,##0\);_(* &quot;-&quot;??_);_(@_)">
                  <c:v>14085.6</c:v>
                </c:pt>
                <c:pt idx="69" formatCode="_(* #,##0_);_(* \(#,##0\);_(* &quot;-&quot;??_);_(@_)">
                  <c:v>12918.964285714286</c:v>
                </c:pt>
                <c:pt idx="70" formatCode="_(* #,##0_);_(* \(#,##0\);_(* &quot;-&quot;??_);_(@_)">
                  <c:v>12466.4</c:v>
                </c:pt>
                <c:pt idx="71" formatCode="_(* #,##0_);_(* \(#,##0\);_(* &quot;-&quot;??_);_(@_)">
                  <c:v>12300</c:v>
                </c:pt>
                <c:pt idx="72" formatCode="_(* #,##0_);_(* \(#,##0\);_(* &quot;-&quot;??_);_(@_)">
                  <c:v>10760.516129032258</c:v>
                </c:pt>
                <c:pt idx="73" formatCode="_(* #,##0_);_(* \(#,##0\);_(* &quot;-&quot;??_);_(@_)">
                  <c:v>11741.5</c:v>
                </c:pt>
                <c:pt idx="74" formatCode="_(* #,##0_);_(* \(#,##0\);_(* &quot;-&quot;??_);_(@_)">
                  <c:v>12196.193548387097</c:v>
                </c:pt>
                <c:pt idx="75" formatCode="_(* #,##0_);_(* \(#,##0\);_(* &quot;-&quot;??_);_(@_)">
                  <c:v>11852.933333333332</c:v>
                </c:pt>
                <c:pt idx="76" formatCode="_(* #,##0_);_(* \(#,##0\);_(* &quot;-&quot;??_);_(@_)">
                  <c:v>14074.741935483871</c:v>
                </c:pt>
                <c:pt idx="77" formatCode="_(* #,##0_);_(* \(#,##0\);_(* &quot;-&quot;??_);_(@_)">
                  <c:v>14738</c:v>
                </c:pt>
                <c:pt idx="78" formatCode="_(* #,##0_);_(* \(#,##0\);_(* &quot;-&quot;??_);_(@_)">
                  <c:v>13706.483870967742</c:v>
                </c:pt>
                <c:pt idx="79" formatCode="_(* #,##0_);_(* \(#,##0\);_(* &quot;-&quot;??_);_(@_)">
                  <c:v>14082.354838709678</c:v>
                </c:pt>
                <c:pt idx="80" formatCode="_(* #,##0_);_(* \(#,##0\);_(* &quot;-&quot;??_);_(@_)">
                  <c:v>13682.1</c:v>
                </c:pt>
                <c:pt idx="81" formatCode="_(* #,##0_);_(* \(#,##0\);_(* &quot;-&quot;??_);_(@_)">
                  <c:v>13263.354838709678</c:v>
                </c:pt>
                <c:pt idx="82" formatCode="_(* #,##0_);_(* \(#,##0\);_(* &quot;-&quot;??_);_(@_)">
                  <c:v>13000.241379310344</c:v>
                </c:pt>
                <c:pt idx="83" formatCode="_(* #,##0_);_(* \(#,##0\);_(* &quot;-&quot;??_);_(@_)">
                  <c:v>12791.838709677419</c:v>
                </c:pt>
                <c:pt idx="84" formatCode="_(* #,##0_);_(* \(#,##0\);_(* &quot;-&quot;??_);_(@_)">
                  <c:v>13090.935483870968</c:v>
                </c:pt>
                <c:pt idx="85" formatCode="_(* #,##0_);_(* \(#,##0\);_(* &quot;-&quot;??_);_(@_)">
                  <c:v>12612.464285714286</c:v>
                </c:pt>
                <c:pt idx="86" formatCode="_(* #,##0_);_(* \(#,##0\);_(* &quot;-&quot;??_);_(@_)">
                  <c:v>12384.225806451614</c:v>
                </c:pt>
                <c:pt idx="87" formatCode="_(* #,##0_);_(* \(#,##0\);_(* &quot;-&quot;??_);_(@_)">
                  <c:v>12150.266666666666</c:v>
                </c:pt>
                <c:pt idx="88" formatCode="_(* #,##0_);_(* \(#,##0\);_(* &quot;-&quot;??_);_(@_)">
                  <c:v>12073.363636363636</c:v>
                </c:pt>
                <c:pt idx="89" formatCode="_(* #,##0_);_(* \(#,##0\);_(* &quot;-&quot;??_);_(@_)">
                  <c:v>11911.433333333332</c:v>
                </c:pt>
                <c:pt idx="90" formatCode="_(* #,##0_);_(* \(#,##0\);_(* &quot;-&quot;??_);_(@_)">
                  <c:v>10846.103448275862</c:v>
                </c:pt>
                <c:pt idx="91" formatCode="_(* #,##0_);_(* \(#,##0\);_(* &quot;-&quot;??_);_(@_)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8-4867-8FE0-DCBF26041D6E}"/>
            </c:ext>
          </c:extLst>
        </c:ser>
        <c:ser>
          <c:idx val="3"/>
          <c:order val="3"/>
          <c:tx>
            <c:strRef>
              <c:f>Sheet1!$R$7:$S$7</c:f>
              <c:strCache>
                <c:ptCount val="2"/>
                <c:pt idx="0">
                  <c:v>WR678</c:v>
                </c:pt>
                <c:pt idx="1">
                  <c:v>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Sheet1!$T$7:$DG$7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7469.3076923076924</c:v>
                </c:pt>
                <c:pt idx="38" formatCode="_(* #,##0_);_(* \(#,##0\);_(* &quot;-&quot;??_);_(@_)">
                  <c:v>12378.08695652174</c:v>
                </c:pt>
                <c:pt idx="39" formatCode="_(* #,##0_);_(* \(#,##0\);_(* &quot;-&quot;??_);_(@_)">
                  <c:v>14088.1</c:v>
                </c:pt>
                <c:pt idx="40" formatCode="_(* #,##0_);_(* \(#,##0\);_(* &quot;-&quot;??_);_(@_)">
                  <c:v>14288</c:v>
                </c:pt>
                <c:pt idx="41" formatCode="_(* #,##0_);_(* \(#,##0\);_(* &quot;-&quot;??_);_(@_)">
                  <c:v>14811.2</c:v>
                </c:pt>
                <c:pt idx="42" formatCode="_(* #,##0_);_(* \(#,##0\);_(* &quot;-&quot;??_);_(@_)">
                  <c:v>13649.565217391304</c:v>
                </c:pt>
                <c:pt idx="43" formatCode="_(* #,##0_);_(* \(#,##0\);_(* &quot;-&quot;??_);_(@_)">
                  <c:v>14241.354838709678</c:v>
                </c:pt>
                <c:pt idx="44" formatCode="_(* #,##0_);_(* \(#,##0\);_(* &quot;-&quot;??_);_(@_)">
                  <c:v>12185.666666666666</c:v>
                </c:pt>
                <c:pt idx="45" formatCode="_(* #,##0_);_(* \(#,##0\);_(* &quot;-&quot;??_);_(@_)">
                  <c:v>13999.806451612903</c:v>
                </c:pt>
                <c:pt idx="46" formatCode="_(* #,##0_);_(* \(#,##0\);_(* &quot;-&quot;??_);_(@_)">
                  <c:v>13123.962962962964</c:v>
                </c:pt>
                <c:pt idx="47" formatCode="_(* #,##0_);_(* \(#,##0\);_(* &quot;-&quot;??_);_(@_)">
                  <c:v>15223.967741935483</c:v>
                </c:pt>
                <c:pt idx="48" formatCode="_(* #,##0_);_(* \(#,##0\);_(* &quot;-&quot;??_);_(@_)">
                  <c:v>15165.645161290322</c:v>
                </c:pt>
                <c:pt idx="49" formatCode="_(* #,##0_);_(* \(#,##0\);_(* &quot;-&quot;??_);_(@_)">
                  <c:v>15046.413793103447</c:v>
                </c:pt>
                <c:pt idx="50" formatCode="_(* #,##0_);_(* \(#,##0\);_(* &quot;-&quot;??_);_(@_)">
                  <c:v>15561.58064516129</c:v>
                </c:pt>
                <c:pt idx="51" formatCode="_(* #,##0_);_(* \(#,##0\);_(* &quot;-&quot;??_);_(@_)">
                  <c:v>14940.933333333332</c:v>
                </c:pt>
                <c:pt idx="52" formatCode="_(* #,##0_);_(* \(#,##0\);_(* &quot;-&quot;??_);_(@_)">
                  <c:v>15449.225806451614</c:v>
                </c:pt>
                <c:pt idx="53" formatCode="_(* #,##0_);_(* \(#,##0\);_(* &quot;-&quot;??_);_(@_)">
                  <c:v>15112.166666666666</c:v>
                </c:pt>
                <c:pt idx="54" formatCode="_(* #,##0_);_(* \(#,##0\);_(* &quot;-&quot;??_);_(@_)">
                  <c:v>14166.645161290322</c:v>
                </c:pt>
                <c:pt idx="55" formatCode="_(* #,##0_);_(* \(#,##0\);_(* &quot;-&quot;??_);_(@_)">
                  <c:v>12013.032258064517</c:v>
                </c:pt>
                <c:pt idx="56" formatCode="_(* #,##0_);_(* \(#,##0\);_(* &quot;-&quot;??_);_(@_)">
                  <c:v>12185.666666666666</c:v>
                </c:pt>
                <c:pt idx="57" formatCode="_(* #,##0_);_(* \(#,##0\);_(* &quot;-&quot;??_);_(@_)">
                  <c:v>12797.161290322581</c:v>
                </c:pt>
                <c:pt idx="58" formatCode="_(* #,##0_);_(* \(#,##0\);_(* &quot;-&quot;??_);_(@_)">
                  <c:v>11064.964285714286</c:v>
                </c:pt>
                <c:pt idx="59" formatCode="_(* #,##0_);_(* \(#,##0\);_(* &quot;-&quot;??_);_(@_)">
                  <c:v>13035.193548387097</c:v>
                </c:pt>
                <c:pt idx="60" formatCode="_(* #,##0_);_(* \(#,##0\);_(* &quot;-&quot;??_);_(@_)">
                  <c:v>12583.451612903225</c:v>
                </c:pt>
                <c:pt idx="61" formatCode="_(* #,##0_);_(* \(#,##0\);_(* &quot;-&quot;??_);_(@_)">
                  <c:v>12645.25</c:v>
                </c:pt>
                <c:pt idx="62" formatCode="_(* #,##0_);_(* \(#,##0\);_(* &quot;-&quot;??_);_(@_)">
                  <c:v>12377.451612903225</c:v>
                </c:pt>
                <c:pt idx="63" formatCode="_(* #,##0_);_(* \(#,##0\);_(* &quot;-&quot;??_);_(@_)">
                  <c:v>12714.666666666666</c:v>
                </c:pt>
                <c:pt idx="64" formatCode="_(* #,##0_);_(* \(#,##0\);_(* &quot;-&quot;??_);_(@_)">
                  <c:v>11766.548387096775</c:v>
                </c:pt>
                <c:pt idx="65" formatCode="_(* #,##0_);_(* \(#,##0\);_(* &quot;-&quot;??_);_(@_)">
                  <c:v>12007.3</c:v>
                </c:pt>
                <c:pt idx="66" formatCode="_(* #,##0_);_(* \(#,##0\);_(* &quot;-&quot;??_);_(@_)">
                  <c:v>11868.741935483871</c:v>
                </c:pt>
                <c:pt idx="67" formatCode="_(* #,##0_);_(* \(#,##0\);_(* &quot;-&quot;??_);_(@_)">
                  <c:v>10769.838709677419</c:v>
                </c:pt>
                <c:pt idx="68" formatCode="_(* #,##0_);_(* \(#,##0\);_(* &quot;-&quot;??_);_(@_)">
                  <c:v>11402.2</c:v>
                </c:pt>
                <c:pt idx="69" formatCode="_(* #,##0_);_(* \(#,##0\);_(* &quot;-&quot;??_);_(@_)">
                  <c:v>10808.464285714286</c:v>
                </c:pt>
                <c:pt idx="70" formatCode="_(* #,##0_);_(* \(#,##0\);_(* &quot;-&quot;??_);_(@_)">
                  <c:v>11285.766666666666</c:v>
                </c:pt>
                <c:pt idx="71" formatCode="_(* #,##0_);_(* \(#,##0\);_(* &quot;-&quot;??_);_(@_)">
                  <c:v>11324.193548387097</c:v>
                </c:pt>
                <c:pt idx="72" formatCode="_(* #,##0_);_(* \(#,##0\);_(* &quot;-&quot;??_);_(@_)">
                  <c:v>9934.354838709678</c:v>
                </c:pt>
                <c:pt idx="73" formatCode="_(* #,##0_);_(* \(#,##0\);_(* &quot;-&quot;??_);_(@_)">
                  <c:v>10662.5</c:v>
                </c:pt>
                <c:pt idx="74" formatCode="_(* #,##0_);_(* \(#,##0\);_(* &quot;-&quot;??_);_(@_)">
                  <c:v>10583.677419354839</c:v>
                </c:pt>
                <c:pt idx="75" formatCode="_(* #,##0_);_(* \(#,##0\);_(* &quot;-&quot;??_);_(@_)">
                  <c:v>9562.9666666666672</c:v>
                </c:pt>
                <c:pt idx="76" formatCode="_(* #,##0_);_(* \(#,##0\);_(* &quot;-&quot;??_);_(@_)">
                  <c:v>10663.354838709678</c:v>
                </c:pt>
                <c:pt idx="77" formatCode="_(* #,##0_);_(* \(#,##0\);_(* &quot;-&quot;??_);_(@_)">
                  <c:v>10759.1</c:v>
                </c:pt>
                <c:pt idx="78" formatCode="_(* #,##0_);_(* \(#,##0\);_(* &quot;-&quot;??_);_(@_)">
                  <c:v>11406.41935483871</c:v>
                </c:pt>
                <c:pt idx="79" formatCode="_(* #,##0_);_(* \(#,##0\);_(* &quot;-&quot;??_);_(@_)">
                  <c:v>11492.096774193549</c:v>
                </c:pt>
                <c:pt idx="80" formatCode="_(* #,##0_);_(* \(#,##0\);_(* &quot;-&quot;??_);_(@_)">
                  <c:v>11112.433333333332</c:v>
                </c:pt>
                <c:pt idx="81" formatCode="_(* #,##0_);_(* \(#,##0\);_(* &quot;-&quot;??_);_(@_)">
                  <c:v>9555.1612903225814</c:v>
                </c:pt>
                <c:pt idx="82" formatCode="_(* #,##0_);_(* \(#,##0\);_(* &quot;-&quot;??_);_(@_)">
                  <c:v>11804.344827586207</c:v>
                </c:pt>
                <c:pt idx="83" formatCode="_(* #,##0_);_(* \(#,##0\);_(* &quot;-&quot;??_);_(@_)">
                  <c:v>11292.451612903225</c:v>
                </c:pt>
                <c:pt idx="84" formatCode="_(* #,##0_);_(* \(#,##0\);_(* &quot;-&quot;??_);_(@_)">
                  <c:v>11371.064516129032</c:v>
                </c:pt>
                <c:pt idx="85" formatCode="_(* #,##0_);_(* \(#,##0\);_(* &quot;-&quot;??_);_(@_)">
                  <c:v>10906.607142857143</c:v>
                </c:pt>
                <c:pt idx="86" formatCode="_(* #,##0_);_(* \(#,##0\);_(* &quot;-&quot;??_);_(@_)">
                  <c:v>10545.064516129032</c:v>
                </c:pt>
                <c:pt idx="87" formatCode="_(* #,##0_);_(* \(#,##0\);_(* &quot;-&quot;??_);_(@_)">
                  <c:v>10741.6</c:v>
                </c:pt>
                <c:pt idx="88" formatCode="_(* #,##0_);_(* \(#,##0\);_(* &quot;-&quot;??_);_(@_)">
                  <c:v>10606.681818181818</c:v>
                </c:pt>
                <c:pt idx="89" formatCode="_(* #,##0_);_(* \(#,##0\);_(* &quot;-&quot;??_);_(@_)">
                  <c:v>10697.566666666668</c:v>
                </c:pt>
                <c:pt idx="90" formatCode="_(* #,##0_);_(* \(#,##0\);_(* &quot;-&quot;??_);_(@_)">
                  <c:v>9862.9333333333325</c:v>
                </c:pt>
                <c:pt idx="91" formatCode="_(* #,##0_);_(* \(#,##0\);_(* &quot;-&quot;??_);_(@_)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8-4867-8FE0-DCBF26041D6E}"/>
            </c:ext>
          </c:extLst>
        </c:ser>
        <c:ser>
          <c:idx val="4"/>
          <c:order val="4"/>
          <c:tx>
            <c:strRef>
              <c:f>Sheet1!$R$8:$S$8</c:f>
              <c:strCache>
                <c:ptCount val="2"/>
                <c:pt idx="0">
                  <c:v>WR678</c:v>
                </c:pt>
                <c:pt idx="1">
                  <c:v>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Sheet1!$T$8:$DG$8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10479.736842105263</c:v>
                </c:pt>
                <c:pt idx="65" formatCode="_(* #,##0_);_(* \(#,##0\);_(* &quot;-&quot;??_);_(@_)">
                  <c:v>12531.266666666666</c:v>
                </c:pt>
                <c:pt idx="66" formatCode="_(* #,##0_);_(* \(#,##0\);_(* &quot;-&quot;??_);_(@_)">
                  <c:v>12908.774193548386</c:v>
                </c:pt>
                <c:pt idx="67" formatCode="_(* #,##0_);_(* \(#,##0\);_(* &quot;-&quot;??_);_(@_)">
                  <c:v>14318.58064516129</c:v>
                </c:pt>
                <c:pt idx="68" formatCode="_(* #,##0_);_(* \(#,##0\);_(* &quot;-&quot;??_);_(@_)">
                  <c:v>16364.433333333332</c:v>
                </c:pt>
                <c:pt idx="69" formatCode="_(* #,##0_);_(* \(#,##0\);_(* &quot;-&quot;??_);_(@_)">
                  <c:v>15496.428571428571</c:v>
                </c:pt>
                <c:pt idx="70" formatCode="_(* #,##0_);_(* \(#,##0\);_(* &quot;-&quot;??_);_(@_)">
                  <c:v>17156.666666666668</c:v>
                </c:pt>
                <c:pt idx="71" formatCode="_(* #,##0_);_(* \(#,##0\);_(* &quot;-&quot;??_);_(@_)">
                  <c:v>17079.096774193549</c:v>
                </c:pt>
                <c:pt idx="72" formatCode="_(* #,##0_);_(* \(#,##0\);_(* &quot;-&quot;??_);_(@_)">
                  <c:v>16928.258064516129</c:v>
                </c:pt>
                <c:pt idx="73" formatCode="_(* #,##0_);_(* \(#,##0\);_(* &quot;-&quot;??_);_(@_)">
                  <c:v>17009.25</c:v>
                </c:pt>
                <c:pt idx="74" formatCode="_(* #,##0_);_(* \(#,##0\);_(* &quot;-&quot;??_);_(@_)">
                  <c:v>17826.741935483871</c:v>
                </c:pt>
                <c:pt idx="75" formatCode="_(* #,##0_);_(* \(#,##0\);_(* &quot;-&quot;??_);_(@_)">
                  <c:v>16499.733333333334</c:v>
                </c:pt>
                <c:pt idx="76" formatCode="_(* #,##0_);_(* \(#,##0\);_(* &quot;-&quot;??_);_(@_)">
                  <c:v>18527.645161290322</c:v>
                </c:pt>
                <c:pt idx="77" formatCode="_(* #,##0_);_(* \(#,##0\);_(* &quot;-&quot;??_);_(@_)">
                  <c:v>17170.166666666668</c:v>
                </c:pt>
                <c:pt idx="78" formatCode="_(* #,##0_);_(* \(#,##0\);_(* &quot;-&quot;??_);_(@_)">
                  <c:v>18635.032258064515</c:v>
                </c:pt>
                <c:pt idx="79" formatCode="_(* #,##0_);_(* \(#,##0\);_(* &quot;-&quot;??_);_(@_)">
                  <c:v>19009.322580645163</c:v>
                </c:pt>
                <c:pt idx="80" formatCode="_(* #,##0_);_(* \(#,##0\);_(* &quot;-&quot;??_);_(@_)">
                  <c:v>18433.766666666666</c:v>
                </c:pt>
                <c:pt idx="81" formatCode="_(* #,##0_);_(* \(#,##0\);_(* &quot;-&quot;??_);_(@_)">
                  <c:v>18250.548387096773</c:v>
                </c:pt>
                <c:pt idx="82" formatCode="_(* #,##0_);_(* \(#,##0\);_(* &quot;-&quot;??_);_(@_)">
                  <c:v>17447.724137931036</c:v>
                </c:pt>
                <c:pt idx="83" formatCode="_(* #,##0_);_(* \(#,##0\);_(* &quot;-&quot;??_);_(@_)">
                  <c:v>17809.677419354837</c:v>
                </c:pt>
                <c:pt idx="84" formatCode="_(* #,##0_);_(* \(#,##0\);_(* &quot;-&quot;??_);_(@_)">
                  <c:v>17628.290322580644</c:v>
                </c:pt>
                <c:pt idx="85" formatCode="_(* #,##0_);_(* \(#,##0\);_(* &quot;-&quot;??_);_(@_)">
                  <c:v>17297.785714285714</c:v>
                </c:pt>
                <c:pt idx="86" formatCode="_(* #,##0_);_(* \(#,##0\);_(* &quot;-&quot;??_);_(@_)">
                  <c:v>16918.741935483871</c:v>
                </c:pt>
                <c:pt idx="87" formatCode="_(* #,##0_);_(* \(#,##0\);_(* &quot;-&quot;??_);_(@_)">
                  <c:v>16847.7</c:v>
                </c:pt>
                <c:pt idx="88" formatCode="_(* #,##0_);_(* \(#,##0\);_(* &quot;-&quot;??_);_(@_)">
                  <c:v>15988.272727272728</c:v>
                </c:pt>
                <c:pt idx="89" formatCode="_(* #,##0_);_(* \(#,##0\);_(* &quot;-&quot;??_);_(@_)">
                  <c:v>15964</c:v>
                </c:pt>
                <c:pt idx="90" formatCode="_(* #,##0_);_(* \(#,##0\);_(* &quot;-&quot;??_);_(@_)">
                  <c:v>14536.310344827587</c:v>
                </c:pt>
                <c:pt idx="91" formatCode="_(* #,##0_);_(* \(#,##0\);_(* &quot;-&quot;??_);_(@_)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8-4867-8FE0-DCBF26041D6E}"/>
            </c:ext>
          </c:extLst>
        </c:ser>
        <c:ser>
          <c:idx val="5"/>
          <c:order val="5"/>
          <c:tx>
            <c:strRef>
              <c:f>Sheet1!$R$9:$S$9</c:f>
              <c:strCache>
                <c:ptCount val="2"/>
                <c:pt idx="0">
                  <c:v>WR678</c:v>
                </c:pt>
                <c:pt idx="1">
                  <c:v>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Sheet1!$T$9:$DG$9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9226.8571428571431</c:v>
                </c:pt>
                <c:pt idx="36" formatCode="_(* #,##0_);_(* \(#,##0\);_(* &quot;-&quot;??_);_(@_)">
                  <c:v>12173.925925925925</c:v>
                </c:pt>
                <c:pt idx="37" formatCode="_(* #,##0_);_(* \(#,##0\);_(* &quot;-&quot;??_);_(@_)">
                  <c:v>12820.75</c:v>
                </c:pt>
                <c:pt idx="38" formatCode="_(* #,##0_);_(* \(#,##0\);_(* &quot;-&quot;??_);_(@_)">
                  <c:v>14112.806451612903</c:v>
                </c:pt>
                <c:pt idx="39" formatCode="_(* #,##0_);_(* \(#,##0\);_(* &quot;-&quot;??_);_(@_)">
                  <c:v>14341.166666666666</c:v>
                </c:pt>
                <c:pt idx="40" formatCode="_(* #,##0_);_(* \(#,##0\);_(* &quot;-&quot;??_);_(@_)">
                  <c:v>13935.258064516129</c:v>
                </c:pt>
                <c:pt idx="41" formatCode="_(* #,##0_);_(* \(#,##0\);_(* &quot;-&quot;??_);_(@_)">
                  <c:v>14505.566666666668</c:v>
                </c:pt>
                <c:pt idx="42" formatCode="_(* #,##0_);_(* \(#,##0\);_(* &quot;-&quot;??_);_(@_)">
                  <c:v>13634.347826086956</c:v>
                </c:pt>
                <c:pt idx="43" formatCode="_(* #,##0_);_(* \(#,##0\);_(* &quot;-&quot;??_);_(@_)">
                  <c:v>14141.483870967742</c:v>
                </c:pt>
                <c:pt idx="44" formatCode="_(* #,##0_);_(* \(#,##0\);_(* &quot;-&quot;??_);_(@_)">
                  <c:v>13667</c:v>
                </c:pt>
                <c:pt idx="45" formatCode="_(* #,##0_);_(* \(#,##0\);_(* &quot;-&quot;??_);_(@_)">
                  <c:v>13380.161290322581</c:v>
                </c:pt>
                <c:pt idx="46" formatCode="_(* #,##0_);_(* \(#,##0\);_(* &quot;-&quot;??_);_(@_)">
                  <c:v>12637.925925925925</c:v>
                </c:pt>
                <c:pt idx="47" formatCode="_(* #,##0_);_(* \(#,##0\);_(* &quot;-&quot;??_);_(@_)">
                  <c:v>13894.806451612903</c:v>
                </c:pt>
                <c:pt idx="48" formatCode="_(* #,##0_);_(* \(#,##0\);_(* &quot;-&quot;??_);_(@_)">
                  <c:v>13609.354838709678</c:v>
                </c:pt>
                <c:pt idx="49" formatCode="_(* #,##0_);_(* \(#,##0\);_(* &quot;-&quot;??_);_(@_)">
                  <c:v>13639.310344827587</c:v>
                </c:pt>
                <c:pt idx="50" formatCode="_(* #,##0_);_(* \(#,##0\);_(* &quot;-&quot;??_);_(@_)">
                  <c:v>13326.903225806451</c:v>
                </c:pt>
                <c:pt idx="51" formatCode="_(* #,##0_);_(* \(#,##0\);_(* &quot;-&quot;??_);_(@_)">
                  <c:v>12380.033333333333</c:v>
                </c:pt>
                <c:pt idx="52" formatCode="_(* #,##0_);_(* \(#,##0\);_(* &quot;-&quot;??_);_(@_)">
                  <c:v>12852.677419354839</c:v>
                </c:pt>
                <c:pt idx="53" formatCode="_(* #,##0_);_(* \(#,##0\);_(* &quot;-&quot;??_);_(@_)">
                  <c:v>12662.833333333334</c:v>
                </c:pt>
                <c:pt idx="54" formatCode="_(* #,##0_);_(* \(#,##0\);_(* &quot;-&quot;??_);_(@_)">
                  <c:v>11765.41935483871</c:v>
                </c:pt>
                <c:pt idx="55" formatCode="_(* #,##0_);_(* \(#,##0\);_(* &quot;-&quot;??_);_(@_)">
                  <c:v>10582.571428571429</c:v>
                </c:pt>
                <c:pt idx="56" formatCode="_(* #,##0_);_(* \(#,##0\);_(* &quot;-&quot;??_);_(@_)">
                  <c:v>11196.066666666668</c:v>
                </c:pt>
                <c:pt idx="57" formatCode="_(* #,##0_);_(* \(#,##0\);_(* &quot;-&quot;??_);_(@_)">
                  <c:v>11168.483870967742</c:v>
                </c:pt>
                <c:pt idx="58" formatCode="_(* #,##0_);_(* \(#,##0\);_(* &quot;-&quot;??_);_(@_)">
                  <c:v>10101.827586206897</c:v>
                </c:pt>
                <c:pt idx="59" formatCode="_(* #,##0_);_(* \(#,##0\);_(* &quot;-&quot;??_);_(@_)">
                  <c:v>11210.483870967742</c:v>
                </c:pt>
                <c:pt idx="60" formatCode="_(* #,##0_);_(* \(#,##0\);_(* &quot;-&quot;??_);_(@_)">
                  <c:v>10290.806451612903</c:v>
                </c:pt>
                <c:pt idx="61" formatCode="_(* #,##0_);_(* \(#,##0\);_(* &quot;-&quot;??_);_(@_)">
                  <c:v>9922.5357142857138</c:v>
                </c:pt>
                <c:pt idx="62" formatCode="_(* #,##0_);_(* \(#,##0\);_(* &quot;-&quot;??_);_(@_)">
                  <c:v>9821.6129032258068</c:v>
                </c:pt>
                <c:pt idx="63" formatCode="_(* #,##0_);_(* \(#,##0\);_(* &quot;-&quot;??_);_(@_)">
                  <c:v>9744.6333333333332</c:v>
                </c:pt>
                <c:pt idx="64" formatCode="_(* #,##0_);_(* \(#,##0\);_(* &quot;-&quot;??_);_(@_)">
                  <c:v>8985</c:v>
                </c:pt>
                <c:pt idx="65" formatCode="_(* #,##0_);_(* \(#,##0\);_(* &quot;-&quot;??_);_(@_)">
                  <c:v>9102.8333333333339</c:v>
                </c:pt>
                <c:pt idx="66" formatCode="_(* #,##0_);_(* \(#,##0\);_(* &quot;-&quot;??_);_(@_)">
                  <c:v>8705.4838709677424</c:v>
                </c:pt>
                <c:pt idx="67" formatCode="_(* #,##0_);_(* \(#,##0\);_(* &quot;-&quot;??_);_(@_)">
                  <c:v>7883.7096774193551</c:v>
                </c:pt>
                <c:pt idx="68" formatCode="_(* #,##0_);_(* \(#,##0\);_(* &quot;-&quot;??_);_(@_)">
                  <c:v>8420.0333333333328</c:v>
                </c:pt>
                <c:pt idx="69" formatCode="_(* #,##0_);_(* \(#,##0\);_(* &quot;-&quot;??_);_(@_)">
                  <c:v>7851.5714285714284</c:v>
                </c:pt>
                <c:pt idx="70" formatCode="_(* #,##0_);_(* \(#,##0\);_(* &quot;-&quot;??_);_(@_)">
                  <c:v>8224.8333333333339</c:v>
                </c:pt>
                <c:pt idx="71" formatCode="_(* #,##0_);_(* \(#,##0\);_(* &quot;-&quot;??_);_(@_)">
                  <c:v>8269.9032258064508</c:v>
                </c:pt>
                <c:pt idx="72" formatCode="_(* #,##0_);_(* \(#,##0\);_(* &quot;-&quot;??_);_(@_)">
                  <c:v>7382.7741935483873</c:v>
                </c:pt>
                <c:pt idx="73" formatCode="_(* #,##0_);_(* \(#,##0\);_(* &quot;-&quot;??_);_(@_)">
                  <c:v>7760.6428571428569</c:v>
                </c:pt>
                <c:pt idx="74" formatCode="_(* #,##0_);_(* \(#,##0\);_(* &quot;-&quot;??_);_(@_)">
                  <c:v>7825.4838709677415</c:v>
                </c:pt>
                <c:pt idx="75" formatCode="_(* #,##0_);_(* \(#,##0\);_(* &quot;-&quot;??_);_(@_)">
                  <c:v>6908.9333333333334</c:v>
                </c:pt>
                <c:pt idx="76" formatCode="_(* #,##0_);_(* \(#,##0\);_(* &quot;-&quot;??_);_(@_)">
                  <c:v>8256.0645161290322</c:v>
                </c:pt>
                <c:pt idx="77" formatCode="_(* #,##0_);_(* \(#,##0\);_(* &quot;-&quot;??_);_(@_)">
                  <c:v>7697.4444444444443</c:v>
                </c:pt>
                <c:pt idx="78" formatCode="_(* #,##0_);_(* \(#,##0\);_(* &quot;-&quot;??_);_(@_)">
                  <c:v>8570.1612903225814</c:v>
                </c:pt>
                <c:pt idx="79" formatCode="_(* #,##0_);_(* \(#,##0\);_(* &quot;-&quot;??_);_(@_)">
                  <c:v>8785.6129032258068</c:v>
                </c:pt>
                <c:pt idx="80" formatCode="_(* #,##0_);_(* \(#,##0\);_(* &quot;-&quot;??_);_(@_)">
                  <c:v>8520.9333333333325</c:v>
                </c:pt>
                <c:pt idx="81" formatCode="_(* #,##0_);_(* \(#,##0\);_(* &quot;-&quot;??_);_(@_)">
                  <c:v>8327.677419354839</c:v>
                </c:pt>
                <c:pt idx="82" formatCode="_(* #,##0_);_(* \(#,##0\);_(* &quot;-&quot;??_);_(@_)">
                  <c:v>7950.2068965517237</c:v>
                </c:pt>
                <c:pt idx="83" formatCode="_(* #,##0_);_(* \(#,##0\);_(* &quot;-&quot;??_);_(@_)">
                  <c:v>8080.3548387096771</c:v>
                </c:pt>
                <c:pt idx="84" formatCode="_(* #,##0_);_(* \(#,##0\);_(* &quot;-&quot;??_);_(@_)">
                  <c:v>8117.8387096774195</c:v>
                </c:pt>
                <c:pt idx="85" formatCode="_(* #,##0_);_(* \(#,##0\);_(* &quot;-&quot;??_);_(@_)">
                  <c:v>6916.3571428571431</c:v>
                </c:pt>
                <c:pt idx="86" formatCode="_(* #,##0_);_(* \(#,##0\);_(* &quot;-&quot;??_);_(@_)">
                  <c:v>7207.5806451612907</c:v>
                </c:pt>
                <c:pt idx="87" formatCode="_(* #,##0_);_(* \(#,##0\);_(* &quot;-&quot;??_);_(@_)">
                  <c:v>7318.0666666666666</c:v>
                </c:pt>
                <c:pt idx="88" formatCode="_(* #,##0_);_(* \(#,##0\);_(* &quot;-&quot;??_);_(@_)">
                  <c:v>7153.272727272727</c:v>
                </c:pt>
                <c:pt idx="89" formatCode="_(* #,##0_);_(* \(#,##0\);_(* &quot;-&quot;??_);_(@_)">
                  <c:v>7073.4</c:v>
                </c:pt>
                <c:pt idx="90" formatCode="_(* #,##0_);_(* \(#,##0\);_(* &quot;-&quot;??_);_(@_)">
                  <c:v>7027.3666666666668</c:v>
                </c:pt>
                <c:pt idx="91" formatCode="_(* #,##0_);_(* \(#,##0\);_(* &quot;-&quot;??_);_(@_)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8-4867-8FE0-DCBF26041D6E}"/>
            </c:ext>
          </c:extLst>
        </c:ser>
        <c:ser>
          <c:idx val="6"/>
          <c:order val="6"/>
          <c:tx>
            <c:strRef>
              <c:f>Sheet1!$R$10:$S$10</c:f>
              <c:strCache>
                <c:ptCount val="2"/>
                <c:pt idx="0">
                  <c:v>WR678</c:v>
                </c:pt>
                <c:pt idx="1">
                  <c:v>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Sheet1!$T$10:$DG$10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8921.9333333333325</c:v>
                </c:pt>
                <c:pt idx="52" formatCode="_(* #,##0_);_(* \(#,##0\);_(* &quot;-&quot;??_);_(@_)">
                  <c:v>13616.733333333334</c:v>
                </c:pt>
                <c:pt idx="53" formatCode="_(* #,##0_);_(* \(#,##0\);_(* &quot;-&quot;??_);_(@_)">
                  <c:v>14216.2</c:v>
                </c:pt>
                <c:pt idx="54" formatCode="_(* #,##0_);_(* \(#,##0\);_(* &quot;-&quot;??_);_(@_)">
                  <c:v>14000.903225806451</c:v>
                </c:pt>
                <c:pt idx="55" formatCode="_(* #,##0_);_(* \(#,##0\);_(* &quot;-&quot;??_);_(@_)">
                  <c:v>14360.612903225807</c:v>
                </c:pt>
                <c:pt idx="56" formatCode="_(* #,##0_);_(* \(#,##0\);_(* &quot;-&quot;??_);_(@_)">
                  <c:v>15119.033333333333</c:v>
                </c:pt>
                <c:pt idx="57" formatCode="_(* #,##0_);_(* \(#,##0\);_(* &quot;-&quot;??_);_(@_)">
                  <c:v>15280.032258064517</c:v>
                </c:pt>
                <c:pt idx="58" formatCode="_(* #,##0_);_(* \(#,##0\);_(* &quot;-&quot;??_);_(@_)">
                  <c:v>14525.689655172413</c:v>
                </c:pt>
                <c:pt idx="59" formatCode="_(* #,##0_);_(* \(#,##0\);_(* &quot;-&quot;??_);_(@_)">
                  <c:v>15903.483870967742</c:v>
                </c:pt>
                <c:pt idx="60" formatCode="_(* #,##0_);_(* \(#,##0\);_(* &quot;-&quot;??_);_(@_)">
                  <c:v>15545.612903225807</c:v>
                </c:pt>
                <c:pt idx="61" formatCode="_(* #,##0_);_(* \(#,##0\);_(* &quot;-&quot;??_);_(@_)">
                  <c:v>15783.285714285714</c:v>
                </c:pt>
                <c:pt idx="62" formatCode="_(* #,##0_);_(* \(#,##0\);_(* &quot;-&quot;??_);_(@_)">
                  <c:v>15310.225806451614</c:v>
                </c:pt>
                <c:pt idx="63" formatCode="_(* #,##0_);_(* \(#,##0\);_(* &quot;-&quot;??_);_(@_)">
                  <c:v>15783.1</c:v>
                </c:pt>
                <c:pt idx="64" formatCode="_(* #,##0_);_(* \(#,##0\);_(* &quot;-&quot;??_);_(@_)">
                  <c:v>15276.193548387097</c:v>
                </c:pt>
                <c:pt idx="65" formatCode="_(* #,##0_);_(* \(#,##0\);_(* &quot;-&quot;??_);_(@_)">
                  <c:v>15614.033333333333</c:v>
                </c:pt>
                <c:pt idx="66" formatCode="_(* #,##0_);_(* \(#,##0\);_(* &quot;-&quot;??_);_(@_)">
                  <c:v>15952.032258064517</c:v>
                </c:pt>
                <c:pt idx="67" formatCode="_(* #,##0_);_(* \(#,##0\);_(* &quot;-&quot;??_);_(@_)">
                  <c:v>15291.387096774193</c:v>
                </c:pt>
                <c:pt idx="68" formatCode="_(* #,##0_);_(* \(#,##0\);_(* &quot;-&quot;??_);_(@_)">
                  <c:v>15567.866666666667</c:v>
                </c:pt>
                <c:pt idx="69" formatCode="_(* #,##0_);_(* \(#,##0\);_(* &quot;-&quot;??_);_(@_)">
                  <c:v>14834.785714285714</c:v>
                </c:pt>
                <c:pt idx="70" formatCode="_(* #,##0_);_(* \(#,##0\);_(* &quot;-&quot;??_);_(@_)">
                  <c:v>15312.1</c:v>
                </c:pt>
                <c:pt idx="71" formatCode="_(* #,##0_);_(* \(#,##0\);_(* &quot;-&quot;??_);_(@_)">
                  <c:v>15441.677419354839</c:v>
                </c:pt>
                <c:pt idx="72" formatCode="_(* #,##0_);_(* \(#,##0\);_(* &quot;-&quot;??_);_(@_)">
                  <c:v>14435.258064516129</c:v>
                </c:pt>
                <c:pt idx="73" formatCode="_(* #,##0_);_(* \(#,##0\);_(* &quot;-&quot;??_);_(@_)">
                  <c:v>14479.857142857143</c:v>
                </c:pt>
                <c:pt idx="74" formatCode="_(* #,##0_);_(* \(#,##0\);_(* &quot;-&quot;??_);_(@_)">
                  <c:v>14513.741935483871</c:v>
                </c:pt>
                <c:pt idx="75" formatCode="_(* #,##0_);_(* \(#,##0\);_(* &quot;-&quot;??_);_(@_)">
                  <c:v>13535.8</c:v>
                </c:pt>
                <c:pt idx="76" formatCode="_(* #,##0_);_(* \(#,##0\);_(* &quot;-&quot;??_);_(@_)">
                  <c:v>15405.161290322581</c:v>
                </c:pt>
                <c:pt idx="77" formatCode="_(* #,##0_);_(* \(#,##0\);_(* &quot;-&quot;??_);_(@_)">
                  <c:v>15972.966666666667</c:v>
                </c:pt>
                <c:pt idx="78" formatCode="_(* #,##0_);_(* \(#,##0\);_(* &quot;-&quot;??_);_(@_)">
                  <c:v>15147.387096774193</c:v>
                </c:pt>
                <c:pt idx="79" formatCode="_(* #,##0_);_(* \(#,##0\);_(* &quot;-&quot;??_);_(@_)">
                  <c:v>15648.709677419354</c:v>
                </c:pt>
                <c:pt idx="80" formatCode="_(* #,##0_);_(* \(#,##0\);_(* &quot;-&quot;??_);_(@_)">
                  <c:v>15338.433333333332</c:v>
                </c:pt>
                <c:pt idx="81" formatCode="_(* #,##0_);_(* \(#,##0\);_(* &quot;-&quot;??_);_(@_)">
                  <c:v>14448.129032258064</c:v>
                </c:pt>
                <c:pt idx="82" formatCode="_(* #,##0_);_(* \(#,##0\);_(* &quot;-&quot;??_);_(@_)">
                  <c:v>14996.103448275862</c:v>
                </c:pt>
                <c:pt idx="83" formatCode="_(* #,##0_);_(* \(#,##0\);_(* &quot;-&quot;??_);_(@_)">
                  <c:v>15505.387096774193</c:v>
                </c:pt>
                <c:pt idx="84" formatCode="_(* #,##0_);_(* \(#,##0\);_(* &quot;-&quot;??_);_(@_)">
                  <c:v>15785.483870967742</c:v>
                </c:pt>
                <c:pt idx="85" formatCode="_(* #,##0_);_(* \(#,##0\);_(* &quot;-&quot;??_);_(@_)">
                  <c:v>15048.071428571429</c:v>
                </c:pt>
                <c:pt idx="86" formatCode="_(* #,##0_);_(* \(#,##0\);_(* &quot;-&quot;??_);_(@_)">
                  <c:v>14716.806451612903</c:v>
                </c:pt>
                <c:pt idx="87" formatCode="_(* #,##0_);_(* \(#,##0\);_(* &quot;-&quot;??_);_(@_)">
                  <c:v>14782.333333333334</c:v>
                </c:pt>
                <c:pt idx="88" formatCode="_(* #,##0_);_(* \(#,##0\);_(* &quot;-&quot;??_);_(@_)">
                  <c:v>14974.5</c:v>
                </c:pt>
                <c:pt idx="89" formatCode="_(* #,##0_);_(* \(#,##0\);_(* &quot;-&quot;??_);_(@_)">
                  <c:v>14986.033333333333</c:v>
                </c:pt>
                <c:pt idx="90" formatCode="_(* #,##0_);_(* \(#,##0\);_(* &quot;-&quot;??_);_(@_)">
                  <c:v>13528.103448275862</c:v>
                </c:pt>
                <c:pt idx="91" formatCode="_(* #,##0_);_(* \(#,##0\);_(* &quot;-&quot;??_);_(@_)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8-4867-8FE0-DCBF26041D6E}"/>
            </c:ext>
          </c:extLst>
        </c:ser>
        <c:ser>
          <c:idx val="7"/>
          <c:order val="7"/>
          <c:tx>
            <c:strRef>
              <c:f>Sheet1!$R$11:$S$11</c:f>
              <c:strCache>
                <c:ptCount val="2"/>
                <c:pt idx="0">
                  <c:v>WR678</c:v>
                </c:pt>
                <c:pt idx="1">
                  <c:v>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Sheet1!$T$11:$DG$11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6867.2413793103451</c:v>
                </c:pt>
                <c:pt idx="73" formatCode="_(* #,##0_);_(* \(#,##0\);_(* &quot;-&quot;??_);_(@_)">
                  <c:v>7920.3928571428569</c:v>
                </c:pt>
                <c:pt idx="74" formatCode="_(* #,##0_);_(* \(#,##0\);_(* &quot;-&quot;??_);_(@_)">
                  <c:v>7875.1612903225805</c:v>
                </c:pt>
                <c:pt idx="75" formatCode="_(* #,##0_);_(* \(#,##0\);_(* &quot;-&quot;??_);_(@_)">
                  <c:v>7385.833333333333</c:v>
                </c:pt>
                <c:pt idx="76" formatCode="_(* #,##0_);_(* \(#,##0\);_(* &quot;-&quot;??_);_(@_)">
                  <c:v>7921.6451612903229</c:v>
                </c:pt>
                <c:pt idx="77" formatCode="_(* #,##0_);_(* \(#,##0\);_(* &quot;-&quot;??_);_(@_)">
                  <c:v>9784.8666666666668</c:v>
                </c:pt>
                <c:pt idx="78" formatCode="_(* #,##0_);_(* \(#,##0\);_(* &quot;-&quot;??_);_(@_)">
                  <c:v>10636.258064516129</c:v>
                </c:pt>
                <c:pt idx="79" formatCode="_(* #,##0_);_(* \(#,##0\);_(* &quot;-&quot;??_);_(@_)">
                  <c:v>10302.645161290322</c:v>
                </c:pt>
                <c:pt idx="80" formatCode="_(* #,##0_);_(* \(#,##0\);_(* &quot;-&quot;??_);_(@_)">
                  <c:v>9814</c:v>
                </c:pt>
                <c:pt idx="81" formatCode="_(* #,##0_);_(* \(#,##0\);_(* &quot;-&quot;??_);_(@_)">
                  <c:v>9508.3870967741932</c:v>
                </c:pt>
                <c:pt idx="82" formatCode="_(* #,##0_);_(* \(#,##0\);_(* &quot;-&quot;??_);_(@_)">
                  <c:v>9139.3448275862065</c:v>
                </c:pt>
                <c:pt idx="83" formatCode="_(* #,##0_);_(* \(#,##0\);_(* &quot;-&quot;??_);_(@_)">
                  <c:v>9236.967741935483</c:v>
                </c:pt>
                <c:pt idx="84" formatCode="_(* #,##0_);_(* \(#,##0\);_(* &quot;-&quot;??_);_(@_)">
                  <c:v>8744.322580645161</c:v>
                </c:pt>
                <c:pt idx="85" formatCode="_(* #,##0_);_(* \(#,##0\);_(* &quot;-&quot;??_);_(@_)">
                  <c:v>8365.5357142857138</c:v>
                </c:pt>
                <c:pt idx="86" formatCode="_(* #,##0_);_(* \(#,##0\);_(* &quot;-&quot;??_);_(@_)">
                  <c:v>8059.6129032258068</c:v>
                </c:pt>
                <c:pt idx="87" formatCode="_(* #,##0_);_(* \(#,##0\);_(* &quot;-&quot;??_);_(@_)">
                  <c:v>8186.833333333333</c:v>
                </c:pt>
                <c:pt idx="88" formatCode="_(* #,##0_);_(* \(#,##0\);_(* &quot;-&quot;??_);_(@_)">
                  <c:v>8172.272727272727</c:v>
                </c:pt>
                <c:pt idx="89" formatCode="_(* #,##0_);_(* \(#,##0\);_(* &quot;-&quot;??_);_(@_)">
                  <c:v>8112.7</c:v>
                </c:pt>
                <c:pt idx="90" formatCode="_(* #,##0_);_(* \(#,##0\);_(* &quot;-&quot;??_);_(@_)">
                  <c:v>7347.6551724137935</c:v>
                </c:pt>
                <c:pt idx="91" formatCode="_(* #,##0_);_(* \(#,##0\);_(* &quot;-&quot;??_);_(@_)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8-4867-8FE0-DCBF26041D6E}"/>
            </c:ext>
          </c:extLst>
        </c:ser>
        <c:ser>
          <c:idx val="8"/>
          <c:order val="8"/>
          <c:tx>
            <c:strRef>
              <c:f>Sheet1!$R$12:$S$12</c:f>
              <c:strCache>
                <c:ptCount val="2"/>
                <c:pt idx="0">
                  <c:v>WR678</c:v>
                </c:pt>
                <c:pt idx="1">
                  <c:v>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Sheet1!$T$12:$DG$12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8189</c:v>
                </c:pt>
                <c:pt idx="56" formatCode="_(* #,##0_);_(* \(#,##0\);_(* &quot;-&quot;??_);_(@_)">
                  <c:v>9865.9</c:v>
                </c:pt>
                <c:pt idx="57" formatCode="_(* #,##0_);_(* \(#,##0\);_(* &quot;-&quot;??_);_(@_)">
                  <c:v>11767.483870967742</c:v>
                </c:pt>
                <c:pt idx="58" formatCode="_(* #,##0_);_(* \(#,##0\);_(* &quot;-&quot;??_);_(@_)">
                  <c:v>11417.103448275862</c:v>
                </c:pt>
                <c:pt idx="59" formatCode="_(* #,##0_);_(* \(#,##0\);_(* &quot;-&quot;??_);_(@_)">
                  <c:v>12952.387096774193</c:v>
                </c:pt>
                <c:pt idx="60" formatCode="_(* #,##0_);_(* \(#,##0\);_(* &quot;-&quot;??_);_(@_)">
                  <c:v>13742.774193548386</c:v>
                </c:pt>
                <c:pt idx="61" formatCode="_(* #,##0_);_(* \(#,##0\);_(* &quot;-&quot;??_);_(@_)">
                  <c:v>13755.607142857143</c:v>
                </c:pt>
                <c:pt idx="62" formatCode="_(* #,##0_);_(* \(#,##0\);_(* &quot;-&quot;??_);_(@_)">
                  <c:v>14384.322580645161</c:v>
                </c:pt>
                <c:pt idx="63" formatCode="_(* #,##0_);_(* \(#,##0\);_(* &quot;-&quot;??_);_(@_)">
                  <c:v>14748.066666666668</c:v>
                </c:pt>
                <c:pt idx="64" formatCode="_(* #,##0_);_(* \(#,##0\);_(* &quot;-&quot;??_);_(@_)">
                  <c:v>14803.806451612903</c:v>
                </c:pt>
                <c:pt idx="65" formatCode="_(* #,##0_);_(* \(#,##0\);_(* &quot;-&quot;??_);_(@_)">
                  <c:v>14604.333333333334</c:v>
                </c:pt>
                <c:pt idx="66" formatCode="_(* #,##0_);_(* \(#,##0\);_(* &quot;-&quot;??_);_(@_)">
                  <c:v>14759.129032258064</c:v>
                </c:pt>
                <c:pt idx="67" formatCode="_(* #,##0_);_(* \(#,##0\);_(* &quot;-&quot;??_);_(@_)">
                  <c:v>15206.258064516129</c:v>
                </c:pt>
                <c:pt idx="68" formatCode="_(* #,##0_);_(* \(#,##0\);_(* &quot;-&quot;??_);_(@_)">
                  <c:v>16429.333333333332</c:v>
                </c:pt>
                <c:pt idx="69" formatCode="_(* #,##0_);_(* \(#,##0\);_(* &quot;-&quot;??_);_(@_)">
                  <c:v>15120.25</c:v>
                </c:pt>
                <c:pt idx="70" formatCode="_(* #,##0_);_(* \(#,##0\);_(* &quot;-&quot;??_);_(@_)">
                  <c:v>15455</c:v>
                </c:pt>
                <c:pt idx="71" formatCode="_(* #,##0_);_(* \(#,##0\);_(* &quot;-&quot;??_);_(@_)">
                  <c:v>14775.451612903225</c:v>
                </c:pt>
                <c:pt idx="72" formatCode="_(* #,##0_);_(* \(#,##0\);_(* &quot;-&quot;??_);_(@_)">
                  <c:v>14084.870967741936</c:v>
                </c:pt>
                <c:pt idx="73" formatCode="_(* #,##0_);_(* \(#,##0\);_(* &quot;-&quot;??_);_(@_)">
                  <c:v>13777.75</c:v>
                </c:pt>
                <c:pt idx="74" formatCode="_(* #,##0_);_(* \(#,##0\);_(* &quot;-&quot;??_);_(@_)">
                  <c:v>13520.225806451614</c:v>
                </c:pt>
                <c:pt idx="75" formatCode="_(* #,##0_);_(* \(#,##0\);_(* &quot;-&quot;??_);_(@_)">
                  <c:v>11776.533333333333</c:v>
                </c:pt>
                <c:pt idx="76" formatCode="_(* #,##0_);_(* \(#,##0\);_(* &quot;-&quot;??_);_(@_)">
                  <c:v>14652.935483870968</c:v>
                </c:pt>
                <c:pt idx="77" formatCode="_(* #,##0_);_(* \(#,##0\);_(* &quot;-&quot;??_);_(@_)">
                  <c:v>15159.9</c:v>
                </c:pt>
                <c:pt idx="78" formatCode="_(* #,##0_);_(* \(#,##0\);_(* &quot;-&quot;??_);_(@_)">
                  <c:v>14233.322580645161</c:v>
                </c:pt>
                <c:pt idx="79" formatCode="_(* #,##0_);_(* \(#,##0\);_(* &quot;-&quot;??_);_(@_)">
                  <c:v>14056.548387096775</c:v>
                </c:pt>
                <c:pt idx="80" formatCode="_(* #,##0_);_(* \(#,##0\);_(* &quot;-&quot;??_);_(@_)">
                  <c:v>14037.966666666667</c:v>
                </c:pt>
                <c:pt idx="81" formatCode="_(* #,##0_);_(* \(#,##0\);_(* &quot;-&quot;??_);_(@_)">
                  <c:v>13572.935483870968</c:v>
                </c:pt>
                <c:pt idx="82" formatCode="_(* #,##0_);_(* \(#,##0\);_(* &quot;-&quot;??_);_(@_)">
                  <c:v>13100.206896551725</c:v>
                </c:pt>
                <c:pt idx="83" formatCode="_(* #,##0_);_(* \(#,##0\);_(* &quot;-&quot;??_);_(@_)">
                  <c:v>13073.193548387097</c:v>
                </c:pt>
                <c:pt idx="84" formatCode="_(* #,##0_);_(* \(#,##0\);_(* &quot;-&quot;??_);_(@_)">
                  <c:v>13107</c:v>
                </c:pt>
                <c:pt idx="85" formatCode="_(* #,##0_);_(* \(#,##0\);_(* &quot;-&quot;??_);_(@_)">
                  <c:v>12661.035714285714</c:v>
                </c:pt>
                <c:pt idx="86" formatCode="_(* #,##0_);_(* \(#,##0\);_(* &quot;-&quot;??_);_(@_)">
                  <c:v>12464.387096774193</c:v>
                </c:pt>
                <c:pt idx="87" formatCode="_(* #,##0_);_(* \(#,##0\);_(* &quot;-&quot;??_);_(@_)">
                  <c:v>12603.566666666668</c:v>
                </c:pt>
                <c:pt idx="88" formatCode="_(* #,##0_);_(* \(#,##0\);_(* &quot;-&quot;??_);_(@_)">
                  <c:v>12446.818181818182</c:v>
                </c:pt>
                <c:pt idx="89" formatCode="_(* #,##0_);_(* \(#,##0\);_(* &quot;-&quot;??_);_(@_)">
                  <c:v>12573.966666666667</c:v>
                </c:pt>
                <c:pt idx="90" formatCode="_(* #,##0_);_(* \(#,##0\);_(* &quot;-&quot;??_);_(@_)">
                  <c:v>11420.137931034482</c:v>
                </c:pt>
                <c:pt idx="91" formatCode="_(* #,##0_);_(* \(#,##0\);_(* &quot;-&quot;??_);_(@_)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8-4867-8FE0-DCBF26041D6E}"/>
            </c:ext>
          </c:extLst>
        </c:ser>
        <c:ser>
          <c:idx val="9"/>
          <c:order val="9"/>
          <c:tx>
            <c:strRef>
              <c:f>Sheet1!$R$13:$S$13</c:f>
              <c:strCache>
                <c:ptCount val="2"/>
                <c:pt idx="0">
                  <c:v>WR678</c:v>
                </c:pt>
                <c:pt idx="1">
                  <c:v>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Sheet1!$T$13:$DG$13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77" formatCode="_(* #,##0_);_(* \(#,##0\);_(* &quot;-&quot;??_);_(@_)">
                  <c:v>6627.666666666667</c:v>
                </c:pt>
                <c:pt idx="78" formatCode="_(* #,##0_);_(* \(#,##0\);_(* &quot;-&quot;??_);_(@_)">
                  <c:v>10525.032258064517</c:v>
                </c:pt>
                <c:pt idx="79" formatCode="_(* #,##0_);_(* \(#,##0\);_(* &quot;-&quot;??_);_(@_)">
                  <c:v>11985.709677419354</c:v>
                </c:pt>
                <c:pt idx="80" formatCode="_(* #,##0_);_(* \(#,##0\);_(* &quot;-&quot;??_);_(@_)">
                  <c:v>12452.366666666667</c:v>
                </c:pt>
                <c:pt idx="81" formatCode="_(* #,##0_);_(* \(#,##0\);_(* &quot;-&quot;??_);_(@_)">
                  <c:v>12375.064516129032</c:v>
                </c:pt>
                <c:pt idx="82" formatCode="_(* #,##0_);_(* \(#,##0\);_(* &quot;-&quot;??_);_(@_)">
                  <c:v>12009.379310344828</c:v>
                </c:pt>
                <c:pt idx="83" formatCode="_(* #,##0_);_(* \(#,##0\);_(* &quot;-&quot;??_);_(@_)">
                  <c:v>12050.516129032258</c:v>
                </c:pt>
                <c:pt idx="84" formatCode="_(* #,##0_);_(* \(#,##0\);_(* &quot;-&quot;??_);_(@_)">
                  <c:v>12405.935483870968</c:v>
                </c:pt>
                <c:pt idx="85" formatCode="_(* #,##0_);_(* \(#,##0\);_(* &quot;-&quot;??_);_(@_)">
                  <c:v>11667</c:v>
                </c:pt>
                <c:pt idx="86" formatCode="_(* #,##0_);_(* \(#,##0\);_(* &quot;-&quot;??_);_(@_)">
                  <c:v>11027.258064516129</c:v>
                </c:pt>
                <c:pt idx="87" formatCode="_(* #,##0_);_(* \(#,##0\);_(* &quot;-&quot;??_);_(@_)">
                  <c:v>11232.9</c:v>
                </c:pt>
                <c:pt idx="88" formatCode="_(* #,##0_);_(* \(#,##0\);_(* &quot;-&quot;??_);_(@_)">
                  <c:v>11195.59090909091</c:v>
                </c:pt>
                <c:pt idx="89" formatCode="_(* #,##0_);_(* \(#,##0\);_(* &quot;-&quot;??_);_(@_)">
                  <c:v>10997.266666666666</c:v>
                </c:pt>
                <c:pt idx="90" formatCode="_(* #,##0_);_(* \(#,##0\);_(* &quot;-&quot;??_);_(@_)">
                  <c:v>9960.5172413793098</c:v>
                </c:pt>
                <c:pt idx="91" formatCode="_(* #,##0_);_(* \(#,##0\);_(* &quot;-&quot;??_);_(@_)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8-4867-8FE0-DCBF26041D6E}"/>
            </c:ext>
          </c:extLst>
        </c:ser>
        <c:ser>
          <c:idx val="10"/>
          <c:order val="10"/>
          <c:tx>
            <c:strRef>
              <c:f>Sheet1!$R$14:$S$14</c:f>
              <c:strCache>
                <c:ptCount val="2"/>
                <c:pt idx="0">
                  <c:v>WR759</c:v>
                </c:pt>
                <c:pt idx="1">
                  <c:v>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Sheet1!$T$14:$DG$14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8565.8799999999992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60" formatCode="_(* #,##0_);_(* \(#,##0\);_(* &quot;-&quot;??_);_(@_)">
                  <c:v>4310.2666666666664</c:v>
                </c:pt>
                <c:pt idx="61" formatCode="_(* #,##0_);_(* \(#,##0\);_(* &quot;-&quot;??_);_(@_)">
                  <c:v>738</c:v>
                </c:pt>
                <c:pt idx="62" formatCode="_(* #,##0_);_(* \(#,##0\);_(* &quot;-&quot;??_);_(@_)">
                  <c:v>4835.5357142857147</c:v>
                </c:pt>
                <c:pt idx="63" formatCode="_(* #,##0_);_(* \(#,##0\);_(* &quot;-&quot;??_);_(@_)">
                  <c:v>7325.2</c:v>
                </c:pt>
                <c:pt idx="64" formatCode="_(* #,##0_);_(* \(#,##0\);_(* &quot;-&quot;??_);_(@_)">
                  <c:v>6997.4193548387093</c:v>
                </c:pt>
                <c:pt idx="65" formatCode="_(* #,##0_);_(* \(#,##0\);_(* &quot;-&quot;??_);_(@_)">
                  <c:v>6976.4</c:v>
                </c:pt>
                <c:pt idx="66" formatCode="_(* #,##0_);_(* \(#,##0\);_(* &quot;-&quot;??_);_(@_)">
                  <c:v>7303.9354838709678</c:v>
                </c:pt>
                <c:pt idx="67" formatCode="_(* #,##0_);_(* \(#,##0\);_(* &quot;-&quot;??_);_(@_)">
                  <c:v>5497.5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0</c:v>
                </c:pt>
                <c:pt idx="76" formatCode="_(* #,##0_);_(* \(#,##0\);_(* &quot;-&quot;??_);_(@_)">
                  <c:v>0</c:v>
                </c:pt>
                <c:pt idx="77" formatCode="_(* #,##0_);_(* \(#,##0\);_(* &quot;-&quot;??_);_(@_)">
                  <c:v>0</c:v>
                </c:pt>
                <c:pt idx="78" formatCode="_(* #,##0_);_(* \(#,##0\);_(* &quot;-&quot;??_);_(@_)">
                  <c:v>0</c:v>
                </c:pt>
                <c:pt idx="79" formatCode="_(* #,##0_);_(* \(#,##0\);_(* &quot;-&quot;??_);_(@_)">
                  <c:v>0</c:v>
                </c:pt>
                <c:pt idx="84" formatCode="_(* #,##0_);_(* \(#,##0\);_(* &quot;-&quot;??_);_(@_)">
                  <c:v>0</c:v>
                </c:pt>
                <c:pt idx="85" formatCode="_(* #,##0_);_(* \(#,##0\);_(* &quot;-&quot;??_);_(@_)">
                  <c:v>0</c:v>
                </c:pt>
                <c:pt idx="86" formatCode="_(* #,##0_);_(* \(#,##0\);_(* &quot;-&quot;??_);_(@_)">
                  <c:v>0</c:v>
                </c:pt>
                <c:pt idx="87" formatCode="_(* #,##0_);_(* \(#,##0\);_(* &quot;-&quot;??_);_(@_)">
                  <c:v>0</c:v>
                </c:pt>
                <c:pt idx="88" formatCode="_(* #,##0_);_(* \(#,##0\);_(* &quot;-&quot;??_);_(@_)">
                  <c:v>0</c:v>
                </c:pt>
                <c:pt idx="89" formatCode="_(* #,##0_);_(* \(#,##0\);_(* &quot;-&quot;??_);_(@_)">
                  <c:v>0</c:v>
                </c:pt>
                <c:pt idx="90" formatCode="_(* #,##0_);_(* \(#,##0\);_(* &quot;-&quot;??_);_(@_)">
                  <c:v>0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48-4867-8FE0-DCBF26041D6E}"/>
            </c:ext>
          </c:extLst>
        </c:ser>
        <c:ser>
          <c:idx val="11"/>
          <c:order val="11"/>
          <c:tx>
            <c:strRef>
              <c:f>Sheet1!$R$15:$S$15</c:f>
              <c:strCache>
                <c:ptCount val="2"/>
                <c:pt idx="0">
                  <c:v>WR759</c:v>
                </c:pt>
                <c:pt idx="1">
                  <c:v>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Sheet1!$T$15:$DG$15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11616.25</c:v>
                </c:pt>
                <c:pt idx="37" formatCode="_(* #,##0_);_(* \(#,##0\);_(* &quot;-&quot;??_);_(@_)">
                  <c:v>12999.25</c:v>
                </c:pt>
                <c:pt idx="38" formatCode="_(* #,##0_);_(* \(#,##0\);_(* &quot;-&quot;??_);_(@_)">
                  <c:v>14147.064516129032</c:v>
                </c:pt>
                <c:pt idx="39" formatCode="_(* #,##0_);_(* \(#,##0\);_(* &quot;-&quot;??_);_(@_)">
                  <c:v>13465.4</c:v>
                </c:pt>
                <c:pt idx="40" formatCode="_(* #,##0_);_(* \(#,##0\);_(* &quot;-&quot;??_);_(@_)">
                  <c:v>12616.758620689656</c:v>
                </c:pt>
                <c:pt idx="41" formatCode="_(* #,##0_);_(* \(#,##0\);_(* &quot;-&quot;??_);_(@_)">
                  <c:v>13383.133333333333</c:v>
                </c:pt>
                <c:pt idx="42" formatCode="_(* #,##0_);_(* \(#,##0\);_(* &quot;-&quot;??_);_(@_)">
                  <c:v>12302.260869565218</c:v>
                </c:pt>
                <c:pt idx="43" formatCode="_(* #,##0_);_(* \(#,##0\);_(* &quot;-&quot;??_);_(@_)">
                  <c:v>12680.225806451614</c:v>
                </c:pt>
                <c:pt idx="44" formatCode="_(* #,##0_);_(* \(#,##0\);_(* &quot;-&quot;??_);_(@_)">
                  <c:v>11413.366666666667</c:v>
                </c:pt>
                <c:pt idx="45" formatCode="_(* #,##0_);_(* \(#,##0\);_(* &quot;-&quot;??_);_(@_)">
                  <c:v>10655.612903225807</c:v>
                </c:pt>
                <c:pt idx="46" formatCode="_(* #,##0_);_(* \(#,##0\);_(* &quot;-&quot;??_);_(@_)">
                  <c:v>10056.103448275862</c:v>
                </c:pt>
                <c:pt idx="47" formatCode="_(* #,##0_);_(* \(#,##0\);_(* &quot;-&quot;??_);_(@_)">
                  <c:v>10589.838709677419</c:v>
                </c:pt>
                <c:pt idx="48" formatCode="_(* #,##0_);_(* \(#,##0\);_(* &quot;-&quot;??_);_(@_)">
                  <c:v>10775.709677419354</c:v>
                </c:pt>
                <c:pt idx="49" formatCode="_(* #,##0_);_(* \(#,##0\);_(* &quot;-&quot;??_);_(@_)">
                  <c:v>10902.724137931034</c:v>
                </c:pt>
                <c:pt idx="50" formatCode="_(* #,##0_);_(* \(#,##0\);_(* &quot;-&quot;??_);_(@_)">
                  <c:v>11249.258064516129</c:v>
                </c:pt>
                <c:pt idx="51" formatCode="_(* #,##0_);_(* \(#,##0\);_(* &quot;-&quot;??_);_(@_)">
                  <c:v>10529.866666666667</c:v>
                </c:pt>
                <c:pt idx="52" formatCode="_(* #,##0_);_(* \(#,##0\);_(* &quot;-&quot;??_);_(@_)">
                  <c:v>10324.68</c:v>
                </c:pt>
                <c:pt idx="53" formatCode="_(* #,##0_);_(* \(#,##0\);_(* &quot;-&quot;??_);_(@_)">
                  <c:v>10962.966666666667</c:v>
                </c:pt>
                <c:pt idx="54" formatCode="_(* #,##0_);_(* \(#,##0\);_(* &quot;-&quot;??_);_(@_)">
                  <c:v>10887.967741935483</c:v>
                </c:pt>
                <c:pt idx="55" formatCode="_(* #,##0_);_(* \(#,##0\);_(* &quot;-&quot;??_);_(@_)">
                  <c:v>11005.032258064517</c:v>
                </c:pt>
                <c:pt idx="56" formatCode="_(* #,##0_);_(* \(#,##0\);_(* &quot;-&quot;??_);_(@_)">
                  <c:v>10800.366666666667</c:v>
                </c:pt>
                <c:pt idx="57" formatCode="_(* #,##0_);_(* \(#,##0\);_(* &quot;-&quot;??_);_(@_)">
                  <c:v>10583.774193548386</c:v>
                </c:pt>
                <c:pt idx="58" formatCode="_(* #,##0_);_(* \(#,##0\);_(* &quot;-&quot;??_);_(@_)">
                  <c:v>10504.2</c:v>
                </c:pt>
                <c:pt idx="59" formatCode="_(* #,##0_);_(* \(#,##0\);_(* &quot;-&quot;??_);_(@_)">
                  <c:v>10362.935483870968</c:v>
                </c:pt>
                <c:pt idx="60" formatCode="_(* #,##0_);_(* \(#,##0\);_(* &quot;-&quot;??_);_(@_)">
                  <c:v>9583.3870967741932</c:v>
                </c:pt>
                <c:pt idx="61" formatCode="_(* #,##0_);_(* \(#,##0\);_(* &quot;-&quot;??_);_(@_)">
                  <c:v>9615.8928571428569</c:v>
                </c:pt>
                <c:pt idx="62" formatCode="_(* #,##0_);_(* \(#,##0\);_(* &quot;-&quot;??_);_(@_)">
                  <c:v>9415.032258064517</c:v>
                </c:pt>
                <c:pt idx="63" formatCode="_(* #,##0_);_(* \(#,##0\);_(* &quot;-&quot;??_);_(@_)">
                  <c:v>8937.2999999999993</c:v>
                </c:pt>
                <c:pt idx="64" formatCode="_(* #,##0_);_(* \(#,##0\);_(* &quot;-&quot;??_);_(@_)">
                  <c:v>9132.8064516129034</c:v>
                </c:pt>
                <c:pt idx="65" formatCode="_(* #,##0_);_(* \(#,##0\);_(* &quot;-&quot;??_);_(@_)">
                  <c:v>8813.1333333333332</c:v>
                </c:pt>
                <c:pt idx="66" formatCode="_(* #,##0_);_(* \(#,##0\);_(* &quot;-&quot;??_);_(@_)">
                  <c:v>8996.354838709678</c:v>
                </c:pt>
                <c:pt idx="67" formatCode="_(* #,##0_);_(* \(#,##0\);_(* &quot;-&quot;??_);_(@_)">
                  <c:v>7958</c:v>
                </c:pt>
                <c:pt idx="68" formatCode="_(* #,##0_);_(* \(#,##0\);_(* &quot;-&quot;??_);_(@_)">
                  <c:v>8377.0333333333328</c:v>
                </c:pt>
                <c:pt idx="69" formatCode="_(* #,##0_);_(* \(#,##0\);_(* &quot;-&quot;??_);_(@_)">
                  <c:v>7984.4285714285716</c:v>
                </c:pt>
                <c:pt idx="70" formatCode="_(* #,##0_);_(* \(#,##0\);_(* &quot;-&quot;??_);_(@_)">
                  <c:v>8265.0666666666675</c:v>
                </c:pt>
                <c:pt idx="71" formatCode="_(* #,##0_);_(* \(#,##0\);_(* &quot;-&quot;??_);_(@_)">
                  <c:v>8219.4193548387102</c:v>
                </c:pt>
                <c:pt idx="72" formatCode="_(* #,##0_);_(* \(#,##0\);_(* &quot;-&quot;??_);_(@_)">
                  <c:v>8196.6129032258068</c:v>
                </c:pt>
                <c:pt idx="73" formatCode="_(* #,##0_);_(* \(#,##0\);_(* &quot;-&quot;??_);_(@_)">
                  <c:v>7545.4642857142853</c:v>
                </c:pt>
                <c:pt idx="74" formatCode="_(* #,##0_);_(* \(#,##0\);_(* &quot;-&quot;??_);_(@_)">
                  <c:v>9540.7419354838712</c:v>
                </c:pt>
                <c:pt idx="75" formatCode="_(* #,##0_);_(* \(#,##0\);_(* &quot;-&quot;??_);_(@_)">
                  <c:v>9120.4</c:v>
                </c:pt>
                <c:pt idx="76" formatCode="_(* #,##0_);_(* \(#,##0\);_(* &quot;-&quot;??_);_(@_)">
                  <c:v>9135.7741935483864</c:v>
                </c:pt>
                <c:pt idx="77" formatCode="_(* #,##0_);_(* \(#,##0\);_(* &quot;-&quot;??_);_(@_)">
                  <c:v>8959.6</c:v>
                </c:pt>
                <c:pt idx="78" formatCode="_(* #,##0_);_(* \(#,##0\);_(* &quot;-&quot;??_);_(@_)">
                  <c:v>8217.7096774193542</c:v>
                </c:pt>
                <c:pt idx="79" formatCode="_(* #,##0_);_(* \(#,##0\);_(* &quot;-&quot;??_);_(@_)">
                  <c:v>8497.3870967741932</c:v>
                </c:pt>
                <c:pt idx="80" formatCode="_(* #,##0_);_(* \(#,##0\);_(* &quot;-&quot;??_);_(@_)">
                  <c:v>8256</c:v>
                </c:pt>
                <c:pt idx="81" formatCode="_(* #,##0_);_(* \(#,##0\);_(* &quot;-&quot;??_);_(@_)">
                  <c:v>8079.322580645161</c:v>
                </c:pt>
                <c:pt idx="82" formatCode="_(* #,##0_);_(* \(#,##0\);_(* &quot;-&quot;??_);_(@_)">
                  <c:v>7866.666666666667</c:v>
                </c:pt>
                <c:pt idx="83" formatCode="_(* #,##0_);_(* \(#,##0\);_(* &quot;-&quot;??_);_(@_)">
                  <c:v>7245.8666666666668</c:v>
                </c:pt>
                <c:pt idx="84" formatCode="_(* #,##0_);_(* \(#,##0\);_(* &quot;-&quot;??_);_(@_)">
                  <c:v>7879.322580645161</c:v>
                </c:pt>
                <c:pt idx="85" formatCode="_(* #,##0_);_(* \(#,##0\);_(* &quot;-&quot;??_);_(@_)">
                  <c:v>7590.6071428571431</c:v>
                </c:pt>
                <c:pt idx="86" formatCode="_(* #,##0_);_(* \(#,##0\);_(* &quot;-&quot;??_);_(@_)">
                  <c:v>7108.1935483870966</c:v>
                </c:pt>
                <c:pt idx="87" formatCode="_(* #,##0_);_(* \(#,##0\);_(* &quot;-&quot;??_);_(@_)">
                  <c:v>7251.9666666666662</c:v>
                </c:pt>
                <c:pt idx="88" formatCode="_(* #,##0_);_(* \(#,##0\);_(* &quot;-&quot;??_);_(@_)">
                  <c:v>6805.272727272727</c:v>
                </c:pt>
                <c:pt idx="89" formatCode="_(* #,##0_);_(* \(#,##0\);_(* &quot;-&quot;??_);_(@_)">
                  <c:v>6634.5</c:v>
                </c:pt>
                <c:pt idx="90" formatCode="_(* #,##0_);_(* \(#,##0\);_(* &quot;-&quot;??_);_(@_)">
                  <c:v>6137.3793103448279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48-4867-8FE0-DCBF26041D6E}"/>
            </c:ext>
          </c:extLst>
        </c:ser>
        <c:ser>
          <c:idx val="12"/>
          <c:order val="12"/>
          <c:tx>
            <c:strRef>
              <c:f>Sheet1!$R$16:$S$16</c:f>
              <c:strCache>
                <c:ptCount val="2"/>
                <c:pt idx="0">
                  <c:v>WR759</c:v>
                </c:pt>
                <c:pt idx="1">
                  <c:v>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Sheet1!$T$16:$DG$16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1331.25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9320.2941176470595</c:v>
                </c:pt>
                <c:pt idx="43" formatCode="_(* #,##0_);_(* \(#,##0\);_(* &quot;-&quot;??_);_(@_)">
                  <c:v>12506.838709677419</c:v>
                </c:pt>
                <c:pt idx="44" formatCode="_(* #,##0_);_(* \(#,##0\);_(* &quot;-&quot;??_);_(@_)">
                  <c:v>12578.7</c:v>
                </c:pt>
                <c:pt idx="45" formatCode="_(* #,##0_);_(* \(#,##0\);_(* &quot;-&quot;??_);_(@_)">
                  <c:v>12528.032258064517</c:v>
                </c:pt>
                <c:pt idx="46" formatCode="_(* #,##0_);_(* \(#,##0\);_(* &quot;-&quot;??_);_(@_)">
                  <c:v>12295.965517241379</c:v>
                </c:pt>
                <c:pt idx="47" formatCode="_(* #,##0_);_(* \(#,##0\);_(* &quot;-&quot;??_);_(@_)">
                  <c:v>12950.032258064517</c:v>
                </c:pt>
                <c:pt idx="48" formatCode="_(* #,##0_);_(* \(#,##0\);_(* &quot;-&quot;??_);_(@_)">
                  <c:v>13213.129032258064</c:v>
                </c:pt>
                <c:pt idx="49" formatCode="_(* #,##0_);_(* \(#,##0\);_(* &quot;-&quot;??_);_(@_)">
                  <c:v>13575.724137931034</c:v>
                </c:pt>
                <c:pt idx="50" formatCode="_(* #,##0_);_(* \(#,##0\);_(* &quot;-&quot;??_);_(@_)">
                  <c:v>14509.967741935483</c:v>
                </c:pt>
                <c:pt idx="51" formatCode="_(* #,##0_);_(* \(#,##0\);_(* &quot;-&quot;??_);_(@_)">
                  <c:v>14188.066666666668</c:v>
                </c:pt>
                <c:pt idx="52" formatCode="_(* #,##0_);_(* \(#,##0\);_(* &quot;-&quot;??_);_(@_)">
                  <c:v>14438.24</c:v>
                </c:pt>
                <c:pt idx="53" formatCode="_(* #,##0_);_(* \(#,##0\);_(* &quot;-&quot;??_);_(@_)">
                  <c:v>15465.433333333332</c:v>
                </c:pt>
                <c:pt idx="54" formatCode="_(* #,##0_);_(* \(#,##0\);_(* &quot;-&quot;??_);_(@_)">
                  <c:v>15319.161290322581</c:v>
                </c:pt>
                <c:pt idx="55" formatCode="_(* #,##0_);_(* \(#,##0\);_(* &quot;-&quot;??_);_(@_)">
                  <c:v>15654.967741935483</c:v>
                </c:pt>
                <c:pt idx="56" formatCode="_(* #,##0_);_(* \(#,##0\);_(* &quot;-&quot;??_);_(@_)">
                  <c:v>15454.866666666667</c:v>
                </c:pt>
                <c:pt idx="57" formatCode="_(* #,##0_);_(* \(#,##0\);_(* &quot;-&quot;??_);_(@_)">
                  <c:v>14540.516129032258</c:v>
                </c:pt>
                <c:pt idx="58" formatCode="_(* #,##0_);_(* \(#,##0\);_(* &quot;-&quot;??_);_(@_)">
                  <c:v>15701.833333333334</c:v>
                </c:pt>
                <c:pt idx="59" formatCode="_(* #,##0_);_(* \(#,##0\);_(* &quot;-&quot;??_);_(@_)">
                  <c:v>16502.580645161292</c:v>
                </c:pt>
                <c:pt idx="60" formatCode="_(* #,##0_);_(* \(#,##0\);_(* &quot;-&quot;??_);_(@_)">
                  <c:v>15641.870967741936</c:v>
                </c:pt>
                <c:pt idx="61" formatCode="_(* #,##0_);_(* \(#,##0\);_(* &quot;-&quot;??_);_(@_)">
                  <c:v>16865.035714285714</c:v>
                </c:pt>
                <c:pt idx="62" formatCode="_(* #,##0_);_(* \(#,##0\);_(* &quot;-&quot;??_);_(@_)">
                  <c:v>16465.806451612902</c:v>
                </c:pt>
                <c:pt idx="63" formatCode="_(* #,##0_);_(* \(#,##0\);_(* &quot;-&quot;??_);_(@_)">
                  <c:v>16365.933333333332</c:v>
                </c:pt>
                <c:pt idx="64" formatCode="_(* #,##0_);_(* \(#,##0\);_(* &quot;-&quot;??_);_(@_)">
                  <c:v>16778.709677419356</c:v>
                </c:pt>
                <c:pt idx="65" formatCode="_(* #,##0_);_(* \(#,##0\);_(* &quot;-&quot;??_);_(@_)">
                  <c:v>16464.366666666665</c:v>
                </c:pt>
                <c:pt idx="66" formatCode="_(* #,##0_);_(* \(#,##0\);_(* &quot;-&quot;??_);_(@_)">
                  <c:v>15236.586206896553</c:v>
                </c:pt>
                <c:pt idx="67" formatCode="_(* #,##0_);_(* \(#,##0\);_(* &quot;-&quot;??_);_(@_)">
                  <c:v>6105.4</c:v>
                </c:pt>
                <c:pt idx="68" formatCode="_(* #,##0_);_(* \(#,##0\);_(* &quot;-&quot;??_);_(@_)">
                  <c:v>5804.1</c:v>
                </c:pt>
                <c:pt idx="69" formatCode="_(* #,##0_);_(* \(#,##0\);_(* &quot;-&quot;??_);_(@_)">
                  <c:v>8438.25</c:v>
                </c:pt>
                <c:pt idx="70" formatCode="_(* #,##0_);_(* \(#,##0\);_(* &quot;-&quot;??_);_(@_)">
                  <c:v>8008.0714285714284</c:v>
                </c:pt>
                <c:pt idx="71" formatCode="_(* #,##0_);_(* \(#,##0\);_(* &quot;-&quot;??_);_(@_)">
                  <c:v>9869.5483870967746</c:v>
                </c:pt>
                <c:pt idx="72" formatCode="_(* #,##0_);_(* \(#,##0\);_(* &quot;-&quot;??_);_(@_)">
                  <c:v>10209.935483870968</c:v>
                </c:pt>
                <c:pt idx="73" formatCode="_(* #,##0_);_(* \(#,##0\);_(* &quot;-&quot;??_);_(@_)">
                  <c:v>12299.785714285714</c:v>
                </c:pt>
                <c:pt idx="74" formatCode="_(* #,##0_);_(* \(#,##0\);_(* &quot;-&quot;??_);_(@_)">
                  <c:v>10533.612903225807</c:v>
                </c:pt>
                <c:pt idx="75" formatCode="_(* #,##0_);_(* \(#,##0\);_(* &quot;-&quot;??_);_(@_)">
                  <c:v>10176.766666666666</c:v>
                </c:pt>
                <c:pt idx="76" formatCode="_(* #,##0_);_(* \(#,##0\);_(* &quot;-&quot;??_);_(@_)">
                  <c:v>10318.290322580646</c:v>
                </c:pt>
                <c:pt idx="77" formatCode="_(* #,##0_);_(* \(#,##0\);_(* &quot;-&quot;??_);_(@_)">
                  <c:v>10488.5</c:v>
                </c:pt>
                <c:pt idx="78" formatCode="_(* #,##0_);_(* \(#,##0\);_(* &quot;-&quot;??_);_(@_)">
                  <c:v>10099.322580645161</c:v>
                </c:pt>
                <c:pt idx="79" formatCode="_(* #,##0_);_(* \(#,##0\);_(* &quot;-&quot;??_);_(@_)">
                  <c:v>10313.709677419354</c:v>
                </c:pt>
                <c:pt idx="80" formatCode="_(* #,##0_);_(* \(#,##0\);_(* &quot;-&quot;??_);_(@_)">
                  <c:v>10497.366666666667</c:v>
                </c:pt>
                <c:pt idx="81" formatCode="_(* #,##0_);_(* \(#,##0\);_(* &quot;-&quot;??_);_(@_)">
                  <c:v>10253.838709677419</c:v>
                </c:pt>
                <c:pt idx="82" formatCode="_(* #,##0_);_(* \(#,##0\);_(* &quot;-&quot;??_);_(@_)">
                  <c:v>9859.5</c:v>
                </c:pt>
                <c:pt idx="83" formatCode="_(* #,##0_);_(* \(#,##0\);_(* &quot;-&quot;??_);_(@_)">
                  <c:v>9658.0344827586214</c:v>
                </c:pt>
                <c:pt idx="84" formatCode="_(* #,##0_);_(* \(#,##0\);_(* &quot;-&quot;??_);_(@_)">
                  <c:v>10165.483870967742</c:v>
                </c:pt>
                <c:pt idx="85" formatCode="_(* #,##0_);_(* \(#,##0\);_(* &quot;-&quot;??_);_(@_)">
                  <c:v>11454.857142857143</c:v>
                </c:pt>
                <c:pt idx="86" formatCode="_(* #,##0_);_(* \(#,##0\);_(* &quot;-&quot;??_);_(@_)">
                  <c:v>11768.741935483871</c:v>
                </c:pt>
                <c:pt idx="87" formatCode="_(* #,##0_);_(* \(#,##0\);_(* &quot;-&quot;??_);_(@_)">
                  <c:v>11997.433333333332</c:v>
                </c:pt>
                <c:pt idx="88" formatCode="_(* #,##0_);_(* \(#,##0\);_(* &quot;-&quot;??_);_(@_)">
                  <c:v>10987.565217391304</c:v>
                </c:pt>
                <c:pt idx="89" formatCode="_(* #,##0_);_(* \(#,##0\);_(* &quot;-&quot;??_);_(@_)">
                  <c:v>12098.866666666667</c:v>
                </c:pt>
                <c:pt idx="90" formatCode="_(* #,##0_);_(* \(#,##0\);_(* &quot;-&quot;??_);_(@_)">
                  <c:v>11299.896551724138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48-4867-8FE0-DCBF26041D6E}"/>
            </c:ext>
          </c:extLst>
        </c:ser>
        <c:ser>
          <c:idx val="13"/>
          <c:order val="13"/>
          <c:tx>
            <c:strRef>
              <c:f>Sheet1!$R$17:$S$17</c:f>
              <c:strCache>
                <c:ptCount val="2"/>
                <c:pt idx="0">
                  <c:v>WR759</c:v>
                </c:pt>
                <c:pt idx="1">
                  <c:v>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Sheet1!$T$17:$DG$17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873.5</c:v>
                </c:pt>
                <c:pt idx="37" formatCode="_(* #,##0_);_(* \(#,##0\);_(* &quot;-&quot;??_);_(@_)">
                  <c:v>6790.8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9962.6666666666661</c:v>
                </c:pt>
                <c:pt idx="40" formatCode="_(* #,##0_);_(* \(#,##0\);_(* &quot;-&quot;??_);_(@_)">
                  <c:v>12357</c:v>
                </c:pt>
                <c:pt idx="41" formatCode="_(* #,##0_);_(* \(#,##0\);_(* &quot;-&quot;??_);_(@_)">
                  <c:v>12247.5</c:v>
                </c:pt>
                <c:pt idx="42" formatCode="_(* #,##0_);_(* \(#,##0\);_(* &quot;-&quot;??_);_(@_)">
                  <c:v>10966.652173913044</c:v>
                </c:pt>
                <c:pt idx="43" formatCode="_(* #,##0_);_(* \(#,##0\);_(* &quot;-&quot;??_);_(@_)">
                  <c:v>11142.032258064517</c:v>
                </c:pt>
                <c:pt idx="44" formatCode="_(* #,##0_);_(* \(#,##0\);_(* &quot;-&quot;??_);_(@_)">
                  <c:v>11061.8</c:v>
                </c:pt>
                <c:pt idx="45" formatCode="_(* #,##0_);_(* \(#,##0\);_(* &quot;-&quot;??_);_(@_)">
                  <c:v>10468.741935483871</c:v>
                </c:pt>
                <c:pt idx="46" formatCode="_(* #,##0_);_(* \(#,##0\);_(* &quot;-&quot;??_);_(@_)">
                  <c:v>9706.1724137931033</c:v>
                </c:pt>
                <c:pt idx="47" formatCode="_(* #,##0_);_(* \(#,##0\);_(* &quot;-&quot;??_);_(@_)">
                  <c:v>10611</c:v>
                </c:pt>
                <c:pt idx="48" formatCode="_(* #,##0_);_(* \(#,##0\);_(* &quot;-&quot;??_);_(@_)">
                  <c:v>10098.258064516129</c:v>
                </c:pt>
                <c:pt idx="49" formatCode="_(* #,##0_);_(* \(#,##0\);_(* &quot;-&quot;??_);_(@_)">
                  <c:v>10102.965517241379</c:v>
                </c:pt>
                <c:pt idx="50" formatCode="_(* #,##0_);_(* \(#,##0\);_(* &quot;-&quot;??_);_(@_)">
                  <c:v>10298.548387096775</c:v>
                </c:pt>
                <c:pt idx="51" formatCode="_(* #,##0_);_(* \(#,##0\);_(* &quot;-&quot;??_);_(@_)">
                  <c:v>10298.548387096775</c:v>
                </c:pt>
                <c:pt idx="52" formatCode="_(* #,##0_);_(* \(#,##0\);_(* &quot;-&quot;??_);_(@_)">
                  <c:v>9429.64</c:v>
                </c:pt>
                <c:pt idx="53" formatCode="_(* #,##0_);_(* \(#,##0\);_(* &quot;-&quot;??_);_(@_)">
                  <c:v>9958.0333333333328</c:v>
                </c:pt>
                <c:pt idx="54" formatCode="_(* #,##0_);_(* \(#,##0\);_(* &quot;-&quot;??_);_(@_)">
                  <c:v>9586.7096774193542</c:v>
                </c:pt>
                <c:pt idx="55" formatCode="_(* #,##0_);_(* \(#,##0\);_(* &quot;-&quot;??_);_(@_)">
                  <c:v>9574.8387096774186</c:v>
                </c:pt>
                <c:pt idx="56" formatCode="_(* #,##0_);_(* \(#,##0\);_(* &quot;-&quot;??_);_(@_)">
                  <c:v>9347</c:v>
                </c:pt>
                <c:pt idx="57" formatCode="_(* #,##0_);_(* \(#,##0\);_(* &quot;-&quot;??_);_(@_)">
                  <c:v>8517.4516129032254</c:v>
                </c:pt>
                <c:pt idx="58" formatCode="_(* #,##0_);_(* \(#,##0\);_(* &quot;-&quot;??_);_(@_)">
                  <c:v>8723.7000000000007</c:v>
                </c:pt>
                <c:pt idx="59" formatCode="_(* #,##0_);_(* \(#,##0\);_(* &quot;-&quot;??_);_(@_)">
                  <c:v>8776.2258064516136</c:v>
                </c:pt>
                <c:pt idx="60" formatCode="_(* #,##0_);_(* \(#,##0\);_(* &quot;-&quot;??_);_(@_)">
                  <c:v>8424.3870967741932</c:v>
                </c:pt>
                <c:pt idx="61" formatCode="_(* #,##0_);_(* \(#,##0\);_(* &quot;-&quot;??_);_(@_)">
                  <c:v>8567</c:v>
                </c:pt>
                <c:pt idx="62" formatCode="_(* #,##0_);_(* \(#,##0\);_(* &quot;-&quot;??_);_(@_)">
                  <c:v>8614.9032258064508</c:v>
                </c:pt>
                <c:pt idx="63" formatCode="_(* #,##0_);_(* \(#,##0\);_(* &quot;-&quot;??_);_(@_)">
                  <c:v>8440</c:v>
                </c:pt>
                <c:pt idx="64" formatCode="_(* #,##0_);_(* \(#,##0\);_(* &quot;-&quot;??_);_(@_)">
                  <c:v>8652.1612903225814</c:v>
                </c:pt>
                <c:pt idx="65" formatCode="_(* #,##0_);_(* \(#,##0\);_(* &quot;-&quot;??_);_(@_)">
                  <c:v>8224.2666666666664</c:v>
                </c:pt>
                <c:pt idx="66" formatCode="_(* #,##0_);_(* \(#,##0\);_(* &quot;-&quot;??_);_(@_)">
                  <c:v>8502.4838709677424</c:v>
                </c:pt>
                <c:pt idx="67" formatCode="_(* #,##0_);_(* \(#,##0\);_(* &quot;-&quot;??_);_(@_)">
                  <c:v>7669.8620689655172</c:v>
                </c:pt>
                <c:pt idx="68" formatCode="_(* #,##0_);_(* \(#,##0\);_(* &quot;-&quot;??_);_(@_)">
                  <c:v>8042.166666666667</c:v>
                </c:pt>
                <c:pt idx="69" formatCode="_(* #,##0_);_(* \(#,##0\);_(* &quot;-&quot;??_);_(@_)">
                  <c:v>7357.2857142857147</c:v>
                </c:pt>
                <c:pt idx="70" formatCode="_(* #,##0_);_(* \(#,##0\);_(* &quot;-&quot;??_);_(@_)">
                  <c:v>7736.4</c:v>
                </c:pt>
                <c:pt idx="71" formatCode="_(* #,##0_);_(* \(#,##0\);_(* &quot;-&quot;??_);_(@_)">
                  <c:v>7670.3870967741932</c:v>
                </c:pt>
                <c:pt idx="72" formatCode="_(* #,##0_);_(* \(#,##0\);_(* &quot;-&quot;??_);_(@_)">
                  <c:v>7527.2580645161288</c:v>
                </c:pt>
                <c:pt idx="73" formatCode="_(* #,##0_);_(* \(#,##0\);_(* &quot;-&quot;??_);_(@_)">
                  <c:v>7040.5</c:v>
                </c:pt>
                <c:pt idx="74" formatCode="_(* #,##0_);_(* \(#,##0\);_(* &quot;-&quot;??_);_(@_)">
                  <c:v>8648.4193548387102</c:v>
                </c:pt>
                <c:pt idx="75" formatCode="_(* #,##0_);_(* \(#,##0\);_(* &quot;-&quot;??_);_(@_)">
                  <c:v>8256.1333333333332</c:v>
                </c:pt>
                <c:pt idx="76" formatCode="_(* #,##0_);_(* \(#,##0\);_(* &quot;-&quot;??_);_(@_)">
                  <c:v>8151.3870967741932</c:v>
                </c:pt>
                <c:pt idx="77" formatCode="_(* #,##0_);_(* \(#,##0\);_(* &quot;-&quot;??_);_(@_)">
                  <c:v>7730.333333333333</c:v>
                </c:pt>
                <c:pt idx="78" formatCode="_(* #,##0_);_(* \(#,##0\);_(* &quot;-&quot;??_);_(@_)">
                  <c:v>7624.1290322580644</c:v>
                </c:pt>
                <c:pt idx="79" formatCode="_(* #,##0_);_(* \(#,##0\);_(* &quot;-&quot;??_);_(@_)">
                  <c:v>7754.0645161290322</c:v>
                </c:pt>
                <c:pt idx="80" formatCode="_(* #,##0_);_(* \(#,##0\);_(* &quot;-&quot;??_);_(@_)">
                  <c:v>7489.4333333333334</c:v>
                </c:pt>
                <c:pt idx="81" formatCode="_(* #,##0_);_(* \(#,##0\);_(* &quot;-&quot;??_);_(@_)">
                  <c:v>7425.3548387096771</c:v>
                </c:pt>
                <c:pt idx="82" formatCode="_(* #,##0_);_(* \(#,##0\);_(* &quot;-&quot;??_);_(@_)">
                  <c:v>7356.5666666666666</c:v>
                </c:pt>
                <c:pt idx="83" formatCode="_(* #,##0_);_(* \(#,##0\);_(* &quot;-&quot;??_);_(@_)">
                  <c:v>6649.4</c:v>
                </c:pt>
                <c:pt idx="84" formatCode="_(* #,##0_);_(* \(#,##0\);_(* &quot;-&quot;??_);_(@_)">
                  <c:v>7426.5483870967746</c:v>
                </c:pt>
                <c:pt idx="85" formatCode="_(* #,##0_);_(* \(#,##0\);_(* &quot;-&quot;??_);_(@_)">
                  <c:v>7109.2857142857147</c:v>
                </c:pt>
                <c:pt idx="86" formatCode="_(* #,##0_);_(* \(#,##0\);_(* &quot;-&quot;??_);_(@_)">
                  <c:v>6863.333333333333</c:v>
                </c:pt>
                <c:pt idx="87" formatCode="_(* #,##0_);_(* \(#,##0\);_(* &quot;-&quot;??_);_(@_)">
                  <c:v>6839.8</c:v>
                </c:pt>
                <c:pt idx="88" formatCode="_(* #,##0_);_(* \(#,##0\);_(* &quot;-&quot;??_);_(@_)">
                  <c:v>6619.272727272727</c:v>
                </c:pt>
                <c:pt idx="89" formatCode="_(* #,##0_);_(* \(#,##0\);_(* &quot;-&quot;??_);_(@_)">
                  <c:v>7060.6</c:v>
                </c:pt>
                <c:pt idx="90" formatCode="_(* #,##0_);_(* \(#,##0\);_(* &quot;-&quot;??_);_(@_)">
                  <c:v>6404.1333333333332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48-4867-8FE0-DCBF26041D6E}"/>
            </c:ext>
          </c:extLst>
        </c:ser>
        <c:ser>
          <c:idx val="14"/>
          <c:order val="14"/>
          <c:tx>
            <c:strRef>
              <c:f>Sheet1!$R$18:$S$18</c:f>
              <c:strCache>
                <c:ptCount val="2"/>
                <c:pt idx="0">
                  <c:v>WR759</c:v>
                </c:pt>
                <c:pt idx="1">
                  <c:v>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Sheet1!$T$18:$DG$18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5866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6777.9642857142853</c:v>
                </c:pt>
                <c:pt idx="76" formatCode="_(* #,##0_);_(* \(#,##0\);_(* &quot;-&quot;??_);_(@_)">
                  <c:v>7471</c:v>
                </c:pt>
                <c:pt idx="77" formatCode="_(* #,##0_);_(* \(#,##0\);_(* &quot;-&quot;??_);_(@_)">
                  <c:v>8594.3333333333339</c:v>
                </c:pt>
                <c:pt idx="78" formatCode="_(* #,##0_);_(* \(#,##0\);_(* &quot;-&quot;??_);_(@_)">
                  <c:v>9039.8387096774186</c:v>
                </c:pt>
                <c:pt idx="79" formatCode="_(* #,##0_);_(* \(#,##0\);_(* &quot;-&quot;??_);_(@_)">
                  <c:v>10846.064516129032</c:v>
                </c:pt>
                <c:pt idx="80" formatCode="_(* #,##0_);_(* \(#,##0\);_(* &quot;-&quot;??_);_(@_)">
                  <c:v>10968.3</c:v>
                </c:pt>
                <c:pt idx="81" formatCode="_(* #,##0_);_(* \(#,##0\);_(* &quot;-&quot;??_);_(@_)">
                  <c:v>10994.516129032258</c:v>
                </c:pt>
                <c:pt idx="82" formatCode="_(* #,##0_);_(* \(#,##0\);_(* &quot;-&quot;??_);_(@_)">
                  <c:v>11756.933333333332</c:v>
                </c:pt>
                <c:pt idx="83" formatCode="_(* #,##0_);_(* \(#,##0\);_(* &quot;-&quot;??_);_(@_)">
                  <c:v>11068.4</c:v>
                </c:pt>
                <c:pt idx="84" formatCode="_(* #,##0_);_(* \(#,##0\);_(* &quot;-&quot;??_);_(@_)">
                  <c:v>11928.41935483871</c:v>
                </c:pt>
                <c:pt idx="85" formatCode="_(* #,##0_);_(* \(#,##0\);_(* &quot;-&quot;??_);_(@_)">
                  <c:v>12408.071428571429</c:v>
                </c:pt>
                <c:pt idx="86" formatCode="_(* #,##0_);_(* \(#,##0\);_(* &quot;-&quot;??_);_(@_)">
                  <c:v>12133.483870967742</c:v>
                </c:pt>
                <c:pt idx="87" formatCode="_(* #,##0_);_(* \(#,##0\);_(* &quot;-&quot;??_);_(@_)">
                  <c:v>12415.166666666666</c:v>
                </c:pt>
                <c:pt idx="88" formatCode="_(* #,##0_);_(* \(#,##0\);_(* &quot;-&quot;??_);_(@_)">
                  <c:v>11592.391304347826</c:v>
                </c:pt>
                <c:pt idx="89" formatCode="_(* #,##0_);_(* \(#,##0\);_(* &quot;-&quot;??_);_(@_)">
                  <c:v>13107.2</c:v>
                </c:pt>
                <c:pt idx="90" formatCode="_(* #,##0_);_(* \(#,##0\);_(* &quot;-&quot;??_);_(@_)">
                  <c:v>13054.88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48-4867-8FE0-DCBF26041D6E}"/>
            </c:ext>
          </c:extLst>
        </c:ser>
        <c:ser>
          <c:idx val="15"/>
          <c:order val="15"/>
          <c:tx>
            <c:strRef>
              <c:f>Sheet1!$R$19:$S$19</c:f>
              <c:strCache>
                <c:ptCount val="2"/>
                <c:pt idx="0">
                  <c:v>WR759</c:v>
                </c:pt>
                <c:pt idx="1">
                  <c:v>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Sheet1!$T$1:$DG$3</c15:sqref>
                  </c15:fullRef>
                  <c15:levelRef>
                    <c15:sqref>Sheet1!$T$1:$DG$1</c15:sqref>
                  </c15:levelRef>
                </c:ext>
              </c:extLst>
              <c:f>Sheet1!$T$1:$DG$1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Sheet1!$T$19:$DG$19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0</c:v>
                </c:pt>
                <c:pt idx="76" formatCode="_(* #,##0_);_(* \(#,##0\);_(* &quot;-&quot;??_);_(@_)">
                  <c:v>0</c:v>
                </c:pt>
                <c:pt idx="77" formatCode="_(* #,##0_);_(* \(#,##0\);_(* &quot;-&quot;??_);_(@_)">
                  <c:v>0</c:v>
                </c:pt>
                <c:pt idx="78" formatCode="_(* #,##0_);_(* \(#,##0\);_(* &quot;-&quot;??_);_(@_)">
                  <c:v>0</c:v>
                </c:pt>
                <c:pt idx="79" formatCode="_(* #,##0_);_(* \(#,##0\);_(* &quot;-&quot;??_);_(@_)">
                  <c:v>0</c:v>
                </c:pt>
                <c:pt idx="80" formatCode="_(* #,##0_);_(* \(#,##0\);_(* &quot;-&quot;??_);_(@_)">
                  <c:v>0</c:v>
                </c:pt>
                <c:pt idx="81" formatCode="_(* #,##0_);_(* \(#,##0\);_(* &quot;-&quot;??_);_(@_)">
                  <c:v>0</c:v>
                </c:pt>
                <c:pt idx="82" formatCode="_(* #,##0_);_(* \(#,##0\);_(* &quot;-&quot;??_);_(@_)">
                  <c:v>0</c:v>
                </c:pt>
                <c:pt idx="83" formatCode="_(* #,##0_);_(* \(#,##0\);_(* &quot;-&quot;??_);_(@_)">
                  <c:v>8001.0555555555557</c:v>
                </c:pt>
                <c:pt idx="84" formatCode="_(* #,##0_);_(* \(#,##0\);_(* &quot;-&quot;??_);_(@_)">
                  <c:v>10143.387096774193</c:v>
                </c:pt>
                <c:pt idx="85" formatCode="_(* #,##0_);_(* \(#,##0\);_(* &quot;-&quot;??_);_(@_)">
                  <c:v>11468.535714285714</c:v>
                </c:pt>
                <c:pt idx="86" formatCode="_(* #,##0_);_(* \(#,##0\);_(* &quot;-&quot;??_);_(@_)">
                  <c:v>11491.58064516129</c:v>
                </c:pt>
                <c:pt idx="87" formatCode="_(* #,##0_);_(* \(#,##0\);_(* &quot;-&quot;??_);_(@_)">
                  <c:v>10493.333333333334</c:v>
                </c:pt>
                <c:pt idx="88" formatCode="_(* #,##0_);_(* \(#,##0\);_(* &quot;-&quot;??_);_(@_)">
                  <c:v>10721.608695652174</c:v>
                </c:pt>
                <c:pt idx="89" formatCode="_(* #,##0_);_(* \(#,##0\);_(* &quot;-&quot;??_);_(@_)">
                  <c:v>11041.6</c:v>
                </c:pt>
                <c:pt idx="90" formatCode="_(* #,##0_);_(* \(#,##0\);_(* &quot;-&quot;??_);_(@_)">
                  <c:v>10249.76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48-4867-8FE0-DCBF2604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16312"/>
        <c:axId val="796116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Sheet1!$R$4:$S$4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Sheet1!$T$1:$DG$3</c15:sqref>
                        </c15:fullRef>
                        <c15:levelRef>
                          <c15:sqref>Sheet1!$T$1:$DG$1</c15:sqref>
                        </c15:levelRef>
                        <c15:formulaRef>
                          <c15:sqref>Sheet1!$T$1:$DG$1</c15:sqref>
                        </c15:formulaRef>
                      </c:ext>
                    </c:extLst>
                    <c:strCache>
                      <c:ptCount val="92"/>
                      <c:pt idx="0">
                        <c:v>2012</c:v>
                      </c:pt>
                      <c:pt idx="12">
                        <c:v>2013</c:v>
                      </c:pt>
                      <c:pt idx="24">
                        <c:v>2014</c:v>
                      </c:pt>
                      <c:pt idx="36">
                        <c:v>2015</c:v>
                      </c:pt>
                      <c:pt idx="48">
                        <c:v>2016</c:v>
                      </c:pt>
                      <c:pt idx="60">
                        <c:v>2017</c:v>
                      </c:pt>
                      <c:pt idx="72">
                        <c:v>2018</c:v>
                      </c:pt>
                      <c:pt idx="84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Sheet1!$T$4:$DG$4</c15:sqref>
                        </c15:formulaRef>
                      </c:ext>
                    </c:extLst>
                    <c:numCache>
                      <c:formatCode>General</c:formatCode>
                      <c:ptCount val="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48-4867-8FE0-DCBF26041D6E}"/>
                  </c:ext>
                </c:extLst>
              </c15:ser>
            </c15:filteredLineSeries>
          </c:ext>
        </c:extLst>
      </c:lineChart>
      <c:catAx>
        <c:axId val="796116312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6640"/>
        <c:crosses val="max"/>
        <c:auto val="1"/>
        <c:lblAlgn val="ctr"/>
        <c:lblOffset val="100"/>
        <c:noMultiLvlLbl val="0"/>
      </c:catAx>
      <c:valAx>
        <c:axId val="7961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6312"/>
        <c:crossesAt val="201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Comparison</a:t>
            </a:r>
            <a:r>
              <a:rPr lang="en-US" sz="2800" baseline="0"/>
              <a:t> of Jack St Malo Subsea Development </a:t>
            </a:r>
            <a:endParaRPr lang="en-US" sz="2800"/>
          </a:p>
        </c:rich>
      </c:tx>
      <c:layout>
        <c:manualLayout>
          <c:xMode val="edge"/>
          <c:yMode val="edge"/>
          <c:x val="0.1365287518862642"/>
          <c:y val="1.3059701172785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Sheet1!$S$67</c:f>
              <c:strCache>
                <c:ptCount val="1"/>
                <c:pt idx="0">
                  <c:v>Jack St Malo Subsea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Sheet1!$T$66:$DG$66</c:f>
              <c:strCache>
                <c:ptCount val="9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  <c:pt idx="72">
                  <c:v>January</c:v>
                </c:pt>
                <c:pt idx="73">
                  <c:v>February</c:v>
                </c:pt>
                <c:pt idx="74">
                  <c:v>March</c:v>
                </c:pt>
                <c:pt idx="75">
                  <c:v>April</c:v>
                </c:pt>
                <c:pt idx="76">
                  <c:v>May</c:v>
                </c:pt>
                <c:pt idx="77">
                  <c:v>June</c:v>
                </c:pt>
                <c:pt idx="78">
                  <c:v>July</c:v>
                </c:pt>
                <c:pt idx="79">
                  <c:v>August</c:v>
                </c:pt>
                <c:pt idx="80">
                  <c:v>September</c:v>
                </c:pt>
                <c:pt idx="81">
                  <c:v>October</c:v>
                </c:pt>
                <c:pt idx="82">
                  <c:v>November</c:v>
                </c:pt>
                <c:pt idx="83">
                  <c:v>December</c:v>
                </c:pt>
                <c:pt idx="84">
                  <c:v>January</c:v>
                </c:pt>
                <c:pt idx="85">
                  <c:v>February</c:v>
                </c:pt>
                <c:pt idx="86">
                  <c:v>March</c:v>
                </c:pt>
                <c:pt idx="87">
                  <c:v>April</c:v>
                </c:pt>
                <c:pt idx="88">
                  <c:v>May</c:v>
                </c:pt>
                <c:pt idx="89">
                  <c:v>June</c:v>
                </c:pt>
                <c:pt idx="90">
                  <c:v>July</c:v>
                </c:pt>
                <c:pt idx="91">
                  <c:v>August</c:v>
                </c:pt>
              </c:strCache>
            </c:strRef>
          </c:cat>
          <c:val>
            <c:numRef>
              <c:f>Sheet1!$T$67:$DG$67</c:f>
              <c:numCache>
                <c:formatCode>_("$"* #,##0_);_("$"* \(#,##0\);_("$"* "-"??_);_(@_)</c:formatCode>
                <c:ptCount val="92"/>
                <c:pt idx="0">
                  <c:v>-218055555.55555555</c:v>
                </c:pt>
                <c:pt idx="1">
                  <c:v>-442341269.84126985</c:v>
                </c:pt>
                <c:pt idx="2">
                  <c:v>-666626984.12698412</c:v>
                </c:pt>
                <c:pt idx="3">
                  <c:v>-890912698.41269839</c:v>
                </c:pt>
                <c:pt idx="4">
                  <c:v>-1115198412.6984127</c:v>
                </c:pt>
                <c:pt idx="5">
                  <c:v>-1339484126.984127</c:v>
                </c:pt>
                <c:pt idx="6">
                  <c:v>-1563769841.2698412</c:v>
                </c:pt>
                <c:pt idx="7">
                  <c:v>-1788055555.5555553</c:v>
                </c:pt>
                <c:pt idx="8">
                  <c:v>-2012341269.8412695</c:v>
                </c:pt>
                <c:pt idx="9">
                  <c:v>-2236626984.1269836</c:v>
                </c:pt>
                <c:pt idx="10">
                  <c:v>-2460912698.4126978</c:v>
                </c:pt>
                <c:pt idx="11">
                  <c:v>-2685198412.6984119</c:v>
                </c:pt>
                <c:pt idx="12">
                  <c:v>-2909484126.9841261</c:v>
                </c:pt>
                <c:pt idx="13">
                  <c:v>-3133769841.2698402</c:v>
                </c:pt>
                <c:pt idx="14">
                  <c:v>-3358055555.5555544</c:v>
                </c:pt>
                <c:pt idx="15">
                  <c:v>-3582341269.8412685</c:v>
                </c:pt>
                <c:pt idx="16">
                  <c:v>-3806626984.1269827</c:v>
                </c:pt>
                <c:pt idx="17">
                  <c:v>-4030912698.4126968</c:v>
                </c:pt>
                <c:pt idx="18">
                  <c:v>-4255198412.698411</c:v>
                </c:pt>
                <c:pt idx="19">
                  <c:v>-4479484126.9841251</c:v>
                </c:pt>
                <c:pt idx="20">
                  <c:v>-4703769841.2698393</c:v>
                </c:pt>
                <c:pt idx="21">
                  <c:v>-4928055555.5555534</c:v>
                </c:pt>
                <c:pt idx="22">
                  <c:v>-5152341269.8412676</c:v>
                </c:pt>
                <c:pt idx="23">
                  <c:v>-5376626984.1269817</c:v>
                </c:pt>
                <c:pt idx="24">
                  <c:v>-5600912698.4126959</c:v>
                </c:pt>
                <c:pt idx="25">
                  <c:v>-5825198412.69841</c:v>
                </c:pt>
                <c:pt idx="26">
                  <c:v>-6049484126.9841242</c:v>
                </c:pt>
                <c:pt idx="27">
                  <c:v>-6273769841.2698383</c:v>
                </c:pt>
                <c:pt idx="28">
                  <c:v>-6498055555.5555525</c:v>
                </c:pt>
                <c:pt idx="29">
                  <c:v>-6722341269.8412666</c:v>
                </c:pt>
                <c:pt idx="30">
                  <c:v>-6946626984.1269808</c:v>
                </c:pt>
                <c:pt idx="31">
                  <c:v>-7170912698.4126949</c:v>
                </c:pt>
                <c:pt idx="32">
                  <c:v>-7395198412.6984091</c:v>
                </c:pt>
                <c:pt idx="33">
                  <c:v>-7619484126.9841232</c:v>
                </c:pt>
                <c:pt idx="34">
                  <c:v>-7843769841.2698374</c:v>
                </c:pt>
                <c:pt idx="35">
                  <c:v>-7834743668.2698374</c:v>
                </c:pt>
                <c:pt idx="36">
                  <c:v>-7807604951.9573374</c:v>
                </c:pt>
                <c:pt idx="37">
                  <c:v>-7769850301.5823374</c:v>
                </c:pt>
                <c:pt idx="38">
                  <c:v>-7717337142.8323374</c:v>
                </c:pt>
                <c:pt idx="39">
                  <c:v>-7655894867.4573374</c:v>
                </c:pt>
                <c:pt idx="40">
                  <c:v>-7588969815.2698374</c:v>
                </c:pt>
                <c:pt idx="41">
                  <c:v>-7520681431.9573374</c:v>
                </c:pt>
                <c:pt idx="42">
                  <c:v>-7467120951.7698374</c:v>
                </c:pt>
                <c:pt idx="43">
                  <c:v>-7386760439.3948374</c:v>
                </c:pt>
                <c:pt idx="44">
                  <c:v>-7313036934.0198374</c:v>
                </c:pt>
                <c:pt idx="45">
                  <c:v>-7237355915.4573374</c:v>
                </c:pt>
                <c:pt idx="46">
                  <c:v>-7173357158.3948374</c:v>
                </c:pt>
                <c:pt idx="47">
                  <c:v>-7096159398.1448374</c:v>
                </c:pt>
                <c:pt idx="48">
                  <c:v>-7019368205.5823374</c:v>
                </c:pt>
                <c:pt idx="49">
                  <c:v>-6947208782.2073374</c:v>
                </c:pt>
                <c:pt idx="50">
                  <c:v>-6868015077.5198374</c:v>
                </c:pt>
                <c:pt idx="51">
                  <c:v>-6789648902.4573374</c:v>
                </c:pt>
                <c:pt idx="52">
                  <c:v>-6706345255.0823374</c:v>
                </c:pt>
                <c:pt idx="53">
                  <c:v>-6607627252.5823374</c:v>
                </c:pt>
                <c:pt idx="54">
                  <c:v>-6505052219.9573374</c:v>
                </c:pt>
                <c:pt idx="55">
                  <c:v>-6404991429.5823374</c:v>
                </c:pt>
                <c:pt idx="56">
                  <c:v>-6296811373.8323374</c:v>
                </c:pt>
                <c:pt idx="57">
                  <c:v>-6184506526.9573374</c:v>
                </c:pt>
                <c:pt idx="58">
                  <c:v>-6082378240.1448374</c:v>
                </c:pt>
                <c:pt idx="59">
                  <c:v>-5964934820.7073374</c:v>
                </c:pt>
                <c:pt idx="60">
                  <c:v>-5848305759.4573374</c:v>
                </c:pt>
                <c:pt idx="61">
                  <c:v>-5744064382.7698374</c:v>
                </c:pt>
                <c:pt idx="62">
                  <c:v>-5624585819.0198374</c:v>
                </c:pt>
                <c:pt idx="63">
                  <c:v>-5505243965.7073374</c:v>
                </c:pt>
                <c:pt idx="64">
                  <c:v>-5376926948.1448374</c:v>
                </c:pt>
                <c:pt idx="65">
                  <c:v>-5247671649.0823374</c:v>
                </c:pt>
                <c:pt idx="66">
                  <c:v>-5116170497.6448374</c:v>
                </c:pt>
                <c:pt idx="67">
                  <c:v>-5009611812.961648</c:v>
                </c:pt>
                <c:pt idx="68">
                  <c:v>-4897622381.836648</c:v>
                </c:pt>
                <c:pt idx="69">
                  <c:v>-4798161992.399148</c:v>
                </c:pt>
                <c:pt idx="70">
                  <c:v>-4684787813.461648</c:v>
                </c:pt>
                <c:pt idx="71">
                  <c:v>-4564522107.836648</c:v>
                </c:pt>
                <c:pt idx="72">
                  <c:v>-4443404660.899148</c:v>
                </c:pt>
                <c:pt idx="73">
                  <c:v>-4329624717.836648</c:v>
                </c:pt>
                <c:pt idx="74">
                  <c:v>-4200622296.399148</c:v>
                </c:pt>
                <c:pt idx="75">
                  <c:v>-4077977102.461648</c:v>
                </c:pt>
                <c:pt idx="76">
                  <c:v>-3936362138.711648</c:v>
                </c:pt>
                <c:pt idx="77">
                  <c:v>-3796318419.149148</c:v>
                </c:pt>
                <c:pt idx="78">
                  <c:v>-3640048117.461648</c:v>
                </c:pt>
                <c:pt idx="79">
                  <c:v>-3477957927.024148</c:v>
                </c:pt>
                <c:pt idx="80">
                  <c:v>-3323660545.961648</c:v>
                </c:pt>
                <c:pt idx="81">
                  <c:v>-3169294792.211648</c:v>
                </c:pt>
                <c:pt idx="82">
                  <c:v>-3024041961.274148</c:v>
                </c:pt>
                <c:pt idx="83">
                  <c:v>-2868433410.774148</c:v>
                </c:pt>
                <c:pt idx="84">
                  <c:v>-2701870032.461648</c:v>
                </c:pt>
                <c:pt idx="85">
                  <c:v>-2553947382.586648</c:v>
                </c:pt>
                <c:pt idx="86">
                  <c:v>-2393681104.336648</c:v>
                </c:pt>
                <c:pt idx="87">
                  <c:v>-2238029440.961648</c:v>
                </c:pt>
                <c:pt idx="88">
                  <c:v>-2125584739.274148</c:v>
                </c:pt>
                <c:pt idx="89">
                  <c:v>-1970983646.524148</c:v>
                </c:pt>
                <c:pt idx="90">
                  <c:v>-1835662638.461648</c:v>
                </c:pt>
                <c:pt idx="91">
                  <c:v>-1735673085.649148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D-4610-990B-5363DE150A61}"/>
            </c:ext>
          </c:extLst>
        </c:ser>
        <c:ser>
          <c:idx val="1"/>
          <c:order val="1"/>
          <c:tx>
            <c:strRef>
              <c:f>Sheet1!$S$68</c:f>
              <c:strCache>
                <c:ptCount val="1"/>
                <c:pt idx="0">
                  <c:v>2 x FrPs Jack and St Malo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Sheet1!$T$66:$DG$66</c:f>
              <c:strCache>
                <c:ptCount val="9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  <c:pt idx="72">
                  <c:v>January</c:v>
                </c:pt>
                <c:pt idx="73">
                  <c:v>February</c:v>
                </c:pt>
                <c:pt idx="74">
                  <c:v>March</c:v>
                </c:pt>
                <c:pt idx="75">
                  <c:v>April</c:v>
                </c:pt>
                <c:pt idx="76">
                  <c:v>May</c:v>
                </c:pt>
                <c:pt idx="77">
                  <c:v>June</c:v>
                </c:pt>
                <c:pt idx="78">
                  <c:v>July</c:v>
                </c:pt>
                <c:pt idx="79">
                  <c:v>August</c:v>
                </c:pt>
                <c:pt idx="80">
                  <c:v>September</c:v>
                </c:pt>
                <c:pt idx="81">
                  <c:v>October</c:v>
                </c:pt>
                <c:pt idx="82">
                  <c:v>November</c:v>
                </c:pt>
                <c:pt idx="83">
                  <c:v>December</c:v>
                </c:pt>
                <c:pt idx="84">
                  <c:v>January</c:v>
                </c:pt>
                <c:pt idx="85">
                  <c:v>February</c:v>
                </c:pt>
                <c:pt idx="86">
                  <c:v>March</c:v>
                </c:pt>
                <c:pt idx="87">
                  <c:v>April</c:v>
                </c:pt>
                <c:pt idx="88">
                  <c:v>May</c:v>
                </c:pt>
                <c:pt idx="89">
                  <c:v>June</c:v>
                </c:pt>
                <c:pt idx="90">
                  <c:v>July</c:v>
                </c:pt>
                <c:pt idx="91">
                  <c:v>August</c:v>
                </c:pt>
              </c:strCache>
            </c:strRef>
          </c:cat>
          <c:val>
            <c:numRef>
              <c:f>Sheet1!$T$68:$DG$68</c:f>
              <c:numCache>
                <c:formatCode>_("$"* #,##0_);_("$"* \(#,##0\);_("$"* "-"??_);_(@_)</c:formatCode>
                <c:ptCount val="92"/>
                <c:pt idx="0">
                  <c:v>-97222222.222222224</c:v>
                </c:pt>
                <c:pt idx="1">
                  <c:v>-197222222.22222221</c:v>
                </c:pt>
                <c:pt idx="2">
                  <c:v>-297222222.22222221</c:v>
                </c:pt>
                <c:pt idx="3">
                  <c:v>-397222222.22222221</c:v>
                </c:pt>
                <c:pt idx="4">
                  <c:v>-497222222.22222221</c:v>
                </c:pt>
                <c:pt idx="5">
                  <c:v>-597222222.22222221</c:v>
                </c:pt>
                <c:pt idx="6">
                  <c:v>-697222222.22222221</c:v>
                </c:pt>
                <c:pt idx="7">
                  <c:v>-797222222.22222221</c:v>
                </c:pt>
                <c:pt idx="8">
                  <c:v>-897222222.22222221</c:v>
                </c:pt>
                <c:pt idx="9">
                  <c:v>-997222222.22222221</c:v>
                </c:pt>
                <c:pt idx="10">
                  <c:v>-1097222222.2222223</c:v>
                </c:pt>
                <c:pt idx="11">
                  <c:v>-1197222222.2222223</c:v>
                </c:pt>
                <c:pt idx="12">
                  <c:v>-1297222222.2222223</c:v>
                </c:pt>
                <c:pt idx="13">
                  <c:v>-1397222222.2222223</c:v>
                </c:pt>
                <c:pt idx="14">
                  <c:v>-1497222222.2222223</c:v>
                </c:pt>
                <c:pt idx="15">
                  <c:v>-1597222222.2222223</c:v>
                </c:pt>
                <c:pt idx="16">
                  <c:v>-1697222222.2222223</c:v>
                </c:pt>
                <c:pt idx="17">
                  <c:v>-1797222222.2222223</c:v>
                </c:pt>
                <c:pt idx="18">
                  <c:v>-1897222222.2222223</c:v>
                </c:pt>
                <c:pt idx="19">
                  <c:v>-1997222222.2222223</c:v>
                </c:pt>
                <c:pt idx="20">
                  <c:v>-2097222222.2222223</c:v>
                </c:pt>
                <c:pt idx="21">
                  <c:v>-2197222222.2222223</c:v>
                </c:pt>
                <c:pt idx="22">
                  <c:v>-2297222222.2222223</c:v>
                </c:pt>
                <c:pt idx="23">
                  <c:v>-2397222222.2222223</c:v>
                </c:pt>
                <c:pt idx="24">
                  <c:v>-2497222222.2222223</c:v>
                </c:pt>
                <c:pt idx="25">
                  <c:v>-2597222222.2222223</c:v>
                </c:pt>
                <c:pt idx="26">
                  <c:v>-2697222222.2222223</c:v>
                </c:pt>
                <c:pt idx="27">
                  <c:v>-2797222222.2222223</c:v>
                </c:pt>
                <c:pt idx="28">
                  <c:v>-2897222222.2222223</c:v>
                </c:pt>
                <c:pt idx="29">
                  <c:v>-2997222222.2222223</c:v>
                </c:pt>
                <c:pt idx="30">
                  <c:v>-3097222222.2222223</c:v>
                </c:pt>
                <c:pt idx="31">
                  <c:v>-3197222222.2222223</c:v>
                </c:pt>
                <c:pt idx="32">
                  <c:v>-3297222222.2222223</c:v>
                </c:pt>
                <c:pt idx="33">
                  <c:v>-3397222222.2222223</c:v>
                </c:pt>
                <c:pt idx="34">
                  <c:v>-3497222222.2222223</c:v>
                </c:pt>
                <c:pt idx="35">
                  <c:v>-3486936583.2222223</c:v>
                </c:pt>
                <c:pt idx="36">
                  <c:v>-3456011069.2847223</c:v>
                </c:pt>
                <c:pt idx="37">
                  <c:v>-3412988328.1597223</c:v>
                </c:pt>
                <c:pt idx="38">
                  <c:v>-3353147751.9097223</c:v>
                </c:pt>
                <c:pt idx="39">
                  <c:v>-3283132135.7847223</c:v>
                </c:pt>
                <c:pt idx="40">
                  <c:v>-3206868704.2222223</c:v>
                </c:pt>
                <c:pt idx="41">
                  <c:v>-3129051709.2847223</c:v>
                </c:pt>
                <c:pt idx="42">
                  <c:v>-3068017673.7222223</c:v>
                </c:pt>
                <c:pt idx="43">
                  <c:v>-2976444066.5972223</c:v>
                </c:pt>
                <c:pt idx="44">
                  <c:v>-2892433560.4722223</c:v>
                </c:pt>
                <c:pt idx="45">
                  <c:v>-2806192399.7847223</c:v>
                </c:pt>
                <c:pt idx="46">
                  <c:v>-2733263583.5972223</c:v>
                </c:pt>
                <c:pt idx="47">
                  <c:v>-2645294042.8472223</c:v>
                </c:pt>
                <c:pt idx="48">
                  <c:v>-2557787800.1597223</c:v>
                </c:pt>
                <c:pt idx="49">
                  <c:v>-2475559620.0347223</c:v>
                </c:pt>
                <c:pt idx="50">
                  <c:v>-2385315630.9722223</c:v>
                </c:pt>
                <c:pt idx="51">
                  <c:v>-2296014640.7847223</c:v>
                </c:pt>
                <c:pt idx="52">
                  <c:v>-2201087228.6597223</c:v>
                </c:pt>
                <c:pt idx="53">
                  <c:v>-2088594621.1597223</c:v>
                </c:pt>
                <c:pt idx="54">
                  <c:v>-1971706793.2847223</c:v>
                </c:pt>
                <c:pt idx="55">
                  <c:v>-1857684032.1597223</c:v>
                </c:pt>
                <c:pt idx="56">
                  <c:v>-1734409084.9097223</c:v>
                </c:pt>
                <c:pt idx="57">
                  <c:v>-1606433794.2847223</c:v>
                </c:pt>
                <c:pt idx="58">
                  <c:v>-1490055048.8472223</c:v>
                </c:pt>
                <c:pt idx="59">
                  <c:v>-1356224175.5347223</c:v>
                </c:pt>
                <c:pt idx="60">
                  <c:v>-1223321291.7847223</c:v>
                </c:pt>
                <c:pt idx="61">
                  <c:v>-1104534606.7222223</c:v>
                </c:pt>
                <c:pt idx="62">
                  <c:v>-968384615.47222233</c:v>
                </c:pt>
                <c:pt idx="63">
                  <c:v>-832390410.53472233</c:v>
                </c:pt>
                <c:pt idx="64">
                  <c:v>-686168692.84722233</c:v>
                </c:pt>
                <c:pt idx="65">
                  <c:v>-538877770.65972233</c:v>
                </c:pt>
                <c:pt idx="66">
                  <c:v>-389027621.34722233</c:v>
                </c:pt>
                <c:pt idx="67">
                  <c:v>-267600282.98730853</c:v>
                </c:pt>
                <c:pt idx="68">
                  <c:v>-139984419.61230853</c:v>
                </c:pt>
                <c:pt idx="69">
                  <c:v>-26645836.299808532</c:v>
                </c:pt>
                <c:pt idx="70">
                  <c:v>102547995.51269147</c:v>
                </c:pt>
                <c:pt idx="71">
                  <c:v>239594962.38769147</c:v>
                </c:pt>
                <c:pt idx="72">
                  <c:v>377612518.2001915</c:v>
                </c:pt>
                <c:pt idx="73">
                  <c:v>507268732.3876915</c:v>
                </c:pt>
                <c:pt idx="74">
                  <c:v>654271491.7001915</c:v>
                </c:pt>
                <c:pt idx="75">
                  <c:v>794029968.5126915</c:v>
                </c:pt>
                <c:pt idx="76">
                  <c:v>955405159.7626915</c:v>
                </c:pt>
                <c:pt idx="77">
                  <c:v>1114989863.4501915</c:v>
                </c:pt>
                <c:pt idx="78">
                  <c:v>1293065323.5126915</c:v>
                </c:pt>
                <c:pt idx="79">
                  <c:v>1477772749.8251915</c:v>
                </c:pt>
                <c:pt idx="80">
                  <c:v>1653599998.0126915</c:v>
                </c:pt>
                <c:pt idx="81">
                  <c:v>1829505159.2626915</c:v>
                </c:pt>
                <c:pt idx="82">
                  <c:v>1995025827.0751915</c:v>
                </c:pt>
                <c:pt idx="83">
                  <c:v>2172347198.5751915</c:v>
                </c:pt>
                <c:pt idx="84">
                  <c:v>2362151978.5126915</c:v>
                </c:pt>
                <c:pt idx="85">
                  <c:v>2530714998.1376915</c:v>
                </c:pt>
                <c:pt idx="86">
                  <c:v>2713344012.8876915</c:v>
                </c:pt>
                <c:pt idx="87">
                  <c:v>2890714513.0126915</c:v>
                </c:pt>
                <c:pt idx="88">
                  <c:v>3018849173.0751915</c:v>
                </c:pt>
                <c:pt idx="89">
                  <c:v>3195022511.3251915</c:v>
                </c:pt>
                <c:pt idx="90">
                  <c:v>3349225520.5126915</c:v>
                </c:pt>
                <c:pt idx="91">
                  <c:v>3463167103.9501915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D-4610-990B-5363DE15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44728"/>
        <c:axId val="360512248"/>
      </c:lineChart>
      <c:catAx>
        <c:axId val="5903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2248"/>
        <c:crosses val="autoZero"/>
        <c:auto val="1"/>
        <c:lblAlgn val="ctr"/>
        <c:lblOffset val="100"/>
        <c:noMultiLvlLbl val="0"/>
      </c:catAx>
      <c:valAx>
        <c:axId val="3605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Jack St Malo BSEE Production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Sheet2!$E$15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Sheet2!$F$15:$BJ$15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  <c:pt idx="55">
                  <c:v>4983</c:v>
                </c:pt>
                <c:pt idx="56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E-4457-8652-496CA1DE2AF7}"/>
            </c:ext>
          </c:extLst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Sheet2!$F$16:$BJ$16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  <c:pt idx="55">
                  <c:v>10846.103448275862</c:v>
                </c:pt>
                <c:pt idx="56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E-4457-8652-496CA1DE2AF7}"/>
            </c:ext>
          </c:extLst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Sheet2!$F$17:$BJ$17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  <c:pt idx="55">
                  <c:v>9862.9333333333325</c:v>
                </c:pt>
                <c:pt idx="56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E-4457-8652-496CA1DE2AF7}"/>
            </c:ext>
          </c:extLst>
        </c:ser>
        <c:ser>
          <c:idx val="4"/>
          <c:order val="4"/>
          <c:tx>
            <c:strRef>
              <c:f>Sheet2!$E$18</c:f>
              <c:strCache>
                <c:ptCount val="1"/>
                <c:pt idx="0">
                  <c:v>WR678 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Sheet2!$F$18:$BJ$18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  <c:pt idx="55">
                  <c:v>14536.310344827587</c:v>
                </c:pt>
                <c:pt idx="56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E-4457-8652-496CA1DE2AF7}"/>
            </c:ext>
          </c:extLst>
        </c:ser>
        <c:ser>
          <c:idx val="5"/>
          <c:order val="5"/>
          <c:tx>
            <c:strRef>
              <c:f>Sheet2!$E$19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Sheet2!$F$19:$BJ$19</c:f>
              <c:numCache>
                <c:formatCode>_(* #,##0_);_(* \(#,##0\);_(* "-"??_);_(@_)</c:formatCode>
                <c:ptCount val="57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  <c:pt idx="55">
                  <c:v>7027.3666666666668</c:v>
                </c:pt>
                <c:pt idx="56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E-4457-8652-496CA1DE2AF7}"/>
            </c:ext>
          </c:extLst>
        </c:ser>
        <c:ser>
          <c:idx val="6"/>
          <c:order val="6"/>
          <c:tx>
            <c:strRef>
              <c:f>Sheet2!$E$20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Sheet2!$F$20:$BJ$20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  <c:pt idx="55">
                  <c:v>13528.103448275862</c:v>
                </c:pt>
                <c:pt idx="56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E-4457-8652-496CA1DE2AF7}"/>
            </c:ext>
          </c:extLst>
        </c:ser>
        <c:ser>
          <c:idx val="7"/>
          <c:order val="7"/>
          <c:tx>
            <c:strRef>
              <c:f>Sheet2!$E$21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Sheet2!$F$21:$BJ$21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  <c:pt idx="55">
                  <c:v>7347.6551724137935</c:v>
                </c:pt>
                <c:pt idx="56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E-4457-8652-496CA1DE2AF7}"/>
            </c:ext>
          </c:extLst>
        </c:ser>
        <c:ser>
          <c:idx val="8"/>
          <c:order val="8"/>
          <c:tx>
            <c:strRef>
              <c:f>Sheet2!$E$22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Sheet2!$F$22:$BJ$22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  <c:pt idx="55">
                  <c:v>11420.137931034482</c:v>
                </c:pt>
                <c:pt idx="56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E-4457-8652-496CA1DE2AF7}"/>
            </c:ext>
          </c:extLst>
        </c:ser>
        <c:ser>
          <c:idx val="9"/>
          <c:order val="9"/>
          <c:tx>
            <c:strRef>
              <c:f>Sheet2!$E$23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Sheet2!$F$23:$BJ$23</c:f>
              <c:numCache>
                <c:formatCode>_(* #,##0_);_(* \(#,##0\);_(* "-"??_);_(@_)</c:formatCode>
                <c:ptCount val="57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  <c:pt idx="55">
                  <c:v>9960.5172413793098</c:v>
                </c:pt>
                <c:pt idx="56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E-4457-8652-496CA1DE2AF7}"/>
            </c:ext>
          </c:extLst>
        </c:ser>
        <c:ser>
          <c:idx val="10"/>
          <c:order val="10"/>
          <c:tx>
            <c:strRef>
              <c:f>Sheet2!$E$24</c:f>
              <c:strCache>
                <c:ptCount val="1"/>
                <c:pt idx="0">
                  <c:v>WR759 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Sheet2!$F$24:$BJ$24</c:f>
              <c:numCache>
                <c:formatCode>_(* #,##0_);_(* \(#,##0\);_(* "-"??_);_(@_)</c:formatCode>
                <c:ptCount val="57"/>
                <c:pt idx="0">
                  <c:v>8565.8799999999992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4310.2666666666664</c:v>
                </c:pt>
                <c:pt idx="26">
                  <c:v>738</c:v>
                </c:pt>
                <c:pt idx="27">
                  <c:v>4835.5357142857147</c:v>
                </c:pt>
                <c:pt idx="28">
                  <c:v>7325.2</c:v>
                </c:pt>
                <c:pt idx="29">
                  <c:v>6997.4193548387093</c:v>
                </c:pt>
                <c:pt idx="30">
                  <c:v>6976.4</c:v>
                </c:pt>
                <c:pt idx="31">
                  <c:v>7303.9354838709678</c:v>
                </c:pt>
                <c:pt idx="32">
                  <c:v>5497.5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E-4457-8652-496CA1DE2AF7}"/>
            </c:ext>
          </c:extLst>
        </c:ser>
        <c:ser>
          <c:idx val="11"/>
          <c:order val="11"/>
          <c:tx>
            <c:strRef>
              <c:f>Sheet2!$E$25</c:f>
              <c:strCache>
                <c:ptCount val="1"/>
                <c:pt idx="0">
                  <c:v>WR759 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Sheet2!$F$25:$BJ$25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11616.25</c:v>
                </c:pt>
                <c:pt idx="2">
                  <c:v>12999.25</c:v>
                </c:pt>
                <c:pt idx="3">
                  <c:v>14147.064516129032</c:v>
                </c:pt>
                <c:pt idx="4">
                  <c:v>13465.4</c:v>
                </c:pt>
                <c:pt idx="5">
                  <c:v>12616.758620689656</c:v>
                </c:pt>
                <c:pt idx="6">
                  <c:v>13383.133333333333</c:v>
                </c:pt>
                <c:pt idx="7">
                  <c:v>12302.260869565218</c:v>
                </c:pt>
                <c:pt idx="8">
                  <c:v>12680.225806451614</c:v>
                </c:pt>
                <c:pt idx="9">
                  <c:v>11413.366666666667</c:v>
                </c:pt>
                <c:pt idx="10">
                  <c:v>10655.612903225807</c:v>
                </c:pt>
                <c:pt idx="11">
                  <c:v>10056.103448275862</c:v>
                </c:pt>
                <c:pt idx="12">
                  <c:v>10589.838709677419</c:v>
                </c:pt>
                <c:pt idx="13">
                  <c:v>10775.709677419354</c:v>
                </c:pt>
                <c:pt idx="14">
                  <c:v>10902.724137931034</c:v>
                </c:pt>
                <c:pt idx="15">
                  <c:v>11249.258064516129</c:v>
                </c:pt>
                <c:pt idx="16">
                  <c:v>10529.866666666667</c:v>
                </c:pt>
                <c:pt idx="17">
                  <c:v>10324.68</c:v>
                </c:pt>
                <c:pt idx="18">
                  <c:v>10962.966666666667</c:v>
                </c:pt>
                <c:pt idx="19">
                  <c:v>10887.967741935483</c:v>
                </c:pt>
                <c:pt idx="20">
                  <c:v>11005.032258064517</c:v>
                </c:pt>
                <c:pt idx="21">
                  <c:v>10800.366666666667</c:v>
                </c:pt>
                <c:pt idx="22">
                  <c:v>10583.774193548386</c:v>
                </c:pt>
                <c:pt idx="23">
                  <c:v>10504.2</c:v>
                </c:pt>
                <c:pt idx="24">
                  <c:v>10362.935483870968</c:v>
                </c:pt>
                <c:pt idx="25">
                  <c:v>9583.3870967741932</c:v>
                </c:pt>
                <c:pt idx="26">
                  <c:v>9615.8928571428569</c:v>
                </c:pt>
                <c:pt idx="27">
                  <c:v>9415.032258064517</c:v>
                </c:pt>
                <c:pt idx="28">
                  <c:v>8937.2999999999993</c:v>
                </c:pt>
                <c:pt idx="29">
                  <c:v>9132.8064516129034</c:v>
                </c:pt>
                <c:pt idx="30">
                  <c:v>8813.1333333333332</c:v>
                </c:pt>
                <c:pt idx="31">
                  <c:v>8996.354838709678</c:v>
                </c:pt>
                <c:pt idx="32">
                  <c:v>7958</c:v>
                </c:pt>
                <c:pt idx="33">
                  <c:v>8377.0333333333328</c:v>
                </c:pt>
                <c:pt idx="34">
                  <c:v>7984.4285714285716</c:v>
                </c:pt>
                <c:pt idx="35">
                  <c:v>8265.0666666666675</c:v>
                </c:pt>
                <c:pt idx="36">
                  <c:v>8219.4193548387102</c:v>
                </c:pt>
                <c:pt idx="37">
                  <c:v>8196.6129032258068</c:v>
                </c:pt>
                <c:pt idx="38">
                  <c:v>7545.4642857142853</c:v>
                </c:pt>
                <c:pt idx="39">
                  <c:v>9540.7419354838712</c:v>
                </c:pt>
                <c:pt idx="40">
                  <c:v>9120.4</c:v>
                </c:pt>
                <c:pt idx="41">
                  <c:v>9135.7741935483864</c:v>
                </c:pt>
                <c:pt idx="42">
                  <c:v>8959.6</c:v>
                </c:pt>
                <c:pt idx="43">
                  <c:v>8217.7096774193542</c:v>
                </c:pt>
                <c:pt idx="44">
                  <c:v>8497.3870967741932</c:v>
                </c:pt>
                <c:pt idx="45">
                  <c:v>8256</c:v>
                </c:pt>
                <c:pt idx="46">
                  <c:v>8079.322580645161</c:v>
                </c:pt>
                <c:pt idx="47">
                  <c:v>7866.666666666667</c:v>
                </c:pt>
                <c:pt idx="48">
                  <c:v>7245.8666666666668</c:v>
                </c:pt>
                <c:pt idx="49">
                  <c:v>7879.322580645161</c:v>
                </c:pt>
                <c:pt idx="50">
                  <c:v>7590.6071428571431</c:v>
                </c:pt>
                <c:pt idx="51">
                  <c:v>7108.1935483870966</c:v>
                </c:pt>
                <c:pt idx="52">
                  <c:v>7251.9666666666662</c:v>
                </c:pt>
                <c:pt idx="53">
                  <c:v>6805.272727272727</c:v>
                </c:pt>
                <c:pt idx="54">
                  <c:v>6634.5</c:v>
                </c:pt>
                <c:pt idx="55">
                  <c:v>6137.3793103448279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E-4457-8652-496CA1DE2AF7}"/>
            </c:ext>
          </c:extLst>
        </c:ser>
        <c:ser>
          <c:idx val="12"/>
          <c:order val="12"/>
          <c:tx>
            <c:strRef>
              <c:f>Sheet2!$E$26</c:f>
              <c:strCache>
                <c:ptCount val="1"/>
                <c:pt idx="0">
                  <c:v>WR759 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Sheet2!$F$26:$BJ$26</c:f>
              <c:numCache>
                <c:formatCode>_(* #,##0_);_(* \(#,##0\);_(* "-"??_);_(@_)</c:formatCode>
                <c:ptCount val="57"/>
                <c:pt idx="0">
                  <c:v>1331.25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9320.2941176470595</c:v>
                </c:pt>
                <c:pt idx="8">
                  <c:v>12506.838709677419</c:v>
                </c:pt>
                <c:pt idx="9">
                  <c:v>12578.7</c:v>
                </c:pt>
                <c:pt idx="10">
                  <c:v>12528.032258064517</c:v>
                </c:pt>
                <c:pt idx="11">
                  <c:v>12295.965517241379</c:v>
                </c:pt>
                <c:pt idx="12">
                  <c:v>12950.032258064517</c:v>
                </c:pt>
                <c:pt idx="13">
                  <c:v>13213.129032258064</c:v>
                </c:pt>
                <c:pt idx="14">
                  <c:v>13575.724137931034</c:v>
                </c:pt>
                <c:pt idx="15">
                  <c:v>14509.967741935483</c:v>
                </c:pt>
                <c:pt idx="16">
                  <c:v>14188.066666666668</c:v>
                </c:pt>
                <c:pt idx="17">
                  <c:v>14438.24</c:v>
                </c:pt>
                <c:pt idx="18">
                  <c:v>15465.433333333332</c:v>
                </c:pt>
                <c:pt idx="19">
                  <c:v>15319.161290322581</c:v>
                </c:pt>
                <c:pt idx="20">
                  <c:v>15654.967741935483</c:v>
                </c:pt>
                <c:pt idx="21">
                  <c:v>15454.866666666667</c:v>
                </c:pt>
                <c:pt idx="22">
                  <c:v>14540.516129032258</c:v>
                </c:pt>
                <c:pt idx="23">
                  <c:v>15701.833333333334</c:v>
                </c:pt>
                <c:pt idx="24">
                  <c:v>16502.580645161292</c:v>
                </c:pt>
                <c:pt idx="25">
                  <c:v>15641.870967741936</c:v>
                </c:pt>
                <c:pt idx="26">
                  <c:v>16865.035714285714</c:v>
                </c:pt>
                <c:pt idx="27">
                  <c:v>16465.806451612902</c:v>
                </c:pt>
                <c:pt idx="28">
                  <c:v>16365.933333333332</c:v>
                </c:pt>
                <c:pt idx="29">
                  <c:v>16778.709677419356</c:v>
                </c:pt>
                <c:pt idx="30">
                  <c:v>16464.366666666665</c:v>
                </c:pt>
                <c:pt idx="31">
                  <c:v>15236.586206896553</c:v>
                </c:pt>
                <c:pt idx="32">
                  <c:v>6105.4</c:v>
                </c:pt>
                <c:pt idx="33">
                  <c:v>5804.1</c:v>
                </c:pt>
                <c:pt idx="34">
                  <c:v>8438.25</c:v>
                </c:pt>
                <c:pt idx="35">
                  <c:v>8008.0714285714284</c:v>
                </c:pt>
                <c:pt idx="36">
                  <c:v>9869.5483870967746</c:v>
                </c:pt>
                <c:pt idx="37">
                  <c:v>10209.935483870968</c:v>
                </c:pt>
                <c:pt idx="38">
                  <c:v>12299.785714285714</c:v>
                </c:pt>
                <c:pt idx="39">
                  <c:v>10533.612903225807</c:v>
                </c:pt>
                <c:pt idx="40">
                  <c:v>10176.766666666666</c:v>
                </c:pt>
                <c:pt idx="41">
                  <c:v>10318.290322580646</c:v>
                </c:pt>
                <c:pt idx="42">
                  <c:v>10488.5</c:v>
                </c:pt>
                <c:pt idx="43">
                  <c:v>10099.322580645161</c:v>
                </c:pt>
                <c:pt idx="44">
                  <c:v>10313.709677419354</c:v>
                </c:pt>
                <c:pt idx="45">
                  <c:v>10497.366666666667</c:v>
                </c:pt>
                <c:pt idx="46">
                  <c:v>10253.838709677419</c:v>
                </c:pt>
                <c:pt idx="47">
                  <c:v>9859.5</c:v>
                </c:pt>
                <c:pt idx="48">
                  <c:v>9658.0344827586214</c:v>
                </c:pt>
                <c:pt idx="49">
                  <c:v>10165.483870967742</c:v>
                </c:pt>
                <c:pt idx="50">
                  <c:v>11454.857142857143</c:v>
                </c:pt>
                <c:pt idx="51">
                  <c:v>11768.741935483871</c:v>
                </c:pt>
                <c:pt idx="52">
                  <c:v>11997.433333333332</c:v>
                </c:pt>
                <c:pt idx="53">
                  <c:v>10987.565217391304</c:v>
                </c:pt>
                <c:pt idx="54">
                  <c:v>12098.866666666667</c:v>
                </c:pt>
                <c:pt idx="55">
                  <c:v>11299.896551724138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FE-4457-8652-496CA1DE2AF7}"/>
            </c:ext>
          </c:extLst>
        </c:ser>
        <c:ser>
          <c:idx val="13"/>
          <c:order val="13"/>
          <c:tx>
            <c:strRef>
              <c:f>Sheet2!$E$27</c:f>
              <c:strCache>
                <c:ptCount val="1"/>
                <c:pt idx="0">
                  <c:v>WR759 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Sheet2!$F$27:$BJ$27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873.5</c:v>
                </c:pt>
                <c:pt idx="2">
                  <c:v>6790.8</c:v>
                </c:pt>
                <c:pt idx="3">
                  <c:v>0</c:v>
                </c:pt>
                <c:pt idx="4">
                  <c:v>9962.6666666666661</c:v>
                </c:pt>
                <c:pt idx="5">
                  <c:v>12357</c:v>
                </c:pt>
                <c:pt idx="6">
                  <c:v>12247.5</c:v>
                </c:pt>
                <c:pt idx="7">
                  <c:v>10966.652173913044</c:v>
                </c:pt>
                <c:pt idx="8">
                  <c:v>11142.032258064517</c:v>
                </c:pt>
                <c:pt idx="9">
                  <c:v>11061.8</c:v>
                </c:pt>
                <c:pt idx="10">
                  <c:v>10468.741935483871</c:v>
                </c:pt>
                <c:pt idx="11">
                  <c:v>9706.1724137931033</c:v>
                </c:pt>
                <c:pt idx="12">
                  <c:v>10611</c:v>
                </c:pt>
                <c:pt idx="13">
                  <c:v>10098.258064516129</c:v>
                </c:pt>
                <c:pt idx="14">
                  <c:v>10102.965517241379</c:v>
                </c:pt>
                <c:pt idx="15">
                  <c:v>10298.548387096775</c:v>
                </c:pt>
                <c:pt idx="16">
                  <c:v>10298.548387096775</c:v>
                </c:pt>
                <c:pt idx="17">
                  <c:v>9429.64</c:v>
                </c:pt>
                <c:pt idx="18">
                  <c:v>9958.0333333333328</c:v>
                </c:pt>
                <c:pt idx="19">
                  <c:v>9586.7096774193542</c:v>
                </c:pt>
                <c:pt idx="20">
                  <c:v>9574.8387096774186</c:v>
                </c:pt>
                <c:pt idx="21">
                  <c:v>9347</c:v>
                </c:pt>
                <c:pt idx="22">
                  <c:v>8517.4516129032254</c:v>
                </c:pt>
                <c:pt idx="23">
                  <c:v>8723.7000000000007</c:v>
                </c:pt>
                <c:pt idx="24">
                  <c:v>8776.2258064516136</c:v>
                </c:pt>
                <c:pt idx="25">
                  <c:v>8424.3870967741932</c:v>
                </c:pt>
                <c:pt idx="26">
                  <c:v>8567</c:v>
                </c:pt>
                <c:pt idx="27">
                  <c:v>8614.9032258064508</c:v>
                </c:pt>
                <c:pt idx="28">
                  <c:v>8440</c:v>
                </c:pt>
                <c:pt idx="29">
                  <c:v>8652.1612903225814</c:v>
                </c:pt>
                <c:pt idx="30">
                  <c:v>8224.2666666666664</c:v>
                </c:pt>
                <c:pt idx="31">
                  <c:v>8502.4838709677424</c:v>
                </c:pt>
                <c:pt idx="32">
                  <c:v>7669.8620689655172</c:v>
                </c:pt>
                <c:pt idx="33">
                  <c:v>8042.166666666667</c:v>
                </c:pt>
                <c:pt idx="34">
                  <c:v>7357.2857142857147</c:v>
                </c:pt>
                <c:pt idx="35">
                  <c:v>7736.4</c:v>
                </c:pt>
                <c:pt idx="36">
                  <c:v>7670.3870967741932</c:v>
                </c:pt>
                <c:pt idx="37">
                  <c:v>7527.2580645161288</c:v>
                </c:pt>
                <c:pt idx="38">
                  <c:v>7040.5</c:v>
                </c:pt>
                <c:pt idx="39">
                  <c:v>8648.4193548387102</c:v>
                </c:pt>
                <c:pt idx="40">
                  <c:v>8256.1333333333332</c:v>
                </c:pt>
                <c:pt idx="41">
                  <c:v>8151.3870967741932</c:v>
                </c:pt>
                <c:pt idx="42">
                  <c:v>7730.333333333333</c:v>
                </c:pt>
                <c:pt idx="43">
                  <c:v>7624.1290322580644</c:v>
                </c:pt>
                <c:pt idx="44">
                  <c:v>7754.0645161290322</c:v>
                </c:pt>
                <c:pt idx="45">
                  <c:v>7489.4333333333334</c:v>
                </c:pt>
                <c:pt idx="46">
                  <c:v>7425.3548387096771</c:v>
                </c:pt>
                <c:pt idx="47">
                  <c:v>7356.5666666666666</c:v>
                </c:pt>
                <c:pt idx="48">
                  <c:v>6649.4</c:v>
                </c:pt>
                <c:pt idx="49">
                  <c:v>7426.5483870967746</c:v>
                </c:pt>
                <c:pt idx="50">
                  <c:v>7109.2857142857147</c:v>
                </c:pt>
                <c:pt idx="51">
                  <c:v>6863.333333333333</c:v>
                </c:pt>
                <c:pt idx="52">
                  <c:v>6839.8</c:v>
                </c:pt>
                <c:pt idx="53">
                  <c:v>6619.272727272727</c:v>
                </c:pt>
                <c:pt idx="54">
                  <c:v>7060.6</c:v>
                </c:pt>
                <c:pt idx="55">
                  <c:v>6404.1333333333332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FE-4457-8652-496CA1DE2AF7}"/>
            </c:ext>
          </c:extLst>
        </c:ser>
        <c:ser>
          <c:idx val="14"/>
          <c:order val="14"/>
          <c:tx>
            <c:strRef>
              <c:f>Sheet2!$E$28</c:f>
              <c:strCache>
                <c:ptCount val="1"/>
                <c:pt idx="0">
                  <c:v>WR759 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Sheet2!$F$28:$BJ$28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6777.9642857142853</c:v>
                </c:pt>
                <c:pt idx="41">
                  <c:v>7471</c:v>
                </c:pt>
                <c:pt idx="42">
                  <c:v>8594.3333333333339</c:v>
                </c:pt>
                <c:pt idx="43">
                  <c:v>9039.8387096774186</c:v>
                </c:pt>
                <c:pt idx="44">
                  <c:v>10846.064516129032</c:v>
                </c:pt>
                <c:pt idx="45">
                  <c:v>10968.3</c:v>
                </c:pt>
                <c:pt idx="46">
                  <c:v>10994.516129032258</c:v>
                </c:pt>
                <c:pt idx="47">
                  <c:v>11756.933333333332</c:v>
                </c:pt>
                <c:pt idx="48">
                  <c:v>11068.4</c:v>
                </c:pt>
                <c:pt idx="49">
                  <c:v>11928.41935483871</c:v>
                </c:pt>
                <c:pt idx="50">
                  <c:v>12408.071428571429</c:v>
                </c:pt>
                <c:pt idx="51">
                  <c:v>12133.483870967742</c:v>
                </c:pt>
                <c:pt idx="52">
                  <c:v>12415.166666666666</c:v>
                </c:pt>
                <c:pt idx="53">
                  <c:v>11592.391304347826</c:v>
                </c:pt>
                <c:pt idx="54">
                  <c:v>13107.2</c:v>
                </c:pt>
                <c:pt idx="55">
                  <c:v>13054.88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E-4457-8652-496CA1DE2AF7}"/>
            </c:ext>
          </c:extLst>
        </c:ser>
        <c:ser>
          <c:idx val="15"/>
          <c:order val="15"/>
          <c:tx>
            <c:strRef>
              <c:f>Sheet2!$E$29</c:f>
              <c:strCache>
                <c:ptCount val="1"/>
                <c:pt idx="0">
                  <c:v>WR759 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Sheet2!$F$29:$BJ$29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8001.0555555555557</c:v>
                </c:pt>
                <c:pt idx="49">
                  <c:v>10143.387096774193</c:v>
                </c:pt>
                <c:pt idx="50">
                  <c:v>11468.535714285714</c:v>
                </c:pt>
                <c:pt idx="51">
                  <c:v>11491.58064516129</c:v>
                </c:pt>
                <c:pt idx="52">
                  <c:v>10493.333333333334</c:v>
                </c:pt>
                <c:pt idx="53">
                  <c:v>10721.608695652174</c:v>
                </c:pt>
                <c:pt idx="54">
                  <c:v>11041.6</c:v>
                </c:pt>
                <c:pt idx="55">
                  <c:v>10249.76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FE-4457-8652-496CA1DE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5016"/>
        <c:axId val="544878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Sheet2!$F$12:$BJ$13</c15:sqref>
                        </c15:fullRef>
                        <c15:levelRef>
                          <c15:sqref>Sheet2!$F$12:$BJ$12</c15:sqref>
                        </c15:levelRef>
                        <c15:formulaRef>
                          <c15:sqref>Sheet2!$F$12:$BJ$12</c15:sqref>
                        </c15:formulaRef>
                      </c:ext>
                    </c:extLst>
                    <c:strCache>
                      <c:ptCount val="57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  <c:pt idx="55">
                        <c:v>July</c:v>
                      </c:pt>
                      <c:pt idx="56">
                        <c:v>August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Sheet2!$F$14:$BJ$14</c15:sqref>
                        </c15:formulaRef>
                      </c:ext>
                    </c:extLst>
                    <c:numCache>
                      <c:formatCode>General</c:formatCode>
                      <c:ptCount val="5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FE-4457-8652-496CA1DE2AF7}"/>
                  </c:ext>
                </c:extLst>
              </c15:ser>
            </c15:filteredLineSeries>
          </c:ext>
        </c:extLst>
      </c:lineChart>
      <c:catAx>
        <c:axId val="544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8952"/>
        <c:crosses val="autoZero"/>
        <c:auto val="1"/>
        <c:lblAlgn val="ctr"/>
        <c:lblOffset val="100"/>
        <c:noMultiLvlLbl val="0"/>
      </c:catAx>
      <c:valAx>
        <c:axId val="544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 St Malo Production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Sheet2!$E$15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Sheet2!$F$15:$BJ$15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  <c:pt idx="55">
                  <c:v>4983</c:v>
                </c:pt>
                <c:pt idx="56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6-40B6-9454-2FD5340331BF}"/>
            </c:ext>
          </c:extLst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Sheet2!$F$16:$BJ$16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  <c:pt idx="55">
                  <c:v>10846.103448275862</c:v>
                </c:pt>
                <c:pt idx="56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6-40B6-9454-2FD5340331BF}"/>
            </c:ext>
          </c:extLst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Sheet2!$F$17:$BJ$17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  <c:pt idx="55">
                  <c:v>9862.9333333333325</c:v>
                </c:pt>
                <c:pt idx="56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6-40B6-9454-2FD5340331BF}"/>
            </c:ext>
          </c:extLst>
        </c:ser>
        <c:ser>
          <c:idx val="4"/>
          <c:order val="4"/>
          <c:tx>
            <c:strRef>
              <c:f>Sheet2!$E$18</c:f>
              <c:strCache>
                <c:ptCount val="1"/>
                <c:pt idx="0">
                  <c:v>WR678 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Sheet2!$F$18:$BJ$18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  <c:pt idx="55">
                  <c:v>14536.310344827587</c:v>
                </c:pt>
                <c:pt idx="56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6-40B6-9454-2FD5340331BF}"/>
            </c:ext>
          </c:extLst>
        </c:ser>
        <c:ser>
          <c:idx val="5"/>
          <c:order val="5"/>
          <c:tx>
            <c:strRef>
              <c:f>Sheet2!$E$19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Sheet2!$F$19:$BJ$19</c:f>
              <c:numCache>
                <c:formatCode>_(* #,##0_);_(* \(#,##0\);_(* "-"??_);_(@_)</c:formatCode>
                <c:ptCount val="57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  <c:pt idx="55">
                  <c:v>7027.3666666666668</c:v>
                </c:pt>
                <c:pt idx="56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6-40B6-9454-2FD5340331BF}"/>
            </c:ext>
          </c:extLst>
        </c:ser>
        <c:ser>
          <c:idx val="6"/>
          <c:order val="6"/>
          <c:tx>
            <c:strRef>
              <c:f>Sheet2!$E$20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Sheet2!$F$20:$BJ$20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  <c:pt idx="55">
                  <c:v>13528.103448275862</c:v>
                </c:pt>
                <c:pt idx="56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26-40B6-9454-2FD5340331BF}"/>
            </c:ext>
          </c:extLst>
        </c:ser>
        <c:ser>
          <c:idx val="7"/>
          <c:order val="7"/>
          <c:tx>
            <c:strRef>
              <c:f>Sheet2!$E$21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Sheet2!$F$21:$BJ$21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  <c:pt idx="55">
                  <c:v>7347.6551724137935</c:v>
                </c:pt>
                <c:pt idx="56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26-40B6-9454-2FD5340331BF}"/>
            </c:ext>
          </c:extLst>
        </c:ser>
        <c:ser>
          <c:idx val="8"/>
          <c:order val="8"/>
          <c:tx>
            <c:strRef>
              <c:f>Sheet2!$E$22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Sheet2!$F$22:$BJ$22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  <c:pt idx="55">
                  <c:v>11420.137931034482</c:v>
                </c:pt>
                <c:pt idx="56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26-40B6-9454-2FD5340331BF}"/>
            </c:ext>
          </c:extLst>
        </c:ser>
        <c:ser>
          <c:idx val="9"/>
          <c:order val="9"/>
          <c:tx>
            <c:strRef>
              <c:f>Sheet2!$E$23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Sheet2!$F$12:$BJ$13</c15:sqref>
                  </c15:fullRef>
                  <c15:levelRef>
                    <c15:sqref>Sheet2!$F$12:$BJ$12</c15:sqref>
                  </c15:levelRef>
                </c:ext>
              </c:extLst>
              <c:f>Sheet2!$F$12:$BJ$12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Sheet2!$F$23:$BJ$23</c:f>
              <c:numCache>
                <c:formatCode>_(* #,##0_);_(* \(#,##0\);_(* "-"??_);_(@_)</c:formatCode>
                <c:ptCount val="57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  <c:pt idx="55">
                  <c:v>9960.5172413793098</c:v>
                </c:pt>
                <c:pt idx="56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26-40B6-9454-2FD53403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60632"/>
        <c:axId val="80815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Sheet2!$F$12:$BJ$13</c15:sqref>
                        </c15:fullRef>
                        <c15:levelRef>
                          <c15:sqref>Sheet2!$F$12:$BJ$12</c15:sqref>
                        </c15:levelRef>
                        <c15:formulaRef>
                          <c15:sqref>Sheet2!$F$12:$BJ$12</c15:sqref>
                        </c15:formulaRef>
                      </c:ext>
                    </c:extLst>
                    <c:strCache>
                      <c:ptCount val="57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  <c:pt idx="55">
                        <c:v>July</c:v>
                      </c:pt>
                      <c:pt idx="56">
                        <c:v>August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Sheet2!$F$14:$BJ$14</c15:sqref>
                        </c15:formulaRef>
                      </c:ext>
                    </c:extLst>
                    <c:numCache>
                      <c:formatCode>General</c:formatCode>
                      <c:ptCount val="5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26-40B6-9454-2FD5340331BF}"/>
                  </c:ext>
                </c:extLst>
              </c15:ser>
            </c15:filteredLineSeries>
          </c:ext>
        </c:extLst>
      </c:lineChart>
      <c:catAx>
        <c:axId val="8081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55056"/>
        <c:crosses val="autoZero"/>
        <c:auto val="1"/>
        <c:lblAlgn val="ctr"/>
        <c:lblOffset val="100"/>
        <c:noMultiLvlLbl val="0"/>
      </c:catAx>
      <c:valAx>
        <c:axId val="8081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197921</xdr:colOff>
      <xdr:row>72</xdr:row>
      <xdr:rowOff>140030</xdr:rowOff>
    </xdr:from>
    <xdr:to>
      <xdr:col>112</xdr:col>
      <xdr:colOff>653142</xdr:colOff>
      <xdr:row>118</xdr:row>
      <xdr:rowOff>76695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0D0F2-DD2E-4127-B4B2-B3F9B42A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232559</xdr:colOff>
      <xdr:row>42</xdr:row>
      <xdr:rowOff>3956</xdr:rowOff>
    </xdr:from>
    <xdr:to>
      <xdr:col>18</xdr:col>
      <xdr:colOff>366156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CA94E-E95F-4077-90D9-83C91AFD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152400</xdr:colOff>
      <xdr:row>34</xdr:row>
      <xdr:rowOff>142875</xdr:rowOff>
    </xdr:from>
    <xdr:to>
      <xdr:col>66</xdr:col>
      <xdr:colOff>238125</xdr:colOff>
      <xdr:row>81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0F500-430A-4B21-A5F5-E3A8FF73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36</xdr:row>
      <xdr:rowOff>133350</xdr:rowOff>
    </xdr:from>
    <xdr:to>
      <xdr:col>38</xdr:col>
      <xdr:colOff>257175</xdr:colOff>
      <xdr:row>76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11D1E-883E-4AC9-A9B7-671C9A37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workbookViewId="0">
      <selection sqref="A1:B1"/>
    </sheetView>
  </sheetViews>
  <sheetFormatPr defaultRowHeight="12.75" x14ac:dyDescent="0.2"/>
  <cols>
    <col min="1" max="1" width="10.5" customWidth="1"/>
    <col min="2" max="2" width="3.33203125" customWidth="1"/>
    <col min="3" max="4" width="1.1640625" customWidth="1"/>
    <col min="5" max="5" width="11.5" customWidth="1"/>
    <col min="6" max="6" width="16.1640625" customWidth="1"/>
    <col min="7" max="7" width="11.5" customWidth="1"/>
    <col min="8" max="8" width="3.33203125" customWidth="1"/>
    <col min="9" max="9" width="11.5" customWidth="1"/>
    <col min="10" max="10" width="5.83203125" customWidth="1"/>
    <col min="11" max="11" width="20.83203125" customWidth="1"/>
    <col min="12" max="13" width="19.83203125" customWidth="1"/>
    <col min="14" max="14" width="16.1640625" customWidth="1"/>
    <col min="15" max="15" width="8" customWidth="1"/>
    <col min="16" max="16" width="3.33203125" customWidth="1"/>
  </cols>
  <sheetData>
    <row r="1" spans="1:15" ht="42.75" customHeight="1" x14ac:dyDescent="0.25">
      <c r="A1" s="58" t="s">
        <v>0</v>
      </c>
      <c r="B1" s="58"/>
      <c r="C1" s="59" t="s">
        <v>1</v>
      </c>
      <c r="D1" s="59"/>
      <c r="E1" s="59"/>
      <c r="F1" s="3" t="s">
        <v>2</v>
      </c>
      <c r="G1" s="60"/>
      <c r="H1" s="60"/>
      <c r="I1" s="60"/>
      <c r="J1" s="60"/>
      <c r="K1" s="60"/>
      <c r="L1" s="60"/>
      <c r="M1" s="60"/>
      <c r="N1" s="60"/>
      <c r="O1" s="60"/>
    </row>
    <row r="2" spans="1:15" ht="14.85" customHeight="1" x14ac:dyDescent="0.2">
      <c r="A2" s="61" t="s">
        <v>3</v>
      </c>
      <c r="B2" s="61"/>
      <c r="C2" s="61" t="s">
        <v>4</v>
      </c>
      <c r="D2" s="61"/>
      <c r="E2" s="61"/>
      <c r="F2" s="6" t="s">
        <v>5</v>
      </c>
      <c r="G2" s="7"/>
      <c r="H2" s="7"/>
      <c r="I2" s="62"/>
      <c r="J2" s="62"/>
      <c r="K2" s="8" t="s">
        <v>6</v>
      </c>
      <c r="L2" s="8" t="s">
        <v>7</v>
      </c>
      <c r="M2" s="9" t="s">
        <v>8</v>
      </c>
      <c r="N2" s="10" t="s">
        <v>9</v>
      </c>
      <c r="O2" s="11" t="s">
        <v>10</v>
      </c>
    </row>
    <row r="3" spans="1:15" ht="15" customHeight="1" x14ac:dyDescent="0.2">
      <c r="A3" s="55" t="s">
        <v>11</v>
      </c>
      <c r="B3" s="55"/>
      <c r="C3" s="55" t="s">
        <v>12</v>
      </c>
      <c r="D3" s="55"/>
      <c r="E3" s="55"/>
      <c r="F3" s="6" t="s">
        <v>13</v>
      </c>
      <c r="G3" s="12" t="s">
        <v>14</v>
      </c>
      <c r="H3" s="7"/>
      <c r="I3" s="61" t="s">
        <v>15</v>
      </c>
      <c r="J3" s="61"/>
      <c r="K3" s="13" t="s">
        <v>16</v>
      </c>
      <c r="L3" s="6" t="s">
        <v>17</v>
      </c>
      <c r="M3" s="9" t="s">
        <v>17</v>
      </c>
      <c r="N3" s="14" t="s">
        <v>18</v>
      </c>
      <c r="O3" s="11" t="s">
        <v>19</v>
      </c>
    </row>
    <row r="4" spans="1:15" ht="14.25" customHeight="1" x14ac:dyDescent="0.2">
      <c r="A4" s="52">
        <v>201201</v>
      </c>
      <c r="B4" s="52"/>
      <c r="C4" s="64">
        <v>2</v>
      </c>
      <c r="D4" s="64"/>
      <c r="E4" s="64"/>
      <c r="F4" s="15">
        <v>0</v>
      </c>
      <c r="G4" s="7"/>
      <c r="H4" s="16">
        <v>0</v>
      </c>
      <c r="I4" s="54">
        <v>0</v>
      </c>
      <c r="J4" s="54"/>
      <c r="K4" s="18">
        <v>0</v>
      </c>
      <c r="L4" s="19">
        <v>0</v>
      </c>
      <c r="M4" s="20">
        <v>0</v>
      </c>
      <c r="N4" s="21">
        <v>0</v>
      </c>
      <c r="O4" s="22" t="s">
        <v>20</v>
      </c>
    </row>
    <row r="5" spans="1:15" ht="14.25" customHeight="1" x14ac:dyDescent="0.2">
      <c r="A5" s="52">
        <v>201201</v>
      </c>
      <c r="B5" s="52"/>
      <c r="C5" s="57" t="s">
        <v>21</v>
      </c>
      <c r="D5" s="57"/>
      <c r="E5" s="57"/>
      <c r="F5" s="15">
        <v>0</v>
      </c>
      <c r="G5" s="4"/>
      <c r="H5" s="16">
        <v>0</v>
      </c>
      <c r="I5" s="54">
        <v>0</v>
      </c>
      <c r="J5" s="54"/>
      <c r="K5" s="18">
        <v>0</v>
      </c>
      <c r="L5" s="19">
        <v>0</v>
      </c>
      <c r="M5" s="20">
        <v>0</v>
      </c>
      <c r="N5" s="21">
        <v>0</v>
      </c>
      <c r="O5" s="22" t="s">
        <v>22</v>
      </c>
    </row>
    <row r="6" spans="1:15" ht="25.35" customHeight="1" x14ac:dyDescent="0.2">
      <c r="A6" s="55" t="s">
        <v>23</v>
      </c>
      <c r="B6" s="55"/>
      <c r="C6" s="55"/>
      <c r="D6" s="55"/>
      <c r="E6" s="1" t="s">
        <v>24</v>
      </c>
      <c r="F6" s="4"/>
      <c r="G6" s="56">
        <v>0</v>
      </c>
      <c r="H6" s="56"/>
      <c r="I6" s="4"/>
      <c r="J6" s="17">
        <v>0</v>
      </c>
      <c r="K6" s="4"/>
      <c r="L6" s="19">
        <v>0</v>
      </c>
      <c r="M6" s="20">
        <v>0</v>
      </c>
      <c r="N6" s="21">
        <v>0</v>
      </c>
      <c r="O6" s="4"/>
    </row>
    <row r="7" spans="1:15" ht="17.100000000000001" customHeight="1" x14ac:dyDescent="0.2">
      <c r="A7" s="52">
        <v>201202</v>
      </c>
      <c r="B7" s="52"/>
      <c r="C7" s="52"/>
      <c r="D7" s="52"/>
      <c r="E7" s="23">
        <v>2</v>
      </c>
      <c r="F7" s="15">
        <v>0</v>
      </c>
      <c r="G7" s="56">
        <v>0</v>
      </c>
      <c r="H7" s="56"/>
      <c r="I7" s="7"/>
      <c r="J7" s="17">
        <v>0</v>
      </c>
      <c r="K7" s="18">
        <v>0</v>
      </c>
      <c r="L7" s="19">
        <v>0</v>
      </c>
      <c r="M7" s="20">
        <v>0</v>
      </c>
      <c r="N7" s="21">
        <v>0</v>
      </c>
      <c r="O7" s="22" t="s">
        <v>20</v>
      </c>
    </row>
    <row r="8" spans="1:15" ht="14.85" customHeight="1" x14ac:dyDescent="0.2">
      <c r="A8" s="52">
        <v>201202</v>
      </c>
      <c r="B8" s="52"/>
      <c r="C8" s="52"/>
      <c r="D8" s="52"/>
      <c r="E8" s="2" t="s">
        <v>21</v>
      </c>
      <c r="F8" s="15">
        <v>5</v>
      </c>
      <c r="G8" s="71">
        <v>11648</v>
      </c>
      <c r="H8" s="71"/>
      <c r="I8" s="7"/>
      <c r="J8" s="17">
        <v>0</v>
      </c>
      <c r="K8" s="18">
        <v>0</v>
      </c>
      <c r="L8" s="19">
        <v>0</v>
      </c>
      <c r="M8" s="20">
        <v>4350</v>
      </c>
      <c r="N8" s="21">
        <v>1034</v>
      </c>
      <c r="O8" s="22" t="s">
        <v>22</v>
      </c>
    </row>
    <row r="9" spans="1:15" ht="21.6" customHeight="1" x14ac:dyDescent="0.2">
      <c r="A9" s="55" t="s">
        <v>23</v>
      </c>
      <c r="B9" s="55"/>
      <c r="C9" s="55"/>
      <c r="D9" s="55"/>
      <c r="E9" s="1" t="s">
        <v>24</v>
      </c>
      <c r="F9" s="4"/>
      <c r="G9" s="71">
        <v>11648</v>
      </c>
      <c r="H9" s="71"/>
      <c r="I9" s="4"/>
      <c r="J9" s="17">
        <v>0</v>
      </c>
      <c r="K9" s="4"/>
      <c r="L9" s="19">
        <v>0</v>
      </c>
      <c r="M9" s="20">
        <v>4350</v>
      </c>
      <c r="N9" s="21">
        <v>1034</v>
      </c>
      <c r="O9" s="4"/>
    </row>
    <row r="10" spans="1:15" ht="17.100000000000001" customHeight="1" x14ac:dyDescent="0.2">
      <c r="A10" s="52">
        <v>201203</v>
      </c>
      <c r="B10" s="52"/>
      <c r="C10" s="52"/>
      <c r="D10" s="52"/>
      <c r="E10" s="23">
        <v>2</v>
      </c>
      <c r="F10" s="15">
        <v>0</v>
      </c>
      <c r="G10" s="56">
        <v>0</v>
      </c>
      <c r="H10" s="56"/>
      <c r="I10" s="7"/>
      <c r="J10" s="17">
        <v>0</v>
      </c>
      <c r="K10" s="18">
        <v>0</v>
      </c>
      <c r="L10" s="19">
        <v>0</v>
      </c>
      <c r="M10" s="20">
        <v>0</v>
      </c>
      <c r="N10" s="21">
        <v>0</v>
      </c>
      <c r="O10" s="22" t="s">
        <v>20</v>
      </c>
    </row>
    <row r="11" spans="1:15" ht="14.85" customHeight="1" x14ac:dyDescent="0.2">
      <c r="A11" s="52">
        <v>201203</v>
      </c>
      <c r="B11" s="52"/>
      <c r="C11" s="52"/>
      <c r="D11" s="52"/>
      <c r="E11" s="2" t="s">
        <v>21</v>
      </c>
      <c r="F11" s="24">
        <v>20</v>
      </c>
      <c r="G11" s="71">
        <v>85107</v>
      </c>
      <c r="H11" s="71"/>
      <c r="I11" s="7"/>
      <c r="J11" s="17">
        <v>0</v>
      </c>
      <c r="K11" s="18">
        <v>0</v>
      </c>
      <c r="L11" s="19">
        <v>0</v>
      </c>
      <c r="M11" s="20">
        <v>24058</v>
      </c>
      <c r="N11" s="21">
        <v>1086</v>
      </c>
      <c r="O11" s="22" t="s">
        <v>22</v>
      </c>
    </row>
    <row r="12" spans="1:15" ht="21.6" customHeight="1" x14ac:dyDescent="0.2">
      <c r="A12" s="55" t="s">
        <v>23</v>
      </c>
      <c r="B12" s="55"/>
      <c r="C12" s="55"/>
      <c r="D12" s="55"/>
      <c r="E12" s="1" t="s">
        <v>24</v>
      </c>
      <c r="F12" s="4"/>
      <c r="G12" s="71">
        <v>85107</v>
      </c>
      <c r="H12" s="71"/>
      <c r="I12" s="4"/>
      <c r="J12" s="17">
        <v>0</v>
      </c>
      <c r="K12" s="4"/>
      <c r="L12" s="19">
        <v>0</v>
      </c>
      <c r="M12" s="20">
        <v>24058</v>
      </c>
      <c r="N12" s="21">
        <v>1086</v>
      </c>
      <c r="O12" s="4"/>
    </row>
    <row r="13" spans="1:15" ht="17.100000000000001" customHeight="1" x14ac:dyDescent="0.2">
      <c r="A13" s="52">
        <v>201204</v>
      </c>
      <c r="B13" s="52"/>
      <c r="C13" s="52"/>
      <c r="D13" s="52"/>
      <c r="E13" s="23">
        <v>2</v>
      </c>
      <c r="F13" s="15">
        <v>0</v>
      </c>
      <c r="G13" s="56">
        <v>0</v>
      </c>
      <c r="H13" s="56"/>
      <c r="I13" s="7"/>
      <c r="J13" s="17">
        <v>0</v>
      </c>
      <c r="K13" s="18">
        <v>0</v>
      </c>
      <c r="L13" s="19">
        <v>0</v>
      </c>
      <c r="M13" s="20">
        <v>0</v>
      </c>
      <c r="N13" s="21">
        <v>0</v>
      </c>
      <c r="O13" s="22" t="s">
        <v>20</v>
      </c>
    </row>
    <row r="14" spans="1:15" ht="14.85" customHeight="1" x14ac:dyDescent="0.2">
      <c r="A14" s="52">
        <v>201204</v>
      </c>
      <c r="B14" s="52"/>
      <c r="C14" s="52"/>
      <c r="D14" s="52"/>
      <c r="E14" s="2" t="s">
        <v>21</v>
      </c>
      <c r="F14" s="24">
        <v>30</v>
      </c>
      <c r="G14" s="53">
        <v>111449</v>
      </c>
      <c r="H14" s="53"/>
      <c r="I14" s="7"/>
      <c r="J14" s="17">
        <v>0</v>
      </c>
      <c r="K14" s="18">
        <v>0</v>
      </c>
      <c r="L14" s="19">
        <v>0</v>
      </c>
      <c r="M14" s="20">
        <v>31520</v>
      </c>
      <c r="N14" s="21">
        <v>499</v>
      </c>
      <c r="O14" s="22" t="s">
        <v>22</v>
      </c>
    </row>
    <row r="15" spans="1:15" ht="21.6" customHeight="1" x14ac:dyDescent="0.2">
      <c r="A15" s="55" t="s">
        <v>23</v>
      </c>
      <c r="B15" s="55"/>
      <c r="C15" s="55"/>
      <c r="D15" s="55"/>
      <c r="E15" s="1" t="s">
        <v>24</v>
      </c>
      <c r="F15" s="4"/>
      <c r="G15" s="53">
        <v>111449</v>
      </c>
      <c r="H15" s="53"/>
      <c r="I15" s="4"/>
      <c r="J15" s="17">
        <v>0</v>
      </c>
      <c r="K15" s="4"/>
      <c r="L15" s="19">
        <v>0</v>
      </c>
      <c r="M15" s="20">
        <v>31520</v>
      </c>
      <c r="N15" s="21">
        <v>499</v>
      </c>
      <c r="O15" s="4"/>
    </row>
    <row r="16" spans="1:15" ht="17.100000000000001" customHeight="1" x14ac:dyDescent="0.2">
      <c r="A16" s="52">
        <v>201205</v>
      </c>
      <c r="B16" s="52"/>
      <c r="C16" s="52"/>
      <c r="D16" s="52"/>
      <c r="E16" s="23">
        <v>2</v>
      </c>
      <c r="F16" s="15">
        <v>0</v>
      </c>
      <c r="G16" s="56">
        <v>0</v>
      </c>
      <c r="H16" s="56"/>
      <c r="I16" s="7"/>
      <c r="J16" s="17">
        <v>0</v>
      </c>
      <c r="K16" s="18">
        <v>0</v>
      </c>
      <c r="L16" s="19">
        <v>0</v>
      </c>
      <c r="M16" s="20">
        <v>0</v>
      </c>
      <c r="N16" s="21">
        <v>0</v>
      </c>
      <c r="O16" s="22" t="s">
        <v>20</v>
      </c>
    </row>
    <row r="17" spans="1:16" ht="14.25" customHeight="1" x14ac:dyDescent="0.2">
      <c r="A17" s="52">
        <v>201205</v>
      </c>
      <c r="B17" s="52"/>
      <c r="C17" s="52"/>
      <c r="D17" s="52"/>
      <c r="E17" s="23">
        <v>4</v>
      </c>
      <c r="F17" s="15">
        <v>0</v>
      </c>
      <c r="G17" s="56">
        <v>0</v>
      </c>
      <c r="H17" s="56"/>
      <c r="I17" s="4"/>
      <c r="J17" s="17">
        <v>0</v>
      </c>
      <c r="K17" s="18">
        <v>0</v>
      </c>
      <c r="L17" s="19">
        <v>0</v>
      </c>
      <c r="M17" s="20">
        <v>0</v>
      </c>
      <c r="N17" s="21">
        <v>0</v>
      </c>
      <c r="O17" s="22" t="s">
        <v>20</v>
      </c>
    </row>
    <row r="18" spans="1:16" ht="14.85" customHeight="1" x14ac:dyDescent="0.2">
      <c r="A18" s="52">
        <v>201205</v>
      </c>
      <c r="B18" s="52"/>
      <c r="C18" s="52"/>
      <c r="D18" s="52"/>
      <c r="E18" s="2" t="s">
        <v>21</v>
      </c>
      <c r="F18" s="24">
        <v>30</v>
      </c>
      <c r="G18" s="53">
        <v>160739</v>
      </c>
      <c r="H18" s="53"/>
      <c r="I18" s="7"/>
      <c r="J18" s="17">
        <v>0</v>
      </c>
      <c r="K18" s="18">
        <v>0</v>
      </c>
      <c r="L18" s="19">
        <v>0</v>
      </c>
      <c r="M18" s="20">
        <v>37575</v>
      </c>
      <c r="N18" s="21">
        <v>367</v>
      </c>
      <c r="O18" s="22" t="s">
        <v>22</v>
      </c>
    </row>
    <row r="19" spans="1:16" ht="21.6" customHeight="1" x14ac:dyDescent="0.2">
      <c r="A19" s="55" t="s">
        <v>23</v>
      </c>
      <c r="B19" s="55"/>
      <c r="C19" s="55"/>
      <c r="D19" s="55"/>
      <c r="E19" s="1" t="s">
        <v>24</v>
      </c>
      <c r="F19" s="4"/>
      <c r="G19" s="53">
        <v>160739</v>
      </c>
      <c r="H19" s="53"/>
      <c r="I19" s="4"/>
      <c r="J19" s="17">
        <v>0</v>
      </c>
      <c r="K19" s="4"/>
      <c r="L19" s="19">
        <v>0</v>
      </c>
      <c r="M19" s="20">
        <v>37575</v>
      </c>
      <c r="N19" s="21">
        <v>367</v>
      </c>
      <c r="O19" s="4"/>
    </row>
    <row r="20" spans="1:16" ht="17.100000000000001" customHeight="1" x14ac:dyDescent="0.2">
      <c r="A20" s="52">
        <v>201206</v>
      </c>
      <c r="B20" s="52"/>
      <c r="C20" s="52"/>
      <c r="D20" s="52"/>
      <c r="E20" s="23">
        <v>2</v>
      </c>
      <c r="F20" s="15">
        <v>0</v>
      </c>
      <c r="G20" s="56">
        <v>0</v>
      </c>
      <c r="H20" s="56"/>
      <c r="I20" s="7"/>
      <c r="J20" s="17">
        <v>0</v>
      </c>
      <c r="K20" s="18">
        <v>0</v>
      </c>
      <c r="L20" s="19">
        <v>0</v>
      </c>
      <c r="M20" s="20">
        <v>0</v>
      </c>
      <c r="N20" s="21">
        <v>0</v>
      </c>
      <c r="O20" s="22" t="s">
        <v>20</v>
      </c>
    </row>
    <row r="21" spans="1:16" ht="14.25" customHeight="1" x14ac:dyDescent="0.2">
      <c r="A21" s="52">
        <v>201206</v>
      </c>
      <c r="B21" s="52"/>
      <c r="C21" s="52"/>
      <c r="D21" s="52"/>
      <c r="E21" s="23">
        <v>4</v>
      </c>
      <c r="F21" s="15">
        <v>0</v>
      </c>
      <c r="G21" s="56">
        <v>0</v>
      </c>
      <c r="H21" s="56"/>
      <c r="I21" s="4"/>
      <c r="J21" s="17">
        <v>0</v>
      </c>
      <c r="K21" s="18">
        <v>0</v>
      </c>
      <c r="L21" s="19">
        <v>0</v>
      </c>
      <c r="M21" s="20">
        <v>0</v>
      </c>
      <c r="N21" s="21">
        <v>0</v>
      </c>
      <c r="O21" s="22" t="s">
        <v>20</v>
      </c>
    </row>
    <row r="22" spans="1:16" ht="14.85" customHeight="1" x14ac:dyDescent="0.2">
      <c r="A22" s="52">
        <v>201206</v>
      </c>
      <c r="B22" s="52"/>
      <c r="C22" s="52"/>
      <c r="D22" s="52"/>
      <c r="E22" s="2" t="s">
        <v>21</v>
      </c>
      <c r="F22" s="24">
        <v>30</v>
      </c>
      <c r="G22" s="53">
        <v>167897</v>
      </c>
      <c r="H22" s="53"/>
      <c r="I22" s="7"/>
      <c r="J22" s="17">
        <v>0</v>
      </c>
      <c r="K22" s="18">
        <v>0</v>
      </c>
      <c r="L22" s="19">
        <v>0</v>
      </c>
      <c r="M22" s="20">
        <v>37597</v>
      </c>
      <c r="N22" s="21">
        <v>304</v>
      </c>
      <c r="O22" s="22" t="s">
        <v>22</v>
      </c>
    </row>
    <row r="23" spans="1:16" ht="21.6" customHeight="1" x14ac:dyDescent="0.2">
      <c r="A23" s="55" t="s">
        <v>23</v>
      </c>
      <c r="B23" s="55"/>
      <c r="C23" s="55"/>
      <c r="D23" s="55"/>
      <c r="E23" s="1" t="s">
        <v>24</v>
      </c>
      <c r="F23" s="4"/>
      <c r="G23" s="53">
        <v>167897</v>
      </c>
      <c r="H23" s="53"/>
      <c r="I23" s="4"/>
      <c r="J23" s="17">
        <v>0</v>
      </c>
      <c r="K23" s="4"/>
      <c r="L23" s="19">
        <v>0</v>
      </c>
      <c r="M23" s="20">
        <v>37597</v>
      </c>
      <c r="N23" s="21">
        <v>304</v>
      </c>
      <c r="O23" s="4"/>
    </row>
    <row r="24" spans="1:16" ht="17.100000000000001" customHeight="1" x14ac:dyDescent="0.2">
      <c r="A24" s="52">
        <v>201207</v>
      </c>
      <c r="B24" s="52"/>
      <c r="C24" s="52"/>
      <c r="D24" s="52"/>
      <c r="E24" s="23">
        <v>2</v>
      </c>
      <c r="F24" s="15">
        <v>0</v>
      </c>
      <c r="G24" s="56">
        <v>0</v>
      </c>
      <c r="H24" s="56"/>
      <c r="I24" s="7"/>
      <c r="J24" s="17">
        <v>0</v>
      </c>
      <c r="K24" s="18">
        <v>0</v>
      </c>
      <c r="L24" s="19">
        <v>0</v>
      </c>
      <c r="M24" s="20">
        <v>0</v>
      </c>
      <c r="N24" s="21">
        <v>0</v>
      </c>
      <c r="O24" s="22" t="s">
        <v>20</v>
      </c>
    </row>
    <row r="25" spans="1:16" ht="14.25" customHeight="1" x14ac:dyDescent="0.2">
      <c r="A25" s="52">
        <v>201207</v>
      </c>
      <c r="B25" s="52"/>
      <c r="C25" s="52"/>
      <c r="D25" s="52"/>
      <c r="E25" s="23">
        <v>4</v>
      </c>
      <c r="F25" s="15">
        <v>0</v>
      </c>
      <c r="G25" s="56">
        <v>0</v>
      </c>
      <c r="H25" s="56"/>
      <c r="I25" s="4"/>
      <c r="J25" s="17">
        <v>0</v>
      </c>
      <c r="K25" s="18">
        <v>0</v>
      </c>
      <c r="L25" s="19">
        <v>0</v>
      </c>
      <c r="M25" s="20">
        <v>0</v>
      </c>
      <c r="N25" s="21">
        <v>0</v>
      </c>
      <c r="O25" s="22" t="s">
        <v>20</v>
      </c>
    </row>
    <row r="26" spans="1:16" ht="20.45" customHeight="1" x14ac:dyDescent="0.2">
      <c r="A26" s="52">
        <v>201207</v>
      </c>
      <c r="B26" s="52"/>
      <c r="C26" s="52"/>
      <c r="D26" s="52"/>
      <c r="E26" s="2" t="s">
        <v>21</v>
      </c>
      <c r="F26" s="24">
        <v>31</v>
      </c>
      <c r="G26" s="53">
        <v>144020</v>
      </c>
      <c r="H26" s="53"/>
      <c r="I26" s="7"/>
      <c r="J26" s="17">
        <v>0</v>
      </c>
      <c r="K26" s="18">
        <v>0</v>
      </c>
      <c r="L26" s="19">
        <v>0</v>
      </c>
      <c r="M26" s="20">
        <v>30724</v>
      </c>
      <c r="N26" s="21">
        <v>554</v>
      </c>
      <c r="O26" s="22" t="s">
        <v>22</v>
      </c>
    </row>
    <row r="27" spans="1:16" ht="21" customHeight="1" x14ac:dyDescent="0.2">
      <c r="A27" s="62"/>
      <c r="B27" s="62"/>
      <c r="C27" s="62"/>
      <c r="D27" s="62"/>
      <c r="E27" s="7"/>
      <c r="F27" s="7"/>
      <c r="G27" s="58" t="s">
        <v>25</v>
      </c>
      <c r="H27" s="58"/>
      <c r="I27" s="25" t="s">
        <v>26</v>
      </c>
      <c r="J27" s="7"/>
      <c r="K27" s="13" t="s">
        <v>27</v>
      </c>
      <c r="L27" s="26" t="s">
        <v>28</v>
      </c>
      <c r="M27" s="25" t="s">
        <v>28</v>
      </c>
      <c r="N27" s="7"/>
      <c r="O27" s="7"/>
    </row>
    <row r="28" spans="1:16" ht="34.700000000000003" customHeight="1" x14ac:dyDescent="0.2">
      <c r="A28" s="69" t="s">
        <v>29</v>
      </c>
      <c r="B28" s="69"/>
      <c r="C28" s="69"/>
      <c r="D28" s="70" t="s">
        <v>30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ht="14.25" customHeight="1" x14ac:dyDescent="0.2">
      <c r="A29" s="5" t="s">
        <v>3</v>
      </c>
      <c r="B29" s="62"/>
      <c r="C29" s="62"/>
      <c r="D29" s="62"/>
      <c r="E29" s="12" t="s">
        <v>4</v>
      </c>
      <c r="F29" s="13" t="s">
        <v>5</v>
      </c>
      <c r="G29" s="62"/>
      <c r="H29" s="62"/>
      <c r="I29" s="62"/>
      <c r="J29" s="62"/>
      <c r="K29" s="8" t="s">
        <v>6</v>
      </c>
      <c r="L29" s="13" t="s">
        <v>7</v>
      </c>
      <c r="M29" s="9" t="s">
        <v>8</v>
      </c>
      <c r="N29" s="10" t="s">
        <v>9</v>
      </c>
      <c r="O29" s="11" t="s">
        <v>10</v>
      </c>
    </row>
    <row r="30" spans="1:16" ht="14.25" customHeight="1" x14ac:dyDescent="0.2">
      <c r="A30" s="8" t="s">
        <v>11</v>
      </c>
      <c r="B30" s="62"/>
      <c r="C30" s="62"/>
      <c r="D30" s="62"/>
      <c r="E30" s="1" t="s">
        <v>12</v>
      </c>
      <c r="F30" s="13" t="s">
        <v>13</v>
      </c>
      <c r="G30" s="70" t="s">
        <v>14</v>
      </c>
      <c r="H30" s="70"/>
      <c r="I30" s="63" t="s">
        <v>15</v>
      </c>
      <c r="J30" s="63"/>
      <c r="K30" s="8" t="s">
        <v>16</v>
      </c>
      <c r="L30" s="13" t="s">
        <v>17</v>
      </c>
      <c r="M30" s="9" t="s">
        <v>17</v>
      </c>
      <c r="N30" s="14" t="s">
        <v>18</v>
      </c>
      <c r="O30" s="11" t="s">
        <v>19</v>
      </c>
    </row>
    <row r="31" spans="1:16" ht="14.25" customHeight="1" x14ac:dyDescent="0.2">
      <c r="A31" s="8" t="s">
        <v>31</v>
      </c>
      <c r="B31" s="58" t="s">
        <v>32</v>
      </c>
      <c r="C31" s="58"/>
      <c r="D31" s="58"/>
      <c r="E31" s="1" t="s">
        <v>24</v>
      </c>
      <c r="F31" s="7"/>
      <c r="G31" s="56">
        <v>144020</v>
      </c>
      <c r="H31" s="56"/>
      <c r="I31" s="54">
        <v>0</v>
      </c>
      <c r="J31" s="54"/>
      <c r="K31" s="7"/>
      <c r="L31" s="19">
        <v>0</v>
      </c>
      <c r="M31" s="20">
        <v>30724</v>
      </c>
      <c r="N31" s="21">
        <v>554</v>
      </c>
      <c r="O31" s="7"/>
    </row>
    <row r="32" spans="1:16" ht="29.25" customHeight="1" x14ac:dyDescent="0.2">
      <c r="A32" s="66">
        <v>201208</v>
      </c>
      <c r="B32" s="66"/>
      <c r="C32" s="66"/>
      <c r="D32" s="66"/>
      <c r="E32" s="27">
        <v>2</v>
      </c>
      <c r="F32" s="28">
        <v>0</v>
      </c>
      <c r="G32" s="67">
        <v>0</v>
      </c>
      <c r="H32" s="67"/>
      <c r="I32" s="68">
        <v>0</v>
      </c>
      <c r="J32" s="68"/>
      <c r="K32" s="30">
        <v>0</v>
      </c>
      <c r="L32" s="28">
        <v>0</v>
      </c>
      <c r="M32" s="31">
        <v>0</v>
      </c>
      <c r="N32" s="29">
        <v>0</v>
      </c>
      <c r="O32" s="32" t="s">
        <v>20</v>
      </c>
    </row>
    <row r="33" spans="1:15" ht="14.25" customHeight="1" x14ac:dyDescent="0.2">
      <c r="A33" s="52">
        <v>201208</v>
      </c>
      <c r="B33" s="52"/>
      <c r="C33" s="52"/>
      <c r="D33" s="52"/>
      <c r="E33" s="23">
        <v>4</v>
      </c>
      <c r="F33" s="19">
        <v>0</v>
      </c>
      <c r="G33" s="56">
        <v>0</v>
      </c>
      <c r="H33" s="56"/>
      <c r="I33" s="54">
        <v>0</v>
      </c>
      <c r="J33" s="54"/>
      <c r="K33" s="18">
        <v>0</v>
      </c>
      <c r="L33" s="19">
        <v>0</v>
      </c>
      <c r="M33" s="20">
        <v>0</v>
      </c>
      <c r="N33" s="21">
        <v>0</v>
      </c>
      <c r="O33" s="22" t="s">
        <v>20</v>
      </c>
    </row>
    <row r="34" spans="1:15" ht="14.85" customHeight="1" x14ac:dyDescent="0.2">
      <c r="A34" s="52">
        <v>201208</v>
      </c>
      <c r="B34" s="52"/>
      <c r="C34" s="52"/>
      <c r="D34" s="52"/>
      <c r="E34" s="2" t="s">
        <v>21</v>
      </c>
      <c r="F34" s="19">
        <v>27</v>
      </c>
      <c r="G34" s="56">
        <v>82983</v>
      </c>
      <c r="H34" s="56"/>
      <c r="I34" s="54">
        <v>0</v>
      </c>
      <c r="J34" s="54"/>
      <c r="K34" s="18">
        <v>0</v>
      </c>
      <c r="L34" s="19">
        <v>0</v>
      </c>
      <c r="M34" s="20">
        <v>25038</v>
      </c>
      <c r="N34" s="21">
        <v>174</v>
      </c>
      <c r="O34" s="22" t="s">
        <v>22</v>
      </c>
    </row>
    <row r="35" spans="1:15" ht="21.6" customHeight="1" x14ac:dyDescent="0.2">
      <c r="A35" s="55" t="s">
        <v>23</v>
      </c>
      <c r="B35" s="55"/>
      <c r="C35" s="55"/>
      <c r="D35" s="55"/>
      <c r="E35" s="1" t="s">
        <v>24</v>
      </c>
      <c r="F35" s="4"/>
      <c r="G35" s="56">
        <v>82983</v>
      </c>
      <c r="H35" s="56"/>
      <c r="I35" s="54">
        <v>0</v>
      </c>
      <c r="J35" s="54"/>
      <c r="K35" s="4"/>
      <c r="L35" s="19">
        <v>0</v>
      </c>
      <c r="M35" s="20">
        <v>25038</v>
      </c>
      <c r="N35" s="21">
        <v>174</v>
      </c>
      <c r="O35" s="4"/>
    </row>
    <row r="36" spans="1:15" ht="17.100000000000001" customHeight="1" x14ac:dyDescent="0.2">
      <c r="A36" s="52">
        <v>201209</v>
      </c>
      <c r="B36" s="52"/>
      <c r="C36" s="52"/>
      <c r="D36" s="52"/>
      <c r="E36" s="23">
        <v>2</v>
      </c>
      <c r="F36" s="19">
        <v>0</v>
      </c>
      <c r="G36" s="56">
        <v>0</v>
      </c>
      <c r="H36" s="56"/>
      <c r="I36" s="54">
        <v>0</v>
      </c>
      <c r="J36" s="54"/>
      <c r="K36" s="18">
        <v>0</v>
      </c>
      <c r="L36" s="19">
        <v>0</v>
      </c>
      <c r="M36" s="20">
        <v>0</v>
      </c>
      <c r="N36" s="21">
        <v>0</v>
      </c>
      <c r="O36" s="22" t="s">
        <v>20</v>
      </c>
    </row>
    <row r="37" spans="1:15" ht="14.25" customHeight="1" x14ac:dyDescent="0.2">
      <c r="A37" s="52">
        <v>201209</v>
      </c>
      <c r="B37" s="52"/>
      <c r="C37" s="52"/>
      <c r="D37" s="52"/>
      <c r="E37" s="23">
        <v>4</v>
      </c>
      <c r="F37" s="19">
        <v>0</v>
      </c>
      <c r="G37" s="56">
        <v>0</v>
      </c>
      <c r="H37" s="56"/>
      <c r="I37" s="54">
        <v>0</v>
      </c>
      <c r="J37" s="54"/>
      <c r="K37" s="18">
        <v>0</v>
      </c>
      <c r="L37" s="19">
        <v>0</v>
      </c>
      <c r="M37" s="20">
        <v>0</v>
      </c>
      <c r="N37" s="21">
        <v>0</v>
      </c>
      <c r="O37" s="22" t="s">
        <v>20</v>
      </c>
    </row>
    <row r="38" spans="1:15" ht="14.85" customHeight="1" x14ac:dyDescent="0.2">
      <c r="A38" s="52">
        <v>201209</v>
      </c>
      <c r="B38" s="52"/>
      <c r="C38" s="52"/>
      <c r="D38" s="52"/>
      <c r="E38" s="2" t="s">
        <v>21</v>
      </c>
      <c r="F38" s="19">
        <v>30</v>
      </c>
      <c r="G38" s="56">
        <v>152836</v>
      </c>
      <c r="H38" s="56"/>
      <c r="I38" s="54">
        <v>0</v>
      </c>
      <c r="J38" s="54"/>
      <c r="K38" s="18">
        <v>0</v>
      </c>
      <c r="L38" s="19">
        <v>0</v>
      </c>
      <c r="M38" s="20">
        <v>30444</v>
      </c>
      <c r="N38" s="21">
        <v>325</v>
      </c>
      <c r="O38" s="22" t="s">
        <v>22</v>
      </c>
    </row>
    <row r="39" spans="1:15" ht="21.6" customHeight="1" x14ac:dyDescent="0.2">
      <c r="A39" s="55" t="s">
        <v>23</v>
      </c>
      <c r="B39" s="55"/>
      <c r="C39" s="55"/>
      <c r="D39" s="55"/>
      <c r="E39" s="1" t="s">
        <v>24</v>
      </c>
      <c r="F39" s="4"/>
      <c r="G39" s="56">
        <v>152836</v>
      </c>
      <c r="H39" s="56"/>
      <c r="I39" s="54">
        <v>0</v>
      </c>
      <c r="J39" s="54"/>
      <c r="K39" s="4"/>
      <c r="L39" s="19">
        <v>0</v>
      </c>
      <c r="M39" s="20">
        <v>30444</v>
      </c>
      <c r="N39" s="21">
        <v>325</v>
      </c>
      <c r="O39" s="4"/>
    </row>
    <row r="40" spans="1:15" ht="17.100000000000001" customHeight="1" x14ac:dyDescent="0.2">
      <c r="A40" s="52">
        <v>201210</v>
      </c>
      <c r="B40" s="52"/>
      <c r="C40" s="52"/>
      <c r="D40" s="52"/>
      <c r="E40" s="23">
        <v>2</v>
      </c>
      <c r="F40" s="19">
        <v>0</v>
      </c>
      <c r="G40" s="56">
        <v>0</v>
      </c>
      <c r="H40" s="56"/>
      <c r="I40" s="54">
        <v>0</v>
      </c>
      <c r="J40" s="54"/>
      <c r="K40" s="18">
        <v>0</v>
      </c>
      <c r="L40" s="19">
        <v>0</v>
      </c>
      <c r="M40" s="20">
        <v>0</v>
      </c>
      <c r="N40" s="21">
        <v>0</v>
      </c>
      <c r="O40" s="22" t="s">
        <v>20</v>
      </c>
    </row>
    <row r="41" spans="1:15" ht="14.25" customHeight="1" x14ac:dyDescent="0.2">
      <c r="A41" s="52">
        <v>201210</v>
      </c>
      <c r="B41" s="52"/>
      <c r="C41" s="52"/>
      <c r="D41" s="52"/>
      <c r="E41" s="23">
        <v>4</v>
      </c>
      <c r="F41" s="19">
        <v>0</v>
      </c>
      <c r="G41" s="56">
        <v>0</v>
      </c>
      <c r="H41" s="56"/>
      <c r="I41" s="54">
        <v>0</v>
      </c>
      <c r="J41" s="54"/>
      <c r="K41" s="18">
        <v>0</v>
      </c>
      <c r="L41" s="19">
        <v>0</v>
      </c>
      <c r="M41" s="20">
        <v>0</v>
      </c>
      <c r="N41" s="21">
        <v>0</v>
      </c>
      <c r="O41" s="22" t="s">
        <v>20</v>
      </c>
    </row>
    <row r="42" spans="1:15" ht="14.85" customHeight="1" x14ac:dyDescent="0.2">
      <c r="A42" s="52">
        <v>201210</v>
      </c>
      <c r="B42" s="52"/>
      <c r="C42" s="52"/>
      <c r="D42" s="52"/>
      <c r="E42" s="2" t="s">
        <v>21</v>
      </c>
      <c r="F42" s="19">
        <v>30</v>
      </c>
      <c r="G42" s="56">
        <v>111275</v>
      </c>
      <c r="H42" s="56"/>
      <c r="I42" s="54">
        <v>0</v>
      </c>
      <c r="J42" s="54"/>
      <c r="K42" s="18">
        <v>0</v>
      </c>
      <c r="L42" s="19">
        <v>0</v>
      </c>
      <c r="M42" s="20">
        <v>25213</v>
      </c>
      <c r="N42" s="21">
        <v>173</v>
      </c>
      <c r="O42" s="22" t="s">
        <v>22</v>
      </c>
    </row>
    <row r="43" spans="1:15" ht="21.6" customHeight="1" x14ac:dyDescent="0.2">
      <c r="A43" s="55" t="s">
        <v>23</v>
      </c>
      <c r="B43" s="55"/>
      <c r="C43" s="55"/>
      <c r="D43" s="55"/>
      <c r="E43" s="1" t="s">
        <v>24</v>
      </c>
      <c r="F43" s="4"/>
      <c r="G43" s="56">
        <v>111275</v>
      </c>
      <c r="H43" s="56"/>
      <c r="I43" s="54">
        <v>0</v>
      </c>
      <c r="J43" s="54"/>
      <c r="K43" s="4"/>
      <c r="L43" s="19">
        <v>0</v>
      </c>
      <c r="M43" s="20">
        <v>25213</v>
      </c>
      <c r="N43" s="21">
        <v>173</v>
      </c>
      <c r="O43" s="4"/>
    </row>
    <row r="44" spans="1:15" ht="17.100000000000001" customHeight="1" x14ac:dyDescent="0.2">
      <c r="A44" s="52">
        <v>201211</v>
      </c>
      <c r="B44" s="52"/>
      <c r="C44" s="52"/>
      <c r="D44" s="52"/>
      <c r="E44" s="23">
        <v>2</v>
      </c>
      <c r="F44" s="19">
        <v>0</v>
      </c>
      <c r="G44" s="56">
        <v>0</v>
      </c>
      <c r="H44" s="56"/>
      <c r="I44" s="54">
        <v>0</v>
      </c>
      <c r="J44" s="54"/>
      <c r="K44" s="18">
        <v>0</v>
      </c>
      <c r="L44" s="19">
        <v>0</v>
      </c>
      <c r="M44" s="20">
        <v>0</v>
      </c>
      <c r="N44" s="21">
        <v>0</v>
      </c>
      <c r="O44" s="22" t="s">
        <v>20</v>
      </c>
    </row>
    <row r="45" spans="1:15" ht="14.25" customHeight="1" x14ac:dyDescent="0.2">
      <c r="A45" s="52">
        <v>201211</v>
      </c>
      <c r="B45" s="52"/>
      <c r="C45" s="52"/>
      <c r="D45" s="52"/>
      <c r="E45" s="23">
        <v>4</v>
      </c>
      <c r="F45" s="19">
        <v>0</v>
      </c>
      <c r="G45" s="56">
        <v>0</v>
      </c>
      <c r="H45" s="56"/>
      <c r="I45" s="54">
        <v>0</v>
      </c>
      <c r="J45" s="54"/>
      <c r="K45" s="18">
        <v>0</v>
      </c>
      <c r="L45" s="19">
        <v>0</v>
      </c>
      <c r="M45" s="20">
        <v>0</v>
      </c>
      <c r="N45" s="21">
        <v>0</v>
      </c>
      <c r="O45" s="22" t="s">
        <v>20</v>
      </c>
    </row>
    <row r="46" spans="1:15" ht="14.85" customHeight="1" x14ac:dyDescent="0.2">
      <c r="A46" s="52">
        <v>201211</v>
      </c>
      <c r="B46" s="52"/>
      <c r="C46" s="52"/>
      <c r="D46" s="52"/>
      <c r="E46" s="2" t="s">
        <v>21</v>
      </c>
      <c r="F46" s="19">
        <v>30</v>
      </c>
      <c r="G46" s="56">
        <v>104506</v>
      </c>
      <c r="H46" s="56"/>
      <c r="I46" s="54">
        <v>0</v>
      </c>
      <c r="J46" s="54"/>
      <c r="K46" s="18">
        <v>0</v>
      </c>
      <c r="L46" s="19">
        <v>0</v>
      </c>
      <c r="M46" s="20">
        <v>21773</v>
      </c>
      <c r="N46" s="21">
        <v>184</v>
      </c>
      <c r="O46" s="22" t="s">
        <v>22</v>
      </c>
    </row>
    <row r="47" spans="1:15" ht="21.6" customHeight="1" x14ac:dyDescent="0.2">
      <c r="A47" s="55" t="s">
        <v>23</v>
      </c>
      <c r="B47" s="55"/>
      <c r="C47" s="55"/>
      <c r="D47" s="55"/>
      <c r="E47" s="1" t="s">
        <v>24</v>
      </c>
      <c r="F47" s="4"/>
      <c r="G47" s="56">
        <v>104506</v>
      </c>
      <c r="H47" s="56"/>
      <c r="I47" s="54">
        <v>0</v>
      </c>
      <c r="J47" s="54"/>
      <c r="K47" s="4"/>
      <c r="L47" s="19">
        <v>0</v>
      </c>
      <c r="M47" s="20">
        <v>21773</v>
      </c>
      <c r="N47" s="21">
        <v>184</v>
      </c>
      <c r="O47" s="4"/>
    </row>
    <row r="48" spans="1:15" ht="17.100000000000001" customHeight="1" x14ac:dyDescent="0.2">
      <c r="A48" s="52">
        <v>201212</v>
      </c>
      <c r="B48" s="52"/>
      <c r="C48" s="52"/>
      <c r="D48" s="52"/>
      <c r="E48" s="23">
        <v>2</v>
      </c>
      <c r="F48" s="19">
        <v>0</v>
      </c>
      <c r="G48" s="56">
        <v>0</v>
      </c>
      <c r="H48" s="56"/>
      <c r="I48" s="54">
        <v>0</v>
      </c>
      <c r="J48" s="54"/>
      <c r="K48" s="18">
        <v>0</v>
      </c>
      <c r="L48" s="19">
        <v>0</v>
      </c>
      <c r="M48" s="20">
        <v>0</v>
      </c>
      <c r="N48" s="21">
        <v>0</v>
      </c>
      <c r="O48" s="22" t="s">
        <v>20</v>
      </c>
    </row>
    <row r="49" spans="1:16" ht="14.25" customHeight="1" x14ac:dyDescent="0.2">
      <c r="A49" s="52">
        <v>201212</v>
      </c>
      <c r="B49" s="52"/>
      <c r="C49" s="52"/>
      <c r="D49" s="52"/>
      <c r="E49" s="2" t="s">
        <v>21</v>
      </c>
      <c r="F49" s="19">
        <v>31</v>
      </c>
      <c r="G49" s="56">
        <v>108048</v>
      </c>
      <c r="H49" s="56"/>
      <c r="I49" s="54">
        <v>0</v>
      </c>
      <c r="J49" s="54"/>
      <c r="K49" s="18">
        <v>0</v>
      </c>
      <c r="L49" s="19">
        <v>0</v>
      </c>
      <c r="M49" s="20">
        <v>23694</v>
      </c>
      <c r="N49" s="21">
        <v>357</v>
      </c>
      <c r="O49" s="22" t="s">
        <v>22</v>
      </c>
    </row>
    <row r="50" spans="1:16" ht="14.85" customHeight="1" x14ac:dyDescent="0.2">
      <c r="A50" s="52">
        <v>201212</v>
      </c>
      <c r="B50" s="52"/>
      <c r="C50" s="52"/>
      <c r="D50" s="52"/>
      <c r="E50" s="2" t="s">
        <v>33</v>
      </c>
      <c r="F50" s="19">
        <v>23</v>
      </c>
      <c r="G50" s="56">
        <v>88457</v>
      </c>
      <c r="H50" s="56"/>
      <c r="I50" s="54">
        <v>0</v>
      </c>
      <c r="J50" s="54"/>
      <c r="K50" s="18">
        <v>0</v>
      </c>
      <c r="L50" s="19">
        <v>0</v>
      </c>
      <c r="M50" s="20">
        <v>9591</v>
      </c>
      <c r="N50" s="21">
        <v>7540</v>
      </c>
      <c r="O50" s="22" t="s">
        <v>22</v>
      </c>
    </row>
    <row r="51" spans="1:16" ht="15.6" customHeight="1" x14ac:dyDescent="0.2">
      <c r="A51" s="55" t="s">
        <v>23</v>
      </c>
      <c r="B51" s="55"/>
      <c r="C51" s="55"/>
      <c r="D51" s="55"/>
      <c r="E51" s="1" t="s">
        <v>24</v>
      </c>
      <c r="F51" s="7"/>
      <c r="G51" s="56">
        <v>196505</v>
      </c>
      <c r="H51" s="56"/>
      <c r="I51" s="54">
        <v>0</v>
      </c>
      <c r="J51" s="54"/>
      <c r="K51" s="7"/>
      <c r="L51" s="19">
        <v>0</v>
      </c>
      <c r="M51" s="20">
        <v>33285</v>
      </c>
      <c r="N51" s="21">
        <v>7897</v>
      </c>
      <c r="O51" s="7"/>
    </row>
    <row r="52" spans="1:16" ht="14.25" customHeight="1" x14ac:dyDescent="0.2">
      <c r="A52" s="65" t="s">
        <v>34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</row>
    <row r="53" spans="1:16" ht="42.75" customHeight="1" x14ac:dyDescent="0.25">
      <c r="A53" s="58" t="s">
        <v>0</v>
      </c>
      <c r="B53" s="58"/>
      <c r="C53" s="59" t="s">
        <v>35</v>
      </c>
      <c r="D53" s="59"/>
      <c r="E53" s="59"/>
      <c r="F53" s="3" t="s">
        <v>2</v>
      </c>
      <c r="G53" s="60"/>
      <c r="H53" s="60"/>
      <c r="I53" s="60"/>
      <c r="J53" s="60"/>
      <c r="K53" s="60"/>
      <c r="L53" s="60"/>
      <c r="M53" s="60"/>
      <c r="N53" s="60"/>
      <c r="O53" s="60"/>
    </row>
    <row r="54" spans="1:16" ht="14.85" customHeight="1" x14ac:dyDescent="0.2">
      <c r="A54" s="61" t="s">
        <v>3</v>
      </c>
      <c r="B54" s="61"/>
      <c r="C54" s="61" t="s">
        <v>4</v>
      </c>
      <c r="D54" s="61"/>
      <c r="E54" s="61"/>
      <c r="F54" s="6" t="s">
        <v>5</v>
      </c>
      <c r="G54" s="7"/>
      <c r="H54" s="7"/>
      <c r="I54" s="62"/>
      <c r="J54" s="62"/>
      <c r="K54" s="8" t="s">
        <v>6</v>
      </c>
      <c r="L54" s="13" t="s">
        <v>7</v>
      </c>
      <c r="M54" s="9" t="s">
        <v>8</v>
      </c>
      <c r="N54" s="10" t="s">
        <v>9</v>
      </c>
      <c r="O54" s="11" t="s">
        <v>10</v>
      </c>
    </row>
    <row r="55" spans="1:16" ht="15" customHeight="1" x14ac:dyDescent="0.2">
      <c r="A55" s="55" t="s">
        <v>11</v>
      </c>
      <c r="B55" s="55"/>
      <c r="C55" s="55" t="s">
        <v>12</v>
      </c>
      <c r="D55" s="55"/>
      <c r="E55" s="55"/>
      <c r="F55" s="6" t="s">
        <v>13</v>
      </c>
      <c r="G55" s="12" t="s">
        <v>14</v>
      </c>
      <c r="H55" s="7"/>
      <c r="I55" s="63" t="s">
        <v>15</v>
      </c>
      <c r="J55" s="63"/>
      <c r="K55" s="8" t="s">
        <v>16</v>
      </c>
      <c r="L55" s="13" t="s">
        <v>17</v>
      </c>
      <c r="M55" s="9" t="s">
        <v>17</v>
      </c>
      <c r="N55" s="14" t="s">
        <v>18</v>
      </c>
      <c r="O55" s="11" t="s">
        <v>19</v>
      </c>
    </row>
    <row r="56" spans="1:16" ht="14.25" customHeight="1" x14ac:dyDescent="0.2">
      <c r="A56" s="52">
        <v>201201</v>
      </c>
      <c r="B56" s="52"/>
      <c r="C56" s="64">
        <v>1</v>
      </c>
      <c r="D56" s="64"/>
      <c r="E56" s="64"/>
      <c r="F56" s="15">
        <v>0</v>
      </c>
      <c r="G56" s="7"/>
      <c r="H56" s="16">
        <v>0</v>
      </c>
      <c r="I56" s="54">
        <v>0</v>
      </c>
      <c r="J56" s="54"/>
      <c r="K56" s="18">
        <v>0</v>
      </c>
      <c r="L56" s="19">
        <v>0</v>
      </c>
      <c r="M56" s="20">
        <v>0</v>
      </c>
      <c r="N56" s="21">
        <v>0</v>
      </c>
      <c r="O56" s="22" t="s">
        <v>20</v>
      </c>
    </row>
    <row r="57" spans="1:16" ht="14.25" customHeight="1" x14ac:dyDescent="0.2">
      <c r="A57" s="52">
        <v>201201</v>
      </c>
      <c r="B57" s="52"/>
      <c r="C57" s="57" t="s">
        <v>36</v>
      </c>
      <c r="D57" s="57"/>
      <c r="E57" s="57"/>
      <c r="F57" s="15">
        <v>0</v>
      </c>
      <c r="G57" s="4"/>
      <c r="H57" s="16">
        <v>0</v>
      </c>
      <c r="I57" s="54">
        <v>0</v>
      </c>
      <c r="J57" s="54"/>
      <c r="K57" s="18">
        <v>0</v>
      </c>
      <c r="L57" s="19">
        <v>0</v>
      </c>
      <c r="M57" s="20">
        <v>0</v>
      </c>
      <c r="N57" s="21">
        <v>0</v>
      </c>
      <c r="O57" s="22" t="s">
        <v>22</v>
      </c>
    </row>
    <row r="58" spans="1:16" ht="25.35" customHeight="1" x14ac:dyDescent="0.2">
      <c r="A58" s="55" t="s">
        <v>23</v>
      </c>
      <c r="B58" s="55"/>
      <c r="C58" s="55"/>
      <c r="D58" s="55"/>
      <c r="E58" s="1" t="s">
        <v>24</v>
      </c>
      <c r="F58" s="4"/>
      <c r="G58" s="56">
        <v>0</v>
      </c>
      <c r="H58" s="56"/>
      <c r="I58" s="54">
        <v>0</v>
      </c>
      <c r="J58" s="54"/>
      <c r="K58" s="4"/>
      <c r="L58" s="19">
        <v>0</v>
      </c>
      <c r="M58" s="20">
        <v>0</v>
      </c>
      <c r="N58" s="21">
        <v>0</v>
      </c>
      <c r="O58" s="4"/>
    </row>
    <row r="59" spans="1:16" ht="17.100000000000001" customHeight="1" x14ac:dyDescent="0.2">
      <c r="A59" s="52">
        <v>201202</v>
      </c>
      <c r="B59" s="52"/>
      <c r="C59" s="52"/>
      <c r="D59" s="52"/>
      <c r="E59" s="23">
        <v>1</v>
      </c>
      <c r="F59" s="15">
        <v>0</v>
      </c>
      <c r="G59" s="56">
        <v>0</v>
      </c>
      <c r="H59" s="56"/>
      <c r="I59" s="54">
        <v>0</v>
      </c>
      <c r="J59" s="54"/>
      <c r="K59" s="18">
        <v>0</v>
      </c>
      <c r="L59" s="19">
        <v>0</v>
      </c>
      <c r="M59" s="20">
        <v>0</v>
      </c>
      <c r="N59" s="21">
        <v>0</v>
      </c>
      <c r="O59" s="22" t="s">
        <v>20</v>
      </c>
    </row>
    <row r="60" spans="1:16" ht="14.85" customHeight="1" x14ac:dyDescent="0.2">
      <c r="A60" s="52">
        <v>201202</v>
      </c>
      <c r="B60" s="52"/>
      <c r="C60" s="52"/>
      <c r="D60" s="52"/>
      <c r="E60" s="2" t="s">
        <v>36</v>
      </c>
      <c r="F60" s="15">
        <v>0</v>
      </c>
      <c r="G60" s="56">
        <v>0</v>
      </c>
      <c r="H60" s="56"/>
      <c r="I60" s="54">
        <v>0</v>
      </c>
      <c r="J60" s="54"/>
      <c r="K60" s="18">
        <v>0</v>
      </c>
      <c r="L60" s="19">
        <v>0</v>
      </c>
      <c r="M60" s="20">
        <v>0</v>
      </c>
      <c r="N60" s="21">
        <v>0</v>
      </c>
      <c r="O60" s="22" t="s">
        <v>22</v>
      </c>
    </row>
    <row r="61" spans="1:16" ht="21.6" customHeight="1" x14ac:dyDescent="0.2">
      <c r="A61" s="55" t="s">
        <v>23</v>
      </c>
      <c r="B61" s="55"/>
      <c r="C61" s="55"/>
      <c r="D61" s="55"/>
      <c r="E61" s="1" t="s">
        <v>24</v>
      </c>
      <c r="F61" s="4"/>
      <c r="G61" s="56">
        <v>0</v>
      </c>
      <c r="H61" s="56"/>
      <c r="I61" s="54">
        <v>0</v>
      </c>
      <c r="J61" s="54"/>
      <c r="K61" s="4"/>
      <c r="L61" s="19">
        <v>0</v>
      </c>
      <c r="M61" s="20">
        <v>0</v>
      </c>
      <c r="N61" s="21">
        <v>0</v>
      </c>
      <c r="O61" s="4"/>
    </row>
    <row r="62" spans="1:16" ht="17.100000000000001" customHeight="1" x14ac:dyDescent="0.2">
      <c r="A62" s="52">
        <v>201203</v>
      </c>
      <c r="B62" s="52"/>
      <c r="C62" s="52"/>
      <c r="D62" s="52"/>
      <c r="E62" s="23">
        <v>1</v>
      </c>
      <c r="F62" s="15">
        <v>0</v>
      </c>
      <c r="G62" s="56">
        <v>0</v>
      </c>
      <c r="H62" s="56"/>
      <c r="I62" s="54">
        <v>0</v>
      </c>
      <c r="J62" s="54"/>
      <c r="K62" s="18">
        <v>0</v>
      </c>
      <c r="L62" s="19">
        <v>0</v>
      </c>
      <c r="M62" s="20">
        <v>0</v>
      </c>
      <c r="N62" s="21">
        <v>0</v>
      </c>
      <c r="O62" s="22" t="s">
        <v>20</v>
      </c>
    </row>
    <row r="63" spans="1:16" ht="14.85" customHeight="1" x14ac:dyDescent="0.2">
      <c r="A63" s="52">
        <v>201203</v>
      </c>
      <c r="B63" s="52"/>
      <c r="C63" s="52"/>
      <c r="D63" s="52"/>
      <c r="E63" s="2" t="s">
        <v>36</v>
      </c>
      <c r="F63" s="15">
        <v>0</v>
      </c>
      <c r="G63" s="56">
        <v>0</v>
      </c>
      <c r="H63" s="56"/>
      <c r="I63" s="54">
        <v>0</v>
      </c>
      <c r="J63" s="54"/>
      <c r="K63" s="18">
        <v>0</v>
      </c>
      <c r="L63" s="19">
        <v>0</v>
      </c>
      <c r="M63" s="20">
        <v>0</v>
      </c>
      <c r="N63" s="21">
        <v>0</v>
      </c>
      <c r="O63" s="22" t="s">
        <v>22</v>
      </c>
    </row>
    <row r="64" spans="1:16" ht="21.6" customHeight="1" x14ac:dyDescent="0.2">
      <c r="A64" s="55" t="s">
        <v>23</v>
      </c>
      <c r="B64" s="55"/>
      <c r="C64" s="55"/>
      <c r="D64" s="55"/>
      <c r="E64" s="1" t="s">
        <v>24</v>
      </c>
      <c r="F64" s="4"/>
      <c r="G64" s="56">
        <v>0</v>
      </c>
      <c r="H64" s="56"/>
      <c r="I64" s="54">
        <v>0</v>
      </c>
      <c r="J64" s="54"/>
      <c r="K64" s="4"/>
      <c r="L64" s="19">
        <v>0</v>
      </c>
      <c r="M64" s="20">
        <v>0</v>
      </c>
      <c r="N64" s="21">
        <v>0</v>
      </c>
      <c r="O64" s="4"/>
    </row>
    <row r="65" spans="1:15" ht="17.100000000000001" customHeight="1" x14ac:dyDescent="0.2">
      <c r="A65" s="52">
        <v>201204</v>
      </c>
      <c r="B65" s="52"/>
      <c r="C65" s="52"/>
      <c r="D65" s="52"/>
      <c r="E65" s="23">
        <v>1</v>
      </c>
      <c r="F65" s="15">
        <v>0</v>
      </c>
      <c r="G65" s="56">
        <v>0</v>
      </c>
      <c r="H65" s="56"/>
      <c r="I65" s="54">
        <v>0</v>
      </c>
      <c r="J65" s="54"/>
      <c r="K65" s="18">
        <v>0</v>
      </c>
      <c r="L65" s="19">
        <v>0</v>
      </c>
      <c r="M65" s="20">
        <v>0</v>
      </c>
      <c r="N65" s="21">
        <v>0</v>
      </c>
      <c r="O65" s="22" t="s">
        <v>20</v>
      </c>
    </row>
    <row r="66" spans="1:15" ht="14.85" customHeight="1" x14ac:dyDescent="0.2">
      <c r="A66" s="52">
        <v>201204</v>
      </c>
      <c r="B66" s="52"/>
      <c r="C66" s="52"/>
      <c r="D66" s="52"/>
      <c r="E66" s="2" t="s">
        <v>36</v>
      </c>
      <c r="F66" s="15">
        <v>0</v>
      </c>
      <c r="G66" s="56">
        <v>0</v>
      </c>
      <c r="H66" s="56"/>
      <c r="I66" s="54">
        <v>0</v>
      </c>
      <c r="J66" s="54"/>
      <c r="K66" s="18">
        <v>0</v>
      </c>
      <c r="L66" s="19">
        <v>0</v>
      </c>
      <c r="M66" s="20">
        <v>0</v>
      </c>
      <c r="N66" s="21">
        <v>0</v>
      </c>
      <c r="O66" s="22" t="s">
        <v>22</v>
      </c>
    </row>
    <row r="67" spans="1:15" ht="21.6" customHeight="1" x14ac:dyDescent="0.2">
      <c r="A67" s="55" t="s">
        <v>23</v>
      </c>
      <c r="B67" s="55"/>
      <c r="C67" s="55"/>
      <c r="D67" s="55"/>
      <c r="E67" s="1" t="s">
        <v>24</v>
      </c>
      <c r="F67" s="4"/>
      <c r="G67" s="56">
        <v>0</v>
      </c>
      <c r="H67" s="56"/>
      <c r="I67" s="54">
        <v>0</v>
      </c>
      <c r="J67" s="54"/>
      <c r="K67" s="4"/>
      <c r="L67" s="19">
        <v>0</v>
      </c>
      <c r="M67" s="20">
        <v>0</v>
      </c>
      <c r="N67" s="21">
        <v>0</v>
      </c>
      <c r="O67" s="4"/>
    </row>
    <row r="68" spans="1:15" ht="17.100000000000001" customHeight="1" x14ac:dyDescent="0.2">
      <c r="A68" s="52">
        <v>201205</v>
      </c>
      <c r="B68" s="52"/>
      <c r="C68" s="52"/>
      <c r="D68" s="52"/>
      <c r="E68" s="23">
        <v>1</v>
      </c>
      <c r="F68" s="15">
        <v>0</v>
      </c>
      <c r="G68" s="56">
        <v>0</v>
      </c>
      <c r="H68" s="56"/>
      <c r="I68" s="54">
        <v>0</v>
      </c>
      <c r="J68" s="54"/>
      <c r="K68" s="18">
        <v>0</v>
      </c>
      <c r="L68" s="19">
        <v>0</v>
      </c>
      <c r="M68" s="20">
        <v>0</v>
      </c>
      <c r="N68" s="21">
        <v>0</v>
      </c>
      <c r="O68" s="22" t="s">
        <v>20</v>
      </c>
    </row>
    <row r="69" spans="1:15" ht="14.85" customHeight="1" x14ac:dyDescent="0.2">
      <c r="A69" s="52">
        <v>201205</v>
      </c>
      <c r="B69" s="52"/>
      <c r="C69" s="52"/>
      <c r="D69" s="52"/>
      <c r="E69" s="2" t="s">
        <v>36</v>
      </c>
      <c r="F69" s="15">
        <v>0</v>
      </c>
      <c r="G69" s="56">
        <v>0</v>
      </c>
      <c r="H69" s="56"/>
      <c r="I69" s="54">
        <v>0</v>
      </c>
      <c r="J69" s="54"/>
      <c r="K69" s="18">
        <v>0</v>
      </c>
      <c r="L69" s="19">
        <v>0</v>
      </c>
      <c r="M69" s="20">
        <v>0</v>
      </c>
      <c r="N69" s="21">
        <v>0</v>
      </c>
      <c r="O69" s="22" t="s">
        <v>22</v>
      </c>
    </row>
    <row r="70" spans="1:15" ht="21.6" customHeight="1" x14ac:dyDescent="0.2">
      <c r="A70" s="55" t="s">
        <v>23</v>
      </c>
      <c r="B70" s="55"/>
      <c r="C70" s="55"/>
      <c r="D70" s="55"/>
      <c r="E70" s="1" t="s">
        <v>24</v>
      </c>
      <c r="F70" s="4"/>
      <c r="G70" s="56">
        <v>0</v>
      </c>
      <c r="H70" s="56"/>
      <c r="I70" s="54">
        <v>0</v>
      </c>
      <c r="J70" s="54"/>
      <c r="K70" s="4"/>
      <c r="L70" s="19">
        <v>0</v>
      </c>
      <c r="M70" s="20">
        <v>0</v>
      </c>
      <c r="N70" s="21">
        <v>0</v>
      </c>
      <c r="O70" s="4"/>
    </row>
    <row r="71" spans="1:15" ht="17.100000000000001" customHeight="1" x14ac:dyDescent="0.2">
      <c r="A71" s="52">
        <v>201206</v>
      </c>
      <c r="B71" s="52"/>
      <c r="C71" s="52"/>
      <c r="D71" s="52"/>
      <c r="E71" s="23">
        <v>1</v>
      </c>
      <c r="F71" s="15">
        <v>0</v>
      </c>
      <c r="G71" s="56">
        <v>0</v>
      </c>
      <c r="H71" s="56"/>
      <c r="I71" s="54">
        <v>0</v>
      </c>
      <c r="J71" s="54"/>
      <c r="K71" s="18">
        <v>0</v>
      </c>
      <c r="L71" s="19">
        <v>0</v>
      </c>
      <c r="M71" s="20">
        <v>0</v>
      </c>
      <c r="N71" s="21">
        <v>0</v>
      </c>
      <c r="O71" s="22" t="s">
        <v>20</v>
      </c>
    </row>
    <row r="72" spans="1:15" ht="14.85" customHeight="1" x14ac:dyDescent="0.2">
      <c r="A72" s="52">
        <v>201206</v>
      </c>
      <c r="B72" s="52"/>
      <c r="C72" s="52"/>
      <c r="D72" s="52"/>
      <c r="E72" s="2" t="s">
        <v>36</v>
      </c>
      <c r="F72" s="15">
        <v>0</v>
      </c>
      <c r="G72" s="56">
        <v>0</v>
      </c>
      <c r="H72" s="56"/>
      <c r="I72" s="54">
        <v>0</v>
      </c>
      <c r="J72" s="54"/>
      <c r="K72" s="18">
        <v>0</v>
      </c>
      <c r="L72" s="19">
        <v>0</v>
      </c>
      <c r="M72" s="20">
        <v>0</v>
      </c>
      <c r="N72" s="21">
        <v>0</v>
      </c>
      <c r="O72" s="22" t="s">
        <v>22</v>
      </c>
    </row>
    <row r="73" spans="1:15" ht="21.6" customHeight="1" x14ac:dyDescent="0.2">
      <c r="A73" s="55" t="s">
        <v>23</v>
      </c>
      <c r="B73" s="55"/>
      <c r="C73" s="55"/>
      <c r="D73" s="55"/>
      <c r="E73" s="1" t="s">
        <v>24</v>
      </c>
      <c r="F73" s="4"/>
      <c r="G73" s="56">
        <v>0</v>
      </c>
      <c r="H73" s="56"/>
      <c r="I73" s="54">
        <v>0</v>
      </c>
      <c r="J73" s="54"/>
      <c r="K73" s="4"/>
      <c r="L73" s="19">
        <v>0</v>
      </c>
      <c r="M73" s="20">
        <v>0</v>
      </c>
      <c r="N73" s="21">
        <v>0</v>
      </c>
      <c r="O73" s="4"/>
    </row>
    <row r="74" spans="1:15" ht="17.100000000000001" customHeight="1" x14ac:dyDescent="0.2">
      <c r="A74" s="52">
        <v>201207</v>
      </c>
      <c r="B74" s="52"/>
      <c r="C74" s="52"/>
      <c r="D74" s="52"/>
      <c r="E74" s="23">
        <v>1</v>
      </c>
      <c r="F74" s="15">
        <v>0</v>
      </c>
      <c r="G74" s="56">
        <v>0</v>
      </c>
      <c r="H74" s="56"/>
      <c r="I74" s="54">
        <v>0</v>
      </c>
      <c r="J74" s="54"/>
      <c r="K74" s="18">
        <v>0</v>
      </c>
      <c r="L74" s="19">
        <v>0</v>
      </c>
      <c r="M74" s="20">
        <v>0</v>
      </c>
      <c r="N74" s="21">
        <v>0</v>
      </c>
      <c r="O74" s="22" t="s">
        <v>20</v>
      </c>
    </row>
    <row r="75" spans="1:15" ht="14.85" customHeight="1" x14ac:dyDescent="0.2">
      <c r="A75" s="52">
        <v>201207</v>
      </c>
      <c r="B75" s="52"/>
      <c r="C75" s="52"/>
      <c r="D75" s="52"/>
      <c r="E75" s="2" t="s">
        <v>36</v>
      </c>
      <c r="F75" s="15">
        <v>0</v>
      </c>
      <c r="G75" s="56">
        <v>0</v>
      </c>
      <c r="H75" s="56"/>
      <c r="I75" s="54">
        <v>0</v>
      </c>
      <c r="J75" s="54"/>
      <c r="K75" s="18">
        <v>0</v>
      </c>
      <c r="L75" s="19">
        <v>0</v>
      </c>
      <c r="M75" s="20">
        <v>0</v>
      </c>
      <c r="N75" s="21">
        <v>0</v>
      </c>
      <c r="O75" s="22" t="s">
        <v>22</v>
      </c>
    </row>
    <row r="76" spans="1:15" ht="21.6" customHeight="1" x14ac:dyDescent="0.2">
      <c r="A76" s="55" t="s">
        <v>23</v>
      </c>
      <c r="B76" s="55"/>
      <c r="C76" s="55"/>
      <c r="D76" s="55"/>
      <c r="E76" s="1" t="s">
        <v>24</v>
      </c>
      <c r="F76" s="4"/>
      <c r="G76" s="56">
        <v>0</v>
      </c>
      <c r="H76" s="56"/>
      <c r="I76" s="54">
        <v>0</v>
      </c>
      <c r="J76" s="54"/>
      <c r="K76" s="4"/>
      <c r="L76" s="19">
        <v>0</v>
      </c>
      <c r="M76" s="20">
        <v>0</v>
      </c>
      <c r="N76" s="21">
        <v>0</v>
      </c>
      <c r="O76" s="4"/>
    </row>
    <row r="77" spans="1:15" ht="17.25" customHeight="1" x14ac:dyDescent="0.2">
      <c r="A77" s="52">
        <v>201208</v>
      </c>
      <c r="B77" s="52"/>
      <c r="C77" s="52"/>
      <c r="D77" s="52"/>
      <c r="E77" s="23">
        <v>1</v>
      </c>
      <c r="F77" s="15">
        <v>0</v>
      </c>
      <c r="G77" s="56">
        <v>0</v>
      </c>
      <c r="H77" s="56"/>
      <c r="I77" s="54">
        <v>0</v>
      </c>
      <c r="J77" s="54"/>
      <c r="K77" s="18">
        <v>0</v>
      </c>
      <c r="L77" s="19">
        <v>0</v>
      </c>
      <c r="M77" s="20">
        <v>0</v>
      </c>
      <c r="N77" s="21">
        <v>0</v>
      </c>
      <c r="O77" s="22" t="s">
        <v>20</v>
      </c>
    </row>
    <row r="78" spans="1:15" ht="42.75" customHeight="1" x14ac:dyDescent="0.25">
      <c r="A78" s="58" t="s">
        <v>0</v>
      </c>
      <c r="B78" s="58"/>
      <c r="C78" s="59" t="s">
        <v>35</v>
      </c>
      <c r="D78" s="59"/>
      <c r="E78" s="59"/>
      <c r="F78" s="3" t="s">
        <v>2</v>
      </c>
      <c r="G78" s="4"/>
      <c r="H78" s="4"/>
      <c r="I78" s="60"/>
      <c r="J78" s="60"/>
      <c r="K78" s="4"/>
      <c r="L78" s="4"/>
      <c r="M78" s="4"/>
      <c r="N78" s="4"/>
      <c r="O78" s="4"/>
    </row>
    <row r="79" spans="1:15" ht="14.85" customHeight="1" x14ac:dyDescent="0.2">
      <c r="A79" s="61" t="s">
        <v>3</v>
      </c>
      <c r="B79" s="61"/>
      <c r="C79" s="61" t="s">
        <v>4</v>
      </c>
      <c r="D79" s="61"/>
      <c r="E79" s="61"/>
      <c r="F79" s="6" t="s">
        <v>5</v>
      </c>
      <c r="G79" s="7"/>
      <c r="H79" s="7"/>
      <c r="I79" s="62"/>
      <c r="J79" s="62"/>
      <c r="K79" s="8" t="s">
        <v>6</v>
      </c>
      <c r="L79" s="13" t="s">
        <v>7</v>
      </c>
      <c r="M79" s="9" t="s">
        <v>8</v>
      </c>
      <c r="N79" s="10" t="s">
        <v>9</v>
      </c>
      <c r="O79" s="11" t="s">
        <v>10</v>
      </c>
    </row>
    <row r="80" spans="1:15" ht="15" customHeight="1" x14ac:dyDescent="0.2">
      <c r="A80" s="55" t="s">
        <v>11</v>
      </c>
      <c r="B80" s="55"/>
      <c r="C80" s="55" t="s">
        <v>12</v>
      </c>
      <c r="D80" s="55"/>
      <c r="E80" s="55"/>
      <c r="F80" s="6" t="s">
        <v>13</v>
      </c>
      <c r="G80" s="12" t="s">
        <v>14</v>
      </c>
      <c r="H80" s="7"/>
      <c r="I80" s="63" t="s">
        <v>15</v>
      </c>
      <c r="J80" s="63"/>
      <c r="K80" s="8" t="s">
        <v>16</v>
      </c>
      <c r="L80" s="13" t="s">
        <v>17</v>
      </c>
      <c r="M80" s="9" t="s">
        <v>17</v>
      </c>
      <c r="N80" s="14" t="s">
        <v>18</v>
      </c>
      <c r="O80" s="11" t="s">
        <v>19</v>
      </c>
    </row>
    <row r="81" spans="1:15" ht="14.45" customHeight="1" x14ac:dyDescent="0.2">
      <c r="A81" s="52">
        <v>201208</v>
      </c>
      <c r="B81" s="52"/>
      <c r="C81" s="57" t="s">
        <v>36</v>
      </c>
      <c r="D81" s="57"/>
      <c r="E81" s="57"/>
      <c r="F81" s="15">
        <v>0</v>
      </c>
      <c r="G81" s="7"/>
      <c r="H81" s="16">
        <v>0</v>
      </c>
      <c r="I81" s="54">
        <v>0</v>
      </c>
      <c r="J81" s="54"/>
      <c r="K81" s="18">
        <v>0</v>
      </c>
      <c r="L81" s="19">
        <v>0</v>
      </c>
      <c r="M81" s="20">
        <v>0</v>
      </c>
      <c r="N81" s="21">
        <v>0</v>
      </c>
      <c r="O81" s="22" t="s">
        <v>22</v>
      </c>
    </row>
    <row r="82" spans="1:15" ht="25.35" customHeight="1" x14ac:dyDescent="0.2">
      <c r="A82" s="55" t="s">
        <v>23</v>
      </c>
      <c r="B82" s="55"/>
      <c r="C82" s="55"/>
      <c r="D82" s="55"/>
      <c r="E82" s="1" t="s">
        <v>24</v>
      </c>
      <c r="F82" s="4"/>
      <c r="G82" s="56">
        <v>0</v>
      </c>
      <c r="H82" s="56"/>
      <c r="I82" s="54">
        <v>0</v>
      </c>
      <c r="J82" s="54"/>
      <c r="K82" s="4"/>
      <c r="L82" s="19">
        <v>0</v>
      </c>
      <c r="M82" s="20">
        <v>0</v>
      </c>
      <c r="N82" s="21">
        <v>0</v>
      </c>
      <c r="O82" s="4"/>
    </row>
    <row r="83" spans="1:15" ht="17.100000000000001" customHeight="1" x14ac:dyDescent="0.2">
      <c r="A83" s="52">
        <v>201209</v>
      </c>
      <c r="B83" s="52"/>
      <c r="C83" s="52"/>
      <c r="D83" s="52"/>
      <c r="E83" s="23">
        <v>1</v>
      </c>
      <c r="F83" s="15">
        <v>0</v>
      </c>
      <c r="G83" s="56">
        <v>0</v>
      </c>
      <c r="H83" s="56"/>
      <c r="I83" s="54">
        <v>0</v>
      </c>
      <c r="J83" s="54"/>
      <c r="K83" s="18">
        <v>0</v>
      </c>
      <c r="L83" s="19">
        <v>0</v>
      </c>
      <c r="M83" s="20">
        <v>0</v>
      </c>
      <c r="N83" s="21">
        <v>0</v>
      </c>
      <c r="O83" s="22" t="s">
        <v>20</v>
      </c>
    </row>
    <row r="84" spans="1:15" ht="14.85" customHeight="1" x14ac:dyDescent="0.2">
      <c r="A84" s="52">
        <v>201209</v>
      </c>
      <c r="B84" s="52"/>
      <c r="C84" s="52"/>
      <c r="D84" s="52"/>
      <c r="E84" s="2" t="s">
        <v>36</v>
      </c>
      <c r="F84" s="24">
        <v>16</v>
      </c>
      <c r="G84" s="53">
        <v>141633</v>
      </c>
      <c r="H84" s="53"/>
      <c r="I84" s="54">
        <v>0</v>
      </c>
      <c r="J84" s="54"/>
      <c r="K84" s="18">
        <v>0</v>
      </c>
      <c r="L84" s="19">
        <v>0</v>
      </c>
      <c r="M84" s="20">
        <v>14801</v>
      </c>
      <c r="N84" s="21">
        <v>3564</v>
      </c>
      <c r="O84" s="22" t="s">
        <v>22</v>
      </c>
    </row>
    <row r="85" spans="1:15" ht="21.6" customHeight="1" x14ac:dyDescent="0.2">
      <c r="A85" s="55" t="s">
        <v>23</v>
      </c>
      <c r="B85" s="55"/>
      <c r="C85" s="55"/>
      <c r="D85" s="55"/>
      <c r="E85" s="1" t="s">
        <v>24</v>
      </c>
      <c r="F85" s="4"/>
      <c r="G85" s="53">
        <v>141633</v>
      </c>
      <c r="H85" s="53"/>
      <c r="I85" s="54">
        <v>0</v>
      </c>
      <c r="J85" s="54"/>
      <c r="K85" s="4"/>
      <c r="L85" s="19">
        <v>0</v>
      </c>
      <c r="M85" s="20">
        <v>14801</v>
      </c>
      <c r="N85" s="21">
        <v>3564</v>
      </c>
      <c r="O85" s="4"/>
    </row>
    <row r="86" spans="1:15" ht="17.100000000000001" customHeight="1" x14ac:dyDescent="0.2">
      <c r="A86" s="52">
        <v>201210</v>
      </c>
      <c r="B86" s="52"/>
      <c r="C86" s="52"/>
      <c r="D86" s="52"/>
      <c r="E86" s="23">
        <v>1</v>
      </c>
      <c r="F86" s="15">
        <v>0</v>
      </c>
      <c r="G86" s="56">
        <v>0</v>
      </c>
      <c r="H86" s="56"/>
      <c r="I86" s="54">
        <v>0</v>
      </c>
      <c r="J86" s="54"/>
      <c r="K86" s="18">
        <v>0</v>
      </c>
      <c r="L86" s="19">
        <v>0</v>
      </c>
      <c r="M86" s="20">
        <v>0</v>
      </c>
      <c r="N86" s="21">
        <v>0</v>
      </c>
      <c r="O86" s="22" t="s">
        <v>20</v>
      </c>
    </row>
    <row r="87" spans="1:15" ht="14.85" customHeight="1" x14ac:dyDescent="0.2">
      <c r="A87" s="52">
        <v>201210</v>
      </c>
      <c r="B87" s="52"/>
      <c r="C87" s="52"/>
      <c r="D87" s="52"/>
      <c r="E87" s="2" t="s">
        <v>36</v>
      </c>
      <c r="F87" s="24">
        <v>26</v>
      </c>
      <c r="G87" s="53">
        <v>190569</v>
      </c>
      <c r="H87" s="53"/>
      <c r="I87" s="54">
        <v>0</v>
      </c>
      <c r="J87" s="54"/>
      <c r="K87" s="18">
        <v>0</v>
      </c>
      <c r="L87" s="19">
        <v>0</v>
      </c>
      <c r="M87" s="20">
        <v>28217</v>
      </c>
      <c r="N87" s="21">
        <v>2327</v>
      </c>
      <c r="O87" s="22" t="s">
        <v>22</v>
      </c>
    </row>
    <row r="88" spans="1:15" ht="21.6" customHeight="1" x14ac:dyDescent="0.2">
      <c r="A88" s="55" t="s">
        <v>23</v>
      </c>
      <c r="B88" s="55"/>
      <c r="C88" s="55"/>
      <c r="D88" s="55"/>
      <c r="E88" s="1" t="s">
        <v>24</v>
      </c>
      <c r="F88" s="4"/>
      <c r="G88" s="53">
        <v>190569</v>
      </c>
      <c r="H88" s="53"/>
      <c r="I88" s="54">
        <v>0</v>
      </c>
      <c r="J88" s="54"/>
      <c r="K88" s="4"/>
      <c r="L88" s="19">
        <v>0</v>
      </c>
      <c r="M88" s="20">
        <v>28217</v>
      </c>
      <c r="N88" s="21">
        <v>2327</v>
      </c>
      <c r="O88" s="4"/>
    </row>
    <row r="89" spans="1:15" ht="17.100000000000001" customHeight="1" x14ac:dyDescent="0.2">
      <c r="A89" s="52">
        <v>201211</v>
      </c>
      <c r="B89" s="52"/>
      <c r="C89" s="52"/>
      <c r="D89" s="52"/>
      <c r="E89" s="23">
        <v>1</v>
      </c>
      <c r="F89" s="15">
        <v>0</v>
      </c>
      <c r="G89" s="56">
        <v>0</v>
      </c>
      <c r="H89" s="56"/>
      <c r="I89" s="54">
        <v>0</v>
      </c>
      <c r="J89" s="54"/>
      <c r="K89" s="18">
        <v>0</v>
      </c>
      <c r="L89" s="19">
        <v>0</v>
      </c>
      <c r="M89" s="20">
        <v>0</v>
      </c>
      <c r="N89" s="21">
        <v>0</v>
      </c>
      <c r="O89" s="22" t="s">
        <v>20</v>
      </c>
    </row>
    <row r="90" spans="1:15" ht="14.85" customHeight="1" x14ac:dyDescent="0.2">
      <c r="A90" s="52">
        <v>201211</v>
      </c>
      <c r="B90" s="52"/>
      <c r="C90" s="52"/>
      <c r="D90" s="52"/>
      <c r="E90" s="2" t="s">
        <v>36</v>
      </c>
      <c r="F90" s="24">
        <v>30</v>
      </c>
      <c r="G90" s="53">
        <v>258862</v>
      </c>
      <c r="H90" s="53"/>
      <c r="I90" s="54">
        <v>0</v>
      </c>
      <c r="J90" s="54"/>
      <c r="K90" s="18">
        <v>0</v>
      </c>
      <c r="L90" s="19">
        <v>0</v>
      </c>
      <c r="M90" s="20">
        <v>37883</v>
      </c>
      <c r="N90" s="21">
        <v>1846</v>
      </c>
      <c r="O90" s="22" t="s">
        <v>22</v>
      </c>
    </row>
    <row r="91" spans="1:15" ht="21.6" customHeight="1" x14ac:dyDescent="0.2">
      <c r="A91" s="55" t="s">
        <v>23</v>
      </c>
      <c r="B91" s="55"/>
      <c r="C91" s="55"/>
      <c r="D91" s="55"/>
      <c r="E91" s="1" t="s">
        <v>24</v>
      </c>
      <c r="F91" s="4"/>
      <c r="G91" s="53">
        <v>258862</v>
      </c>
      <c r="H91" s="53"/>
      <c r="I91" s="54">
        <v>0</v>
      </c>
      <c r="J91" s="54"/>
      <c r="K91" s="4"/>
      <c r="L91" s="19">
        <v>0</v>
      </c>
      <c r="M91" s="20">
        <v>37883</v>
      </c>
      <c r="N91" s="21">
        <v>1846</v>
      </c>
      <c r="O91" s="4"/>
    </row>
    <row r="92" spans="1:15" ht="17.100000000000001" customHeight="1" x14ac:dyDescent="0.2">
      <c r="A92" s="52">
        <v>201212</v>
      </c>
      <c r="B92" s="52"/>
      <c r="C92" s="52"/>
      <c r="D92" s="52"/>
      <c r="E92" s="23">
        <v>1</v>
      </c>
      <c r="F92" s="15">
        <v>0</v>
      </c>
      <c r="G92" s="56">
        <v>0</v>
      </c>
      <c r="H92" s="56"/>
      <c r="I92" s="54">
        <v>0</v>
      </c>
      <c r="J92" s="54"/>
      <c r="K92" s="18">
        <v>0</v>
      </c>
      <c r="L92" s="19">
        <v>0</v>
      </c>
      <c r="M92" s="20">
        <v>0</v>
      </c>
      <c r="N92" s="21">
        <v>0</v>
      </c>
      <c r="O92" s="22" t="s">
        <v>20</v>
      </c>
    </row>
    <row r="93" spans="1:15" ht="14.85" customHeight="1" x14ac:dyDescent="0.2">
      <c r="A93" s="52">
        <v>201212</v>
      </c>
      <c r="B93" s="52"/>
      <c r="C93" s="52"/>
      <c r="D93" s="52"/>
      <c r="E93" s="2" t="s">
        <v>36</v>
      </c>
      <c r="F93" s="24">
        <v>31</v>
      </c>
      <c r="G93" s="53">
        <v>303286</v>
      </c>
      <c r="H93" s="53"/>
      <c r="I93" s="54">
        <v>0</v>
      </c>
      <c r="J93" s="54"/>
      <c r="K93" s="18">
        <v>0</v>
      </c>
      <c r="L93" s="19">
        <v>0</v>
      </c>
      <c r="M93" s="20">
        <v>43560</v>
      </c>
      <c r="N93" s="21">
        <v>4729</v>
      </c>
      <c r="O93" s="22" t="s">
        <v>22</v>
      </c>
    </row>
    <row r="94" spans="1:15" ht="15.6" customHeight="1" x14ac:dyDescent="0.2">
      <c r="A94" s="55" t="s">
        <v>23</v>
      </c>
      <c r="B94" s="55"/>
      <c r="C94" s="55"/>
      <c r="D94" s="55"/>
      <c r="E94" s="1" t="s">
        <v>24</v>
      </c>
      <c r="F94" s="7"/>
      <c r="G94" s="53">
        <v>303286</v>
      </c>
      <c r="H94" s="53"/>
      <c r="I94" s="54">
        <v>0</v>
      </c>
      <c r="J94" s="54"/>
      <c r="K94" s="7"/>
      <c r="L94" s="19">
        <v>0</v>
      </c>
      <c r="M94" s="20">
        <v>43560</v>
      </c>
      <c r="N94" s="21">
        <v>4729</v>
      </c>
      <c r="O94" s="7"/>
    </row>
  </sheetData>
  <mergeCells count="257">
    <mergeCell ref="A1:B1"/>
    <mergeCell ref="C1:E1"/>
    <mergeCell ref="G1:O1"/>
    <mergeCell ref="A2:B2"/>
    <mergeCell ref="C2:E2"/>
    <mergeCell ref="I2:J2"/>
    <mergeCell ref="A3:B3"/>
    <mergeCell ref="C3:E3"/>
    <mergeCell ref="I3:J3"/>
    <mergeCell ref="A4:B4"/>
    <mergeCell ref="C4:E4"/>
    <mergeCell ref="I4:J4"/>
    <mergeCell ref="A5:B5"/>
    <mergeCell ref="C5:E5"/>
    <mergeCell ref="I5:J5"/>
    <mergeCell ref="A6:D6"/>
    <mergeCell ref="G6:H6"/>
    <mergeCell ref="A7:D7"/>
    <mergeCell ref="G7:H7"/>
    <mergeCell ref="A8:D8"/>
    <mergeCell ref="G8:H8"/>
    <mergeCell ref="A9:D9"/>
    <mergeCell ref="G9:H9"/>
    <mergeCell ref="A10:D10"/>
    <mergeCell ref="G10:H10"/>
    <mergeCell ref="A11:D11"/>
    <mergeCell ref="G11:H11"/>
    <mergeCell ref="A12:D12"/>
    <mergeCell ref="G12:H12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G17:H17"/>
    <mergeCell ref="A18:D18"/>
    <mergeCell ref="G18:H18"/>
    <mergeCell ref="A19:D19"/>
    <mergeCell ref="G19:H19"/>
    <mergeCell ref="A20:D20"/>
    <mergeCell ref="G20:H20"/>
    <mergeCell ref="A21:D21"/>
    <mergeCell ref="G21:H21"/>
    <mergeCell ref="A22:D22"/>
    <mergeCell ref="G22:H22"/>
    <mergeCell ref="A23:D23"/>
    <mergeCell ref="G23:H23"/>
    <mergeCell ref="A24:D24"/>
    <mergeCell ref="G24:H24"/>
    <mergeCell ref="A25:D25"/>
    <mergeCell ref="G25:H25"/>
    <mergeCell ref="A26:D26"/>
    <mergeCell ref="G26:H26"/>
    <mergeCell ref="A27:D27"/>
    <mergeCell ref="G27:H27"/>
    <mergeCell ref="A28:C28"/>
    <mergeCell ref="D28:P28"/>
    <mergeCell ref="B29:D29"/>
    <mergeCell ref="G29:H29"/>
    <mergeCell ref="I29:J29"/>
    <mergeCell ref="B30:D30"/>
    <mergeCell ref="G30:H30"/>
    <mergeCell ref="I30:J30"/>
    <mergeCell ref="B31:D31"/>
    <mergeCell ref="G31:H31"/>
    <mergeCell ref="I31:J31"/>
    <mergeCell ref="A32:D32"/>
    <mergeCell ref="G32:H32"/>
    <mergeCell ref="I32:J32"/>
    <mergeCell ref="A33:D33"/>
    <mergeCell ref="G33:H33"/>
    <mergeCell ref="I33:J33"/>
    <mergeCell ref="A34:D34"/>
    <mergeCell ref="G34:H34"/>
    <mergeCell ref="I34:J34"/>
    <mergeCell ref="A35:D35"/>
    <mergeCell ref="G35:H35"/>
    <mergeCell ref="I35:J35"/>
    <mergeCell ref="A36:D36"/>
    <mergeCell ref="G36:H36"/>
    <mergeCell ref="I36:J36"/>
    <mergeCell ref="A37:D37"/>
    <mergeCell ref="G37:H37"/>
    <mergeCell ref="I37:J37"/>
    <mergeCell ref="A38:D38"/>
    <mergeCell ref="G38:H38"/>
    <mergeCell ref="I38:J38"/>
    <mergeCell ref="A39:D39"/>
    <mergeCell ref="G39:H39"/>
    <mergeCell ref="I39:J39"/>
    <mergeCell ref="A40:D40"/>
    <mergeCell ref="G40:H40"/>
    <mergeCell ref="I40:J40"/>
    <mergeCell ref="A41:D41"/>
    <mergeCell ref="G41:H41"/>
    <mergeCell ref="I41:J41"/>
    <mergeCell ref="A42:D42"/>
    <mergeCell ref="G42:H42"/>
    <mergeCell ref="I42:J42"/>
    <mergeCell ref="A43:D43"/>
    <mergeCell ref="G43:H43"/>
    <mergeCell ref="I43:J43"/>
    <mergeCell ref="A44:D44"/>
    <mergeCell ref="G44:H44"/>
    <mergeCell ref="I44:J44"/>
    <mergeCell ref="A45:D45"/>
    <mergeCell ref="G45:H45"/>
    <mergeCell ref="I45:J45"/>
    <mergeCell ref="A46:D46"/>
    <mergeCell ref="G46:H46"/>
    <mergeCell ref="I46:J46"/>
    <mergeCell ref="A47:D47"/>
    <mergeCell ref="G47:H47"/>
    <mergeCell ref="I47:J47"/>
    <mergeCell ref="A48:D48"/>
    <mergeCell ref="G48:H48"/>
    <mergeCell ref="I48:J48"/>
    <mergeCell ref="A49:D49"/>
    <mergeCell ref="G49:H49"/>
    <mergeCell ref="I49:J49"/>
    <mergeCell ref="A50:D50"/>
    <mergeCell ref="G50:H50"/>
    <mergeCell ref="I50:J50"/>
    <mergeCell ref="A51:D51"/>
    <mergeCell ref="G51:H51"/>
    <mergeCell ref="I51:J51"/>
    <mergeCell ref="A52:P52"/>
    <mergeCell ref="A53:B53"/>
    <mergeCell ref="C53:E53"/>
    <mergeCell ref="G53:O53"/>
    <mergeCell ref="A54:B54"/>
    <mergeCell ref="C54:E54"/>
    <mergeCell ref="I54:J54"/>
    <mergeCell ref="A55:B55"/>
    <mergeCell ref="C55:E55"/>
    <mergeCell ref="I55:J55"/>
    <mergeCell ref="A56:B56"/>
    <mergeCell ref="C56:E56"/>
    <mergeCell ref="I56:J56"/>
    <mergeCell ref="A57:B57"/>
    <mergeCell ref="C57:E57"/>
    <mergeCell ref="I57:J57"/>
    <mergeCell ref="A58:D58"/>
    <mergeCell ref="G58:H58"/>
    <mergeCell ref="I58:J58"/>
    <mergeCell ref="A59:D59"/>
    <mergeCell ref="G59:H59"/>
    <mergeCell ref="I59:J59"/>
    <mergeCell ref="A60:D60"/>
    <mergeCell ref="G60:H60"/>
    <mergeCell ref="I60:J60"/>
    <mergeCell ref="A61:D61"/>
    <mergeCell ref="G61:H61"/>
    <mergeCell ref="I61:J61"/>
    <mergeCell ref="A62:D62"/>
    <mergeCell ref="G62:H62"/>
    <mergeCell ref="I62:J62"/>
    <mergeCell ref="A63:D63"/>
    <mergeCell ref="G63:H63"/>
    <mergeCell ref="I63:J63"/>
    <mergeCell ref="A64:D64"/>
    <mergeCell ref="G64:H64"/>
    <mergeCell ref="I64:J64"/>
    <mergeCell ref="A65:D65"/>
    <mergeCell ref="G65:H65"/>
    <mergeCell ref="I65:J65"/>
    <mergeCell ref="A66:D66"/>
    <mergeCell ref="G66:H66"/>
    <mergeCell ref="I66:J66"/>
    <mergeCell ref="A67:D67"/>
    <mergeCell ref="G67:H67"/>
    <mergeCell ref="I67:J67"/>
    <mergeCell ref="A68:D68"/>
    <mergeCell ref="G68:H68"/>
    <mergeCell ref="I68:J68"/>
    <mergeCell ref="A69:D69"/>
    <mergeCell ref="G69:H69"/>
    <mergeCell ref="I69:J69"/>
    <mergeCell ref="A70:D70"/>
    <mergeCell ref="G70:H70"/>
    <mergeCell ref="I70:J70"/>
    <mergeCell ref="A71:D71"/>
    <mergeCell ref="G71:H71"/>
    <mergeCell ref="I71:J71"/>
    <mergeCell ref="A72:D72"/>
    <mergeCell ref="G72:H72"/>
    <mergeCell ref="I72:J72"/>
    <mergeCell ref="A73:D73"/>
    <mergeCell ref="G73:H73"/>
    <mergeCell ref="I73:J73"/>
    <mergeCell ref="A74:D74"/>
    <mergeCell ref="G74:H74"/>
    <mergeCell ref="I74:J74"/>
    <mergeCell ref="A75:D75"/>
    <mergeCell ref="G75:H75"/>
    <mergeCell ref="I75:J75"/>
    <mergeCell ref="A76:D76"/>
    <mergeCell ref="G76:H76"/>
    <mergeCell ref="I76:J76"/>
    <mergeCell ref="A77:D77"/>
    <mergeCell ref="G77:H77"/>
    <mergeCell ref="I77:J77"/>
    <mergeCell ref="A78:B78"/>
    <mergeCell ref="C78:E78"/>
    <mergeCell ref="I78:J78"/>
    <mergeCell ref="A79:B79"/>
    <mergeCell ref="C79:E79"/>
    <mergeCell ref="I79:J79"/>
    <mergeCell ref="A80:B80"/>
    <mergeCell ref="C80:E80"/>
    <mergeCell ref="I80:J80"/>
    <mergeCell ref="A81:B81"/>
    <mergeCell ref="C81:E81"/>
    <mergeCell ref="I81:J81"/>
    <mergeCell ref="A82:D82"/>
    <mergeCell ref="G82:H82"/>
    <mergeCell ref="I82:J82"/>
    <mergeCell ref="A83:D83"/>
    <mergeCell ref="G83:H83"/>
    <mergeCell ref="I83:J83"/>
    <mergeCell ref="A84:D84"/>
    <mergeCell ref="G84:H84"/>
    <mergeCell ref="I84:J84"/>
    <mergeCell ref="A85:D85"/>
    <mergeCell ref="G85:H85"/>
    <mergeCell ref="I85:J85"/>
    <mergeCell ref="A86:D86"/>
    <mergeCell ref="G86:H86"/>
    <mergeCell ref="I86:J86"/>
    <mergeCell ref="A87:D87"/>
    <mergeCell ref="G87:H87"/>
    <mergeCell ref="I87:J87"/>
    <mergeCell ref="A88:D88"/>
    <mergeCell ref="G88:H88"/>
    <mergeCell ref="I88:J88"/>
    <mergeCell ref="A89:D89"/>
    <mergeCell ref="G89:H89"/>
    <mergeCell ref="I89:J89"/>
    <mergeCell ref="A93:D93"/>
    <mergeCell ref="G93:H93"/>
    <mergeCell ref="I93:J93"/>
    <mergeCell ref="A94:D94"/>
    <mergeCell ref="G94:H94"/>
    <mergeCell ref="I94:J94"/>
    <mergeCell ref="A90:D90"/>
    <mergeCell ref="G90:H90"/>
    <mergeCell ref="I90:J90"/>
    <mergeCell ref="A91:D91"/>
    <mergeCell ref="G91:H91"/>
    <mergeCell ref="I91:J91"/>
    <mergeCell ref="A92:D92"/>
    <mergeCell ref="G92:H92"/>
    <mergeCell ref="I92:J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3D03-A9F9-4FCC-A3D8-D7A86F5010D0}">
  <dimension ref="A1:DP119"/>
  <sheetViews>
    <sheetView tabSelected="1" topLeftCell="A39" zoomScale="77" zoomScaleNormal="77" workbookViewId="0">
      <selection activeCell="DQ95" sqref="DQ95"/>
    </sheetView>
  </sheetViews>
  <sheetFormatPr defaultRowHeight="12.75" x14ac:dyDescent="0.2"/>
  <cols>
    <col min="1" max="1" width="10.1640625" bestFit="1" customWidth="1"/>
    <col min="2" max="2" width="9.5" bestFit="1" customWidth="1"/>
    <col min="3" max="4" width="13" bestFit="1" customWidth="1"/>
    <col min="5" max="5" width="16.83203125" bestFit="1" customWidth="1"/>
    <col min="6" max="14" width="13" bestFit="1" customWidth="1"/>
    <col min="18" max="18" width="13.1640625" customWidth="1"/>
    <col min="19" max="19" width="26" bestFit="1" customWidth="1"/>
    <col min="20" max="23" width="17.5" bestFit="1" customWidth="1"/>
    <col min="24" max="111" width="19.5" bestFit="1" customWidth="1"/>
    <col min="112" max="115" width="17.5" bestFit="1" customWidth="1"/>
    <col min="116" max="116" width="11.83203125" bestFit="1" customWidth="1"/>
    <col min="117" max="117" width="22.1640625" bestFit="1" customWidth="1"/>
    <col min="118" max="118" width="10" customWidth="1"/>
    <col min="119" max="119" width="10.6640625" bestFit="1" customWidth="1"/>
    <col min="120" max="120" width="9.83203125" bestFit="1" customWidth="1"/>
  </cols>
  <sheetData>
    <row r="1" spans="1:120" s="39" customFormat="1" ht="15.7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T1" s="39">
        <v>2012</v>
      </c>
      <c r="AF1" s="39">
        <v>2013</v>
      </c>
      <c r="AR1" s="39">
        <v>2014</v>
      </c>
      <c r="BD1" s="39">
        <v>2015</v>
      </c>
      <c r="BP1" s="39">
        <v>2016</v>
      </c>
      <c r="CB1" s="39">
        <v>2017</v>
      </c>
      <c r="CN1" s="33">
        <v>2018</v>
      </c>
      <c r="CZ1" s="33">
        <v>2019</v>
      </c>
    </row>
    <row r="2" spans="1:120" ht="15.75" x14ac:dyDescent="0.2">
      <c r="A2" s="33"/>
      <c r="B2" s="33"/>
      <c r="C2" s="33" t="s">
        <v>37</v>
      </c>
      <c r="D2" s="33" t="s">
        <v>38</v>
      </c>
      <c r="E2" s="33" t="s">
        <v>39</v>
      </c>
      <c r="F2" s="33" t="s">
        <v>40</v>
      </c>
      <c r="G2" s="33" t="s">
        <v>41</v>
      </c>
      <c r="H2" s="33" t="s">
        <v>42</v>
      </c>
      <c r="I2" s="33" t="s">
        <v>43</v>
      </c>
      <c r="J2" s="33" t="s">
        <v>44</v>
      </c>
      <c r="K2" s="33" t="s">
        <v>45</v>
      </c>
      <c r="L2" s="33" t="s">
        <v>46</v>
      </c>
      <c r="M2" s="33" t="s">
        <v>47</v>
      </c>
      <c r="N2" s="33" t="s">
        <v>48</v>
      </c>
      <c r="O2" s="33"/>
      <c r="P2" s="33"/>
      <c r="Q2" s="33"/>
      <c r="T2" s="33" t="s">
        <v>37</v>
      </c>
      <c r="U2" s="33" t="s">
        <v>38</v>
      </c>
      <c r="V2" s="33" t="s">
        <v>39</v>
      </c>
      <c r="W2" s="33" t="s">
        <v>40</v>
      </c>
      <c r="X2" s="33" t="s">
        <v>41</v>
      </c>
      <c r="Y2" s="33" t="s">
        <v>42</v>
      </c>
      <c r="Z2" s="33" t="s">
        <v>43</v>
      </c>
      <c r="AA2" s="33" t="s">
        <v>44</v>
      </c>
      <c r="AB2" s="33" t="s">
        <v>45</v>
      </c>
      <c r="AC2" s="33" t="s">
        <v>46</v>
      </c>
      <c r="AD2" s="33" t="s">
        <v>47</v>
      </c>
      <c r="AE2" s="33" t="s">
        <v>48</v>
      </c>
      <c r="AF2" s="33" t="s">
        <v>37</v>
      </c>
      <c r="AG2" s="33" t="s">
        <v>38</v>
      </c>
      <c r="AH2" s="33" t="s">
        <v>39</v>
      </c>
      <c r="AI2" s="33" t="s">
        <v>40</v>
      </c>
      <c r="AJ2" s="33" t="s">
        <v>41</v>
      </c>
      <c r="AK2" s="33" t="s">
        <v>42</v>
      </c>
      <c r="AL2" s="33" t="s">
        <v>43</v>
      </c>
      <c r="AM2" s="33" t="s">
        <v>44</v>
      </c>
      <c r="AN2" s="33" t="s">
        <v>45</v>
      </c>
      <c r="AO2" s="33" t="s">
        <v>46</v>
      </c>
      <c r="AP2" s="33" t="s">
        <v>47</v>
      </c>
      <c r="AQ2" s="33" t="s">
        <v>48</v>
      </c>
      <c r="AR2" s="33" t="s">
        <v>37</v>
      </c>
      <c r="AS2" s="33" t="s">
        <v>38</v>
      </c>
      <c r="AT2" s="33" t="s">
        <v>39</v>
      </c>
      <c r="AU2" s="33" t="s">
        <v>40</v>
      </c>
      <c r="AV2" s="33" t="s">
        <v>41</v>
      </c>
      <c r="AW2" s="33" t="s">
        <v>42</v>
      </c>
      <c r="AX2" s="33" t="s">
        <v>43</v>
      </c>
      <c r="AY2" s="33" t="s">
        <v>44</v>
      </c>
      <c r="AZ2" s="33" t="s">
        <v>45</v>
      </c>
      <c r="BA2" s="33" t="s">
        <v>46</v>
      </c>
      <c r="BB2" s="33" t="s">
        <v>47</v>
      </c>
      <c r="BC2" s="33" t="s">
        <v>48</v>
      </c>
      <c r="BD2" s="33" t="s">
        <v>37</v>
      </c>
      <c r="BE2" s="33" t="s">
        <v>38</v>
      </c>
      <c r="BF2" s="33" t="s">
        <v>39</v>
      </c>
      <c r="BG2" s="33" t="s">
        <v>40</v>
      </c>
      <c r="BH2" s="33" t="s">
        <v>41</v>
      </c>
      <c r="BI2" s="33" t="s">
        <v>42</v>
      </c>
      <c r="BJ2" s="33" t="s">
        <v>43</v>
      </c>
      <c r="BK2" s="33" t="s">
        <v>44</v>
      </c>
      <c r="BL2" s="33" t="s">
        <v>45</v>
      </c>
      <c r="BM2" s="33" t="s">
        <v>46</v>
      </c>
      <c r="BN2" s="33" t="s">
        <v>47</v>
      </c>
      <c r="BO2" s="33" t="s">
        <v>48</v>
      </c>
      <c r="BP2" s="33" t="s">
        <v>37</v>
      </c>
      <c r="BQ2" s="33" t="s">
        <v>38</v>
      </c>
      <c r="BR2" s="33" t="s">
        <v>39</v>
      </c>
      <c r="BS2" s="33" t="s">
        <v>40</v>
      </c>
      <c r="BT2" s="33" t="s">
        <v>41</v>
      </c>
      <c r="BU2" s="33" t="s">
        <v>42</v>
      </c>
      <c r="BV2" s="33" t="s">
        <v>43</v>
      </c>
      <c r="BW2" s="33" t="s">
        <v>44</v>
      </c>
      <c r="BX2" s="33" t="s">
        <v>45</v>
      </c>
      <c r="BY2" s="33" t="s">
        <v>46</v>
      </c>
      <c r="BZ2" s="33" t="s">
        <v>47</v>
      </c>
      <c r="CA2" s="33" t="s">
        <v>48</v>
      </c>
      <c r="CB2" s="33" t="s">
        <v>37</v>
      </c>
      <c r="CC2" s="33" t="s">
        <v>38</v>
      </c>
      <c r="CD2" s="33" t="s">
        <v>39</v>
      </c>
      <c r="CE2" s="33" t="s">
        <v>40</v>
      </c>
      <c r="CF2" s="33" t="s">
        <v>41</v>
      </c>
      <c r="CG2" s="33" t="s">
        <v>42</v>
      </c>
      <c r="CH2" s="33" t="s">
        <v>43</v>
      </c>
      <c r="CI2" s="33" t="s">
        <v>44</v>
      </c>
      <c r="CJ2" s="33" t="s">
        <v>45</v>
      </c>
      <c r="CK2" s="33" t="s">
        <v>46</v>
      </c>
      <c r="CL2" s="33" t="s">
        <v>47</v>
      </c>
      <c r="CM2" s="33" t="s">
        <v>48</v>
      </c>
      <c r="CN2" s="33" t="s">
        <v>37</v>
      </c>
      <c r="CO2" s="33" t="s">
        <v>38</v>
      </c>
      <c r="CP2" s="33" t="s">
        <v>39</v>
      </c>
      <c r="CQ2" s="33" t="s">
        <v>40</v>
      </c>
      <c r="CR2" s="33" t="s">
        <v>41</v>
      </c>
      <c r="CS2" s="33" t="s">
        <v>42</v>
      </c>
      <c r="CT2" s="33" t="s">
        <v>43</v>
      </c>
      <c r="CU2" s="33" t="s">
        <v>44</v>
      </c>
      <c r="CV2" s="33" t="s">
        <v>45</v>
      </c>
      <c r="CW2" s="33" t="s">
        <v>46</v>
      </c>
      <c r="CX2" s="33" t="s">
        <v>47</v>
      </c>
      <c r="CY2" s="33" t="s">
        <v>48</v>
      </c>
      <c r="CZ2" s="33" t="s">
        <v>37</v>
      </c>
      <c r="DA2" s="33" t="s">
        <v>38</v>
      </c>
      <c r="DB2" s="33" t="s">
        <v>39</v>
      </c>
      <c r="DC2" s="33" t="s">
        <v>40</v>
      </c>
      <c r="DD2" s="33" t="s">
        <v>41</v>
      </c>
      <c r="DE2" s="33" t="s">
        <v>42</v>
      </c>
      <c r="DF2" s="33" t="s">
        <v>43</v>
      </c>
      <c r="DG2" s="33" t="s">
        <v>44</v>
      </c>
      <c r="DH2" s="33" t="s">
        <v>45</v>
      </c>
      <c r="DI2" s="33" t="s">
        <v>46</v>
      </c>
      <c r="DJ2" s="33" t="s">
        <v>47</v>
      </c>
      <c r="DK2" s="33" t="s">
        <v>48</v>
      </c>
    </row>
    <row r="3" spans="1:120" ht="15.75" x14ac:dyDescent="0.2">
      <c r="A3" s="33"/>
      <c r="B3" s="33" t="s">
        <v>50</v>
      </c>
      <c r="C3" s="33">
        <v>31</v>
      </c>
      <c r="D3" s="33">
        <v>28</v>
      </c>
      <c r="E3" s="33">
        <v>31</v>
      </c>
      <c r="F3" s="33">
        <v>30</v>
      </c>
      <c r="G3" s="33">
        <v>31</v>
      </c>
      <c r="H3" s="33">
        <v>30</v>
      </c>
      <c r="I3" s="33">
        <v>31</v>
      </c>
      <c r="J3" s="33">
        <v>31</v>
      </c>
      <c r="K3" s="33">
        <v>30</v>
      </c>
      <c r="L3" s="33">
        <v>31</v>
      </c>
      <c r="M3" s="33">
        <v>30</v>
      </c>
      <c r="N3" s="33">
        <v>31</v>
      </c>
      <c r="O3" s="33"/>
      <c r="P3" s="33"/>
      <c r="Q3" s="33"/>
      <c r="T3" s="33">
        <v>31</v>
      </c>
      <c r="U3" s="33">
        <v>28</v>
      </c>
      <c r="V3" s="33">
        <v>31</v>
      </c>
      <c r="W3" s="33">
        <v>30</v>
      </c>
      <c r="X3" s="33">
        <v>31</v>
      </c>
      <c r="Y3" s="33">
        <v>30</v>
      </c>
      <c r="Z3" s="33">
        <v>31</v>
      </c>
      <c r="AA3" s="33">
        <v>31</v>
      </c>
      <c r="AB3" s="33">
        <v>30</v>
      </c>
      <c r="AC3" s="33">
        <v>31</v>
      </c>
      <c r="AD3" s="33">
        <v>30</v>
      </c>
      <c r="AE3" s="33">
        <v>31</v>
      </c>
      <c r="AF3" s="33">
        <v>31</v>
      </c>
      <c r="AG3" s="33">
        <v>28</v>
      </c>
      <c r="AH3" s="33">
        <v>31</v>
      </c>
      <c r="AI3" s="33">
        <v>30</v>
      </c>
      <c r="AJ3" s="33">
        <v>31</v>
      </c>
      <c r="AK3" s="33">
        <v>30</v>
      </c>
      <c r="AL3" s="33">
        <v>31</v>
      </c>
      <c r="AM3" s="33">
        <v>31</v>
      </c>
      <c r="AN3" s="33">
        <v>30</v>
      </c>
      <c r="AO3" s="33">
        <v>31</v>
      </c>
      <c r="AP3" s="33">
        <v>30</v>
      </c>
      <c r="AQ3" s="33">
        <v>31</v>
      </c>
      <c r="AR3" s="33">
        <v>31</v>
      </c>
      <c r="AS3" s="33">
        <v>28</v>
      </c>
      <c r="AT3" s="33">
        <v>31</v>
      </c>
      <c r="AU3" s="33">
        <v>30</v>
      </c>
      <c r="AV3" s="33">
        <v>31</v>
      </c>
      <c r="AW3" s="33">
        <v>30</v>
      </c>
      <c r="AX3" s="33">
        <v>31</v>
      </c>
      <c r="AY3" s="33">
        <v>31</v>
      </c>
      <c r="AZ3" s="33">
        <v>30</v>
      </c>
      <c r="BA3" s="33">
        <v>31</v>
      </c>
      <c r="BB3" s="33">
        <v>30</v>
      </c>
      <c r="BC3" s="33">
        <v>31</v>
      </c>
      <c r="BD3" s="33">
        <v>31</v>
      </c>
      <c r="BE3" s="33">
        <v>28</v>
      </c>
      <c r="BF3" s="33">
        <v>31</v>
      </c>
      <c r="BG3" s="33">
        <v>30</v>
      </c>
      <c r="BH3" s="33">
        <v>31</v>
      </c>
      <c r="BI3" s="33">
        <v>30</v>
      </c>
      <c r="BJ3" s="33">
        <v>31</v>
      </c>
      <c r="BK3" s="33">
        <v>31</v>
      </c>
      <c r="BL3" s="33">
        <v>30</v>
      </c>
      <c r="BM3" s="33">
        <v>31</v>
      </c>
      <c r="BN3" s="33">
        <v>30</v>
      </c>
      <c r="BO3" s="33">
        <v>31</v>
      </c>
      <c r="BP3" s="33">
        <v>31</v>
      </c>
      <c r="BQ3" s="33">
        <v>28</v>
      </c>
      <c r="BR3" s="33">
        <v>31</v>
      </c>
      <c r="BS3" s="33">
        <v>30</v>
      </c>
      <c r="BT3" s="33">
        <v>31</v>
      </c>
      <c r="BU3" s="33">
        <v>30</v>
      </c>
      <c r="BV3" s="33">
        <v>31</v>
      </c>
      <c r="BW3" s="33">
        <v>31</v>
      </c>
      <c r="BX3" s="33">
        <v>30</v>
      </c>
      <c r="BY3" s="33">
        <v>31</v>
      </c>
      <c r="BZ3" s="33">
        <v>30</v>
      </c>
      <c r="CA3" s="33">
        <v>31</v>
      </c>
      <c r="CB3" s="33">
        <v>31</v>
      </c>
      <c r="CC3" s="33">
        <v>28</v>
      </c>
      <c r="CD3" s="33">
        <v>31</v>
      </c>
      <c r="CE3" s="33">
        <v>30</v>
      </c>
      <c r="CF3" s="33">
        <v>31</v>
      </c>
      <c r="CG3" s="33">
        <v>30</v>
      </c>
      <c r="CH3" s="33">
        <v>31</v>
      </c>
      <c r="CI3" s="33">
        <v>31</v>
      </c>
      <c r="CJ3" s="33">
        <v>30</v>
      </c>
      <c r="CK3" s="33">
        <v>31</v>
      </c>
      <c r="CL3" s="33">
        <v>30</v>
      </c>
      <c r="CM3" s="33">
        <v>31</v>
      </c>
      <c r="CN3" s="33">
        <v>31</v>
      </c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</row>
    <row r="4" spans="1:120" ht="15.75" x14ac:dyDescent="0.2">
      <c r="A4" s="33">
        <v>2014</v>
      </c>
      <c r="B4" s="33">
        <v>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3"/>
      <c r="P4" s="33"/>
      <c r="Q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</row>
    <row r="5" spans="1:120" ht="15.75" x14ac:dyDescent="0.2">
      <c r="A5" s="40" t="s">
        <v>61</v>
      </c>
      <c r="B5" s="33" t="s">
        <v>58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3"/>
      <c r="P5" s="33"/>
      <c r="Q5" s="33"/>
      <c r="R5" s="40" t="s">
        <v>61</v>
      </c>
      <c r="S5" s="33" t="s">
        <v>58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40" t="s">
        <v>61</v>
      </c>
      <c r="BB5" s="33" t="s">
        <v>58</v>
      </c>
      <c r="BC5" s="34">
        <v>0</v>
      </c>
      <c r="BD5" s="34">
        <f>167546/21</f>
        <v>7978.3809523809523</v>
      </c>
      <c r="BE5" s="34">
        <f>226619/23</f>
        <v>9853</v>
      </c>
      <c r="BF5" s="34">
        <f>342308/31</f>
        <v>11042.193548387097</v>
      </c>
      <c r="BG5" s="34">
        <f>322466/30</f>
        <v>10748.866666666667</v>
      </c>
      <c r="BH5" s="34">
        <f>316405/31</f>
        <v>10206.612903225807</v>
      </c>
      <c r="BI5" s="34">
        <f>306165/30</f>
        <v>10205.5</v>
      </c>
      <c r="BJ5" s="34">
        <f>211877/21</f>
        <v>10089.380952380952</v>
      </c>
      <c r="BK5" s="34">
        <f>294052/31</f>
        <v>9485.5483870967746</v>
      </c>
      <c r="BL5" s="34">
        <f>282958/30</f>
        <v>9431.9333333333325</v>
      </c>
      <c r="BM5" s="34">
        <f>274180/31</f>
        <v>8844.5161290322576</v>
      </c>
      <c r="BN5" s="34">
        <f>206547/27</f>
        <v>7649.8888888888887</v>
      </c>
      <c r="BO5" s="34">
        <f>248237/31</f>
        <v>8007.6451612903229</v>
      </c>
      <c r="BP5" s="34">
        <f>249234/31</f>
        <v>8039.8064516129034</v>
      </c>
      <c r="BQ5" s="34">
        <f>230639/29</f>
        <v>7953.0689655172409</v>
      </c>
      <c r="BR5" s="34">
        <f>253391/31</f>
        <v>8173.9032258064517</v>
      </c>
      <c r="BS5" s="34">
        <f>228788/30</f>
        <v>7626.2666666666664</v>
      </c>
      <c r="BT5" s="34">
        <f>243687/31</f>
        <v>7860.8709677419356</v>
      </c>
      <c r="BU5" s="34">
        <f>238057/30</f>
        <v>7935.2333333333336</v>
      </c>
      <c r="BV5" s="34">
        <f>211546/31</f>
        <v>6824.0645161290322</v>
      </c>
      <c r="BW5" s="34">
        <f>207125/31</f>
        <v>6681.4516129032254</v>
      </c>
      <c r="BX5" s="34">
        <f>195949/30</f>
        <v>6531.6333333333332</v>
      </c>
      <c r="BY5" s="34">
        <f>189652/31</f>
        <v>6117.8064516129034</v>
      </c>
      <c r="BZ5" s="34">
        <f>168204/28</f>
        <v>6007.2857142857147</v>
      </c>
      <c r="CA5" s="34">
        <f>193457/31</f>
        <v>6240.5483870967746</v>
      </c>
      <c r="CB5" s="34">
        <f>187181/31</f>
        <v>6038.0967741935483</v>
      </c>
      <c r="CC5" s="34">
        <f>165969/28</f>
        <v>5927.4642857142853</v>
      </c>
      <c r="CD5" s="34">
        <f>186369/31</f>
        <v>6011.9032258064517</v>
      </c>
      <c r="CE5" s="34">
        <f>180402/30</f>
        <v>6013.4</v>
      </c>
      <c r="CF5" s="34">
        <f>175063/31</f>
        <v>5647.1935483870966</v>
      </c>
      <c r="CG5" s="34">
        <f>178065/30</f>
        <v>5935.5</v>
      </c>
      <c r="CH5" s="34">
        <f>189530/31</f>
        <v>6113.8709677419356</v>
      </c>
      <c r="CI5" s="34">
        <f>174580/31</f>
        <v>5631.6129032258068</v>
      </c>
      <c r="CJ5" s="34">
        <f>186721/30</f>
        <v>6224.0333333333338</v>
      </c>
      <c r="CK5" s="34">
        <f>159129/28</f>
        <v>5683.1785714285716</v>
      </c>
      <c r="CL5" s="34">
        <f>179619/30</f>
        <v>5987.3</v>
      </c>
      <c r="CM5" s="34">
        <f>188870/31</f>
        <v>6092.5806451612907</v>
      </c>
      <c r="CN5" s="34">
        <f>184284/31</f>
        <v>5944.6451612903229</v>
      </c>
      <c r="CO5" s="34">
        <f>170017/28</f>
        <v>6072.0357142857147</v>
      </c>
      <c r="CP5" s="34">
        <f>187393/31</f>
        <v>6044.9354838709678</v>
      </c>
      <c r="CQ5" s="34">
        <f>168353/30</f>
        <v>5611.7666666666664</v>
      </c>
      <c r="CR5" s="34">
        <f>191462/31</f>
        <v>6176.1935483870966</v>
      </c>
      <c r="CS5" s="34">
        <f>180077/30</f>
        <v>6002.5666666666666</v>
      </c>
      <c r="CT5" s="34">
        <f>199779/31</f>
        <v>6444.4838709677415</v>
      </c>
      <c r="CU5" s="34">
        <f>213432/31</f>
        <v>6884.9032258064517</v>
      </c>
      <c r="CV5" s="34">
        <f>198290/30</f>
        <v>6609.666666666667</v>
      </c>
      <c r="CW5" s="34">
        <f>200657/31</f>
        <v>6472.8064516129034</v>
      </c>
      <c r="CX5" s="34">
        <f>168336/29</f>
        <v>5804.6896551724139</v>
      </c>
      <c r="CY5" s="34">
        <f>185848/31</f>
        <v>5995.0967741935483</v>
      </c>
      <c r="CZ5" s="34">
        <f>185852/31</f>
        <v>5995.2258064516127</v>
      </c>
      <c r="DA5" s="34">
        <f>159748/28</f>
        <v>5705.2857142857147</v>
      </c>
      <c r="DB5" s="34">
        <f>170732/31</f>
        <v>5507.4838709677415</v>
      </c>
      <c r="DC5" s="34">
        <f>169317/30</f>
        <v>5643.9</v>
      </c>
      <c r="DD5" s="34">
        <f>119740/22</f>
        <v>5442.727272727273</v>
      </c>
      <c r="DE5" s="34">
        <f>157302/30</f>
        <v>5243.4</v>
      </c>
      <c r="DF5" s="34">
        <f>124575/25</f>
        <v>4983</v>
      </c>
      <c r="DG5" s="34">
        <f>156840/31</f>
        <v>5059.3548387096771</v>
      </c>
      <c r="DH5" s="34">
        <v>0</v>
      </c>
      <c r="DI5" s="34">
        <v>0</v>
      </c>
      <c r="DJ5" s="34">
        <v>0</v>
      </c>
      <c r="DK5" s="34">
        <v>0</v>
      </c>
      <c r="DM5" s="47"/>
      <c r="DN5" s="47"/>
      <c r="DO5" s="48" t="s">
        <v>82</v>
      </c>
      <c r="DP5" s="49">
        <v>55</v>
      </c>
    </row>
    <row r="6" spans="1:120" ht="15.75" x14ac:dyDescent="0.2">
      <c r="A6" s="40" t="s">
        <v>61</v>
      </c>
      <c r="B6" s="33" t="s">
        <v>51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3"/>
      <c r="P6" s="33"/>
      <c r="Q6" s="33"/>
      <c r="R6" s="40" t="s">
        <v>61</v>
      </c>
      <c r="S6" s="33" t="s">
        <v>51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40" t="s">
        <v>61</v>
      </c>
      <c r="BB6" s="33" t="s">
        <v>51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>
        <v>0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f>236174/22</f>
        <v>10735.181818181818</v>
      </c>
      <c r="BV6" s="34">
        <f>376881/31</f>
        <v>12157.451612903225</v>
      </c>
      <c r="BW6" s="34">
        <f>378749/31</f>
        <v>12217.709677419354</v>
      </c>
      <c r="BX6" s="34">
        <f>381372/30</f>
        <v>12712.4</v>
      </c>
      <c r="BY6" s="34">
        <f>400496/31</f>
        <v>12919.225806451614</v>
      </c>
      <c r="BZ6" s="34">
        <f>351962/29</f>
        <v>12136.620689655172</v>
      </c>
      <c r="CA6" s="34">
        <f>417030/31</f>
        <v>13452.58064516129</v>
      </c>
      <c r="CB6" s="34">
        <f>426204/31</f>
        <v>13748.516129032258</v>
      </c>
      <c r="CC6" s="34">
        <f>376617/28</f>
        <v>13450.607142857143</v>
      </c>
      <c r="CD6" s="34">
        <f>419946/31</f>
        <v>13546.645161290322</v>
      </c>
      <c r="CE6" s="34">
        <f>413698/30</f>
        <v>13789.933333333332</v>
      </c>
      <c r="CF6" s="34">
        <f>434409/31</f>
        <v>14013.193548387097</v>
      </c>
      <c r="CG6" s="34">
        <f>391412/30</f>
        <v>13047.066666666668</v>
      </c>
      <c r="CH6" s="34">
        <f>373601/29</f>
        <v>12882.793103448275</v>
      </c>
      <c r="CI6" s="34">
        <f>427161/31</f>
        <v>13779.387096774193</v>
      </c>
      <c r="CJ6" s="34">
        <f>422568/30</f>
        <v>14085.6</v>
      </c>
      <c r="CK6" s="34">
        <f>361731/28</f>
        <v>12918.964285714286</v>
      </c>
      <c r="CL6" s="34">
        <f>373992/30</f>
        <v>12466.4</v>
      </c>
      <c r="CM6" s="34">
        <f>381300/31</f>
        <v>12300</v>
      </c>
      <c r="CN6" s="34">
        <f>333576/31</f>
        <v>10760.516129032258</v>
      </c>
      <c r="CO6" s="34">
        <f>328762/28</f>
        <v>11741.5</v>
      </c>
      <c r="CP6" s="34">
        <f>378082/31</f>
        <v>12196.193548387097</v>
      </c>
      <c r="CQ6" s="34">
        <f>355588/30</f>
        <v>11852.933333333332</v>
      </c>
      <c r="CR6" s="34">
        <f>436317/31</f>
        <v>14074.741935483871</v>
      </c>
      <c r="CS6" s="34">
        <f>442140/30</f>
        <v>14738</v>
      </c>
      <c r="CT6" s="34">
        <f>424901/31</f>
        <v>13706.483870967742</v>
      </c>
      <c r="CU6" s="34">
        <f>436553/31</f>
        <v>14082.354838709678</v>
      </c>
      <c r="CV6" s="34">
        <f>410463/30</f>
        <v>13682.1</v>
      </c>
      <c r="CW6" s="34">
        <f>411164/31</f>
        <v>13263.354838709678</v>
      </c>
      <c r="CX6" s="34">
        <f>377007/29</f>
        <v>13000.241379310344</v>
      </c>
      <c r="CY6" s="34">
        <f>396547/31</f>
        <v>12791.838709677419</v>
      </c>
      <c r="CZ6" s="34">
        <f>405819/31</f>
        <v>13090.935483870968</v>
      </c>
      <c r="DA6" s="34">
        <f>353149/28</f>
        <v>12612.464285714286</v>
      </c>
      <c r="DB6" s="34">
        <f>383911/31</f>
        <v>12384.225806451614</v>
      </c>
      <c r="DC6" s="34">
        <f>364508/30</f>
        <v>12150.266666666666</v>
      </c>
      <c r="DD6" s="34">
        <f>265614/22</f>
        <v>12073.363636363636</v>
      </c>
      <c r="DE6" s="34">
        <f>357343/30</f>
        <v>11911.433333333332</v>
      </c>
      <c r="DF6" s="34">
        <f>314537/29</f>
        <v>10846.103448275862</v>
      </c>
      <c r="DG6" s="34">
        <f>351655/31</f>
        <v>11343.709677419354</v>
      </c>
      <c r="DH6" s="34">
        <v>0</v>
      </c>
      <c r="DI6" s="34">
        <v>0</v>
      </c>
      <c r="DJ6" s="34">
        <v>0</v>
      </c>
      <c r="DK6" s="34">
        <v>0</v>
      </c>
      <c r="DM6" s="47"/>
      <c r="DN6" s="47"/>
      <c r="DO6" s="48" t="s">
        <v>83</v>
      </c>
      <c r="DP6" s="49">
        <v>12</v>
      </c>
    </row>
    <row r="7" spans="1:120" ht="15.75" x14ac:dyDescent="0.2">
      <c r="A7" s="40" t="s">
        <v>61</v>
      </c>
      <c r="B7" s="33" t="s">
        <v>52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3"/>
      <c r="P7" s="33"/>
      <c r="Q7" s="33"/>
      <c r="R7" s="40" t="s">
        <v>61</v>
      </c>
      <c r="S7" s="33" t="s">
        <v>52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40" t="s">
        <v>61</v>
      </c>
      <c r="BB7" s="33" t="s">
        <v>52</v>
      </c>
      <c r="BC7" s="34">
        <v>0</v>
      </c>
      <c r="BD7" s="34">
        <v>0</v>
      </c>
      <c r="BE7" s="34">
        <f>97101/13</f>
        <v>7469.3076923076924</v>
      </c>
      <c r="BF7" s="34">
        <f>284696/23</f>
        <v>12378.08695652174</v>
      </c>
      <c r="BG7" s="34">
        <f>422643/30</f>
        <v>14088.1</v>
      </c>
      <c r="BH7" s="34">
        <f>442928/31</f>
        <v>14288</v>
      </c>
      <c r="BI7" s="34">
        <f>444336/30</f>
        <v>14811.2</v>
      </c>
      <c r="BJ7" s="34">
        <f>313940/23</f>
        <v>13649.565217391304</v>
      </c>
      <c r="BK7" s="34">
        <f>441482/31</f>
        <v>14241.354838709678</v>
      </c>
      <c r="BL7" s="34">
        <f>365570/30</f>
        <v>12185.666666666666</v>
      </c>
      <c r="BM7" s="34">
        <f>433994/31</f>
        <v>13999.806451612903</v>
      </c>
      <c r="BN7" s="34">
        <f>354347/27</f>
        <v>13123.962962962964</v>
      </c>
      <c r="BO7" s="34">
        <f>471943/31</f>
        <v>15223.967741935483</v>
      </c>
      <c r="BP7" s="34">
        <f>470135/31</f>
        <v>15165.645161290322</v>
      </c>
      <c r="BQ7" s="34">
        <f>436346/29</f>
        <v>15046.413793103447</v>
      </c>
      <c r="BR7" s="34">
        <f>482409/31</f>
        <v>15561.58064516129</v>
      </c>
      <c r="BS7" s="34">
        <f>448228/30</f>
        <v>14940.933333333332</v>
      </c>
      <c r="BT7" s="34">
        <f>478926/31</f>
        <v>15449.225806451614</v>
      </c>
      <c r="BU7" s="34">
        <f>453365/30</f>
        <v>15112.166666666666</v>
      </c>
      <c r="BV7" s="34">
        <f>439166/31</f>
        <v>14166.645161290322</v>
      </c>
      <c r="BW7" s="34">
        <f>372404/31</f>
        <v>12013.032258064517</v>
      </c>
      <c r="BX7" s="34">
        <f>365570/30</f>
        <v>12185.666666666666</v>
      </c>
      <c r="BY7" s="34">
        <f>396712/31</f>
        <v>12797.161290322581</v>
      </c>
      <c r="BZ7" s="34">
        <f>309819/28</f>
        <v>11064.964285714286</v>
      </c>
      <c r="CA7" s="34">
        <f>404091/31</f>
        <v>13035.193548387097</v>
      </c>
      <c r="CB7" s="34">
        <f>390087/31</f>
        <v>12583.451612903225</v>
      </c>
      <c r="CC7" s="34">
        <f>354067/28</f>
        <v>12645.25</v>
      </c>
      <c r="CD7" s="34">
        <f>383701/31</f>
        <v>12377.451612903225</v>
      </c>
      <c r="CE7" s="34">
        <f>381440/30</f>
        <v>12714.666666666666</v>
      </c>
      <c r="CF7" s="34">
        <f>364763/31</f>
        <v>11766.548387096775</v>
      </c>
      <c r="CG7" s="34">
        <f>360219/30</f>
        <v>12007.3</v>
      </c>
      <c r="CH7" s="34">
        <f>367931/31</f>
        <v>11868.741935483871</v>
      </c>
      <c r="CI7" s="34">
        <f>333865/31</f>
        <v>10769.838709677419</v>
      </c>
      <c r="CJ7" s="34">
        <f>342066/30</f>
        <v>11402.2</v>
      </c>
      <c r="CK7" s="34">
        <f>302637/28</f>
        <v>10808.464285714286</v>
      </c>
      <c r="CL7" s="34">
        <f>338573/30</f>
        <v>11285.766666666666</v>
      </c>
      <c r="CM7" s="34">
        <f>351050/31</f>
        <v>11324.193548387097</v>
      </c>
      <c r="CN7" s="34">
        <f>307965/31</f>
        <v>9934.354838709678</v>
      </c>
      <c r="CO7" s="34">
        <f>298550/28</f>
        <v>10662.5</v>
      </c>
      <c r="CP7" s="34">
        <f>328094/31</f>
        <v>10583.677419354839</v>
      </c>
      <c r="CQ7" s="34">
        <f>286889/30</f>
        <v>9562.9666666666672</v>
      </c>
      <c r="CR7" s="34">
        <f>330564/31</f>
        <v>10663.354838709678</v>
      </c>
      <c r="CS7" s="34">
        <f>322773/30</f>
        <v>10759.1</v>
      </c>
      <c r="CT7" s="34">
        <f>353599/31</f>
        <v>11406.41935483871</v>
      </c>
      <c r="CU7" s="34">
        <f>356255/31</f>
        <v>11492.096774193549</v>
      </c>
      <c r="CV7" s="34">
        <f>333373/30</f>
        <v>11112.433333333332</v>
      </c>
      <c r="CW7" s="34">
        <f>296210/31</f>
        <v>9555.1612903225814</v>
      </c>
      <c r="CX7" s="34">
        <f>342326/29</f>
        <v>11804.344827586207</v>
      </c>
      <c r="CY7" s="34">
        <f>350066/31</f>
        <v>11292.451612903225</v>
      </c>
      <c r="CZ7" s="34">
        <f>352503/31</f>
        <v>11371.064516129032</v>
      </c>
      <c r="DA7" s="34">
        <f>305385/28</f>
        <v>10906.607142857143</v>
      </c>
      <c r="DB7" s="34">
        <f>326897/31</f>
        <v>10545.064516129032</v>
      </c>
      <c r="DC7" s="34">
        <f>322248/30</f>
        <v>10741.6</v>
      </c>
      <c r="DD7" s="34">
        <f>233347/22</f>
        <v>10606.681818181818</v>
      </c>
      <c r="DE7" s="34">
        <f>320927/30</f>
        <v>10697.566666666668</v>
      </c>
      <c r="DF7" s="34">
        <f>295888/30</f>
        <v>9862.9333333333325</v>
      </c>
      <c r="DG7" s="34">
        <f>295954/31</f>
        <v>9546.9032258064508</v>
      </c>
      <c r="DH7" s="34">
        <v>0</v>
      </c>
      <c r="DI7" s="34">
        <v>0</v>
      </c>
      <c r="DJ7" s="34">
        <v>0</v>
      </c>
      <c r="DK7" s="34">
        <v>0</v>
      </c>
      <c r="DM7" s="47"/>
      <c r="DN7" s="34"/>
      <c r="DO7" s="48" t="s">
        <v>84</v>
      </c>
      <c r="DP7" s="49">
        <v>6</v>
      </c>
    </row>
    <row r="8" spans="1:120" ht="15.75" x14ac:dyDescent="0.2">
      <c r="A8" s="40" t="s">
        <v>61</v>
      </c>
      <c r="B8" s="33" t="s">
        <v>53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3"/>
      <c r="P8" s="33"/>
      <c r="Q8" s="33"/>
      <c r="R8" s="40" t="s">
        <v>61</v>
      </c>
      <c r="S8" s="33" t="s">
        <v>53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40" t="s">
        <v>61</v>
      </c>
      <c r="BB8" s="33" t="s">
        <v>53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4">
        <f>0</f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34">
        <v>0</v>
      </c>
      <c r="BV8" s="34">
        <v>0</v>
      </c>
      <c r="BW8" s="34">
        <v>0</v>
      </c>
      <c r="BX8" s="34">
        <v>0</v>
      </c>
      <c r="BY8" s="34">
        <f>0</f>
        <v>0</v>
      </c>
      <c r="BZ8" s="34">
        <v>0</v>
      </c>
      <c r="CA8" s="34">
        <v>0</v>
      </c>
      <c r="CB8" s="34">
        <v>0</v>
      </c>
      <c r="CC8" s="34">
        <v>0</v>
      </c>
      <c r="CD8" s="34">
        <v>0</v>
      </c>
      <c r="CE8" s="34">
        <v>0</v>
      </c>
      <c r="CF8" s="34">
        <f>199115/19</f>
        <v>10479.736842105263</v>
      </c>
      <c r="CG8" s="34">
        <f>375938/30</f>
        <v>12531.266666666666</v>
      </c>
      <c r="CH8" s="34">
        <f>400172/31</f>
        <v>12908.774193548386</v>
      </c>
      <c r="CI8" s="34">
        <f>443876/31</f>
        <v>14318.58064516129</v>
      </c>
      <c r="CJ8" s="34">
        <f>490933/30</f>
        <v>16364.433333333332</v>
      </c>
      <c r="CK8" s="34">
        <f>433900/28</f>
        <v>15496.428571428571</v>
      </c>
      <c r="CL8" s="34">
        <f>514700/30</f>
        <v>17156.666666666668</v>
      </c>
      <c r="CM8" s="34">
        <f>529452/31</f>
        <v>17079.096774193549</v>
      </c>
      <c r="CN8" s="34">
        <f>524776/31</f>
        <v>16928.258064516129</v>
      </c>
      <c r="CO8" s="34">
        <f>476259/28</f>
        <v>17009.25</v>
      </c>
      <c r="CP8" s="34">
        <f>552629/31</f>
        <v>17826.741935483871</v>
      </c>
      <c r="CQ8" s="34">
        <f>494992/30</f>
        <v>16499.733333333334</v>
      </c>
      <c r="CR8" s="34">
        <f>574357/31</f>
        <v>18527.645161290322</v>
      </c>
      <c r="CS8" s="34">
        <f>515105/30</f>
        <v>17170.166666666668</v>
      </c>
      <c r="CT8" s="34">
        <f>577686/31</f>
        <v>18635.032258064515</v>
      </c>
      <c r="CU8" s="34">
        <f>589289/31</f>
        <v>19009.322580645163</v>
      </c>
      <c r="CV8" s="34">
        <f>553013/30</f>
        <v>18433.766666666666</v>
      </c>
      <c r="CW8" s="34">
        <f>565767/31</f>
        <v>18250.548387096773</v>
      </c>
      <c r="CX8" s="34">
        <f>505984/29</f>
        <v>17447.724137931036</v>
      </c>
      <c r="CY8" s="34">
        <f>552100/31</f>
        <v>17809.677419354837</v>
      </c>
      <c r="CZ8" s="34">
        <f>546477/31</f>
        <v>17628.290322580644</v>
      </c>
      <c r="DA8" s="34">
        <f>484338/28</f>
        <v>17297.785714285714</v>
      </c>
      <c r="DB8" s="34">
        <f>524481/31</f>
        <v>16918.741935483871</v>
      </c>
      <c r="DC8" s="34">
        <f>505431/30</f>
        <v>16847.7</v>
      </c>
      <c r="DD8" s="34">
        <f>351742/22</f>
        <v>15988.272727272728</v>
      </c>
      <c r="DE8" s="34">
        <f>478920/30</f>
        <v>15964</v>
      </c>
      <c r="DF8" s="34">
        <f>421553/29</f>
        <v>14536.310344827587</v>
      </c>
      <c r="DG8" s="34">
        <f>472737/31</f>
        <v>15249.58064516129</v>
      </c>
      <c r="DH8" s="34">
        <v>0</v>
      </c>
      <c r="DI8" s="34">
        <v>0</v>
      </c>
      <c r="DJ8" s="34">
        <v>0</v>
      </c>
      <c r="DK8" s="34">
        <v>0</v>
      </c>
      <c r="DM8" s="47"/>
      <c r="DN8" s="47"/>
      <c r="DO8" s="48" t="s">
        <v>85</v>
      </c>
      <c r="DP8" s="49">
        <f>DP5-DP6</f>
        <v>43</v>
      </c>
    </row>
    <row r="9" spans="1:120" ht="15.75" x14ac:dyDescent="0.2">
      <c r="A9" s="40" t="s">
        <v>61</v>
      </c>
      <c r="B9" s="33" t="s">
        <v>54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f>258352/28</f>
        <v>9226.8571428571431</v>
      </c>
      <c r="O9" s="33"/>
      <c r="P9" s="33"/>
      <c r="Q9" s="33"/>
      <c r="R9" s="40" t="s">
        <v>61</v>
      </c>
      <c r="S9" s="33" t="s">
        <v>54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40" t="s">
        <v>61</v>
      </c>
      <c r="BB9" s="33" t="s">
        <v>54</v>
      </c>
      <c r="BC9" s="34">
        <f>258352/28</f>
        <v>9226.8571428571431</v>
      </c>
      <c r="BD9" s="34">
        <f>328696/27</f>
        <v>12173.925925925925</v>
      </c>
      <c r="BE9" s="34">
        <f>358981/28</f>
        <v>12820.75</v>
      </c>
      <c r="BF9" s="34">
        <f>437497/31</f>
        <v>14112.806451612903</v>
      </c>
      <c r="BG9" s="34">
        <f>430235/30</f>
        <v>14341.166666666666</v>
      </c>
      <c r="BH9" s="34">
        <f>431993/31</f>
        <v>13935.258064516129</v>
      </c>
      <c r="BI9" s="34">
        <f>435167/30</f>
        <v>14505.566666666668</v>
      </c>
      <c r="BJ9" s="34">
        <f>313590/23</f>
        <v>13634.347826086956</v>
      </c>
      <c r="BK9" s="34">
        <f>438386/31</f>
        <v>14141.483870967742</v>
      </c>
      <c r="BL9" s="34">
        <f>423677/31</f>
        <v>13667</v>
      </c>
      <c r="BM9" s="34">
        <f>414785/31</f>
        <v>13380.161290322581</v>
      </c>
      <c r="BN9" s="34">
        <f>341224/27</f>
        <v>12637.925925925925</v>
      </c>
      <c r="BO9" s="34">
        <f>430739/31</f>
        <v>13894.806451612903</v>
      </c>
      <c r="BP9" s="34">
        <f>421890/31</f>
        <v>13609.354838709678</v>
      </c>
      <c r="BQ9" s="34">
        <f>395540/29</f>
        <v>13639.310344827587</v>
      </c>
      <c r="BR9" s="34">
        <f>413134/31</f>
        <v>13326.903225806451</v>
      </c>
      <c r="BS9" s="34">
        <f>371401/30</f>
        <v>12380.033333333333</v>
      </c>
      <c r="BT9" s="34">
        <f>398433/31</f>
        <v>12852.677419354839</v>
      </c>
      <c r="BU9" s="34">
        <f>379885/30</f>
        <v>12662.833333333334</v>
      </c>
      <c r="BV9" s="34">
        <f>364728/31</f>
        <v>11765.41935483871</v>
      </c>
      <c r="BW9" s="34">
        <f>296312/28</f>
        <v>10582.571428571429</v>
      </c>
      <c r="BX9" s="34">
        <f>335882/30</f>
        <v>11196.066666666668</v>
      </c>
      <c r="BY9" s="34">
        <f>346223/31</f>
        <v>11168.483870967742</v>
      </c>
      <c r="BZ9" s="34">
        <f>292953/29</f>
        <v>10101.827586206897</v>
      </c>
      <c r="CA9" s="34">
        <f>347525/31</f>
        <v>11210.483870967742</v>
      </c>
      <c r="CB9" s="34">
        <f>319015/31</f>
        <v>10290.806451612903</v>
      </c>
      <c r="CC9" s="34">
        <f>277831/28</f>
        <v>9922.5357142857138</v>
      </c>
      <c r="CD9" s="34">
        <f>304470/31</f>
        <v>9821.6129032258068</v>
      </c>
      <c r="CE9" s="34">
        <f>292339/30</f>
        <v>9744.6333333333332</v>
      </c>
      <c r="CF9" s="34">
        <f>278535/31</f>
        <v>8985</v>
      </c>
      <c r="CG9" s="34">
        <f>273085/30</f>
        <v>9102.8333333333339</v>
      </c>
      <c r="CH9" s="34">
        <f>269870/31</f>
        <v>8705.4838709677424</v>
      </c>
      <c r="CI9" s="34">
        <f>244395/31</f>
        <v>7883.7096774193551</v>
      </c>
      <c r="CJ9" s="34">
        <f>252601/30</f>
        <v>8420.0333333333328</v>
      </c>
      <c r="CK9" s="34">
        <f>219844/28</f>
        <v>7851.5714285714284</v>
      </c>
      <c r="CL9" s="34">
        <f>246745/30</f>
        <v>8224.8333333333339</v>
      </c>
      <c r="CM9" s="34">
        <f>256367/31</f>
        <v>8269.9032258064508</v>
      </c>
      <c r="CN9" s="34">
        <f>228866/31</f>
        <v>7382.7741935483873</v>
      </c>
      <c r="CO9" s="34">
        <f>217298/28</f>
        <v>7760.6428571428569</v>
      </c>
      <c r="CP9" s="34">
        <f>242590/31</f>
        <v>7825.4838709677415</v>
      </c>
      <c r="CQ9" s="34">
        <f>207268/30</f>
        <v>6908.9333333333334</v>
      </c>
      <c r="CR9" s="34">
        <f>255938/31</f>
        <v>8256.0645161290322</v>
      </c>
      <c r="CS9" s="34">
        <f>207831/27</f>
        <v>7697.4444444444443</v>
      </c>
      <c r="CT9" s="34">
        <f>265675/31</f>
        <v>8570.1612903225814</v>
      </c>
      <c r="CU9" s="34">
        <f>272354/31</f>
        <v>8785.6129032258068</v>
      </c>
      <c r="CV9" s="34">
        <f>255628/30</f>
        <v>8520.9333333333325</v>
      </c>
      <c r="CW9" s="34">
        <f>258158/31</f>
        <v>8327.677419354839</v>
      </c>
      <c r="CX9" s="34">
        <f>230556/29</f>
        <v>7950.2068965517237</v>
      </c>
      <c r="CY9" s="34">
        <f>250491/31</f>
        <v>8080.3548387096771</v>
      </c>
      <c r="CZ9" s="34">
        <f>251653/31</f>
        <v>8117.8387096774195</v>
      </c>
      <c r="DA9" s="34">
        <f>193658/28</f>
        <v>6916.3571428571431</v>
      </c>
      <c r="DB9" s="34">
        <f>223435/31</f>
        <v>7207.5806451612907</v>
      </c>
      <c r="DC9" s="34">
        <f>219542/30</f>
        <v>7318.0666666666666</v>
      </c>
      <c r="DD9" s="34">
        <f>157372/22</f>
        <v>7153.272727272727</v>
      </c>
      <c r="DE9" s="34">
        <f>212202/30</f>
        <v>7073.4</v>
      </c>
      <c r="DF9" s="34">
        <f>210821/30</f>
        <v>7027.3666666666668</v>
      </c>
      <c r="DG9" s="34">
        <f>215941/31</f>
        <v>6965.8387096774195</v>
      </c>
      <c r="DH9" s="34">
        <v>0</v>
      </c>
      <c r="DI9" s="34">
        <v>0</v>
      </c>
      <c r="DJ9" s="34">
        <v>0</v>
      </c>
      <c r="DK9" s="34">
        <v>0</v>
      </c>
      <c r="DM9" s="47"/>
      <c r="DN9" s="47"/>
      <c r="DO9" s="48" t="s">
        <v>86</v>
      </c>
      <c r="DP9" s="49">
        <f>DP5-DP7</f>
        <v>49</v>
      </c>
    </row>
    <row r="10" spans="1:120" ht="15.75" x14ac:dyDescent="0.2">
      <c r="A10" s="40" t="s">
        <v>61</v>
      </c>
      <c r="B10" s="33" t="s">
        <v>55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3"/>
      <c r="P10" s="33"/>
      <c r="Q10" s="33"/>
      <c r="R10" s="40" t="s">
        <v>61</v>
      </c>
      <c r="S10" s="33" t="s">
        <v>55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40" t="s">
        <v>61</v>
      </c>
      <c r="BB10" s="33" t="s">
        <v>55</v>
      </c>
      <c r="BC10" s="34">
        <v>0</v>
      </c>
      <c r="BD10" s="34">
        <v>0</v>
      </c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4">
        <v>0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0</v>
      </c>
      <c r="BS10" s="34">
        <f>133829/15</f>
        <v>8921.9333333333325</v>
      </c>
      <c r="BT10" s="34">
        <f>408502/30</f>
        <v>13616.733333333334</v>
      </c>
      <c r="BU10" s="34">
        <f>426486/30</f>
        <v>14216.2</v>
      </c>
      <c r="BV10" s="34">
        <f>434028/31</f>
        <v>14000.903225806451</v>
      </c>
      <c r="BW10" s="34">
        <f>445179/31</f>
        <v>14360.612903225807</v>
      </c>
      <c r="BX10" s="34">
        <f>453571/30</f>
        <v>15119.033333333333</v>
      </c>
      <c r="BY10" s="34">
        <f>473681/31</f>
        <v>15280.032258064517</v>
      </c>
      <c r="BZ10" s="34">
        <f>421245/29</f>
        <v>14525.689655172413</v>
      </c>
      <c r="CA10" s="34">
        <f>493008/31</f>
        <v>15903.483870967742</v>
      </c>
      <c r="CB10" s="34">
        <f>481914/31</f>
        <v>15545.612903225807</v>
      </c>
      <c r="CC10" s="34">
        <f>441932/28</f>
        <v>15783.285714285714</v>
      </c>
      <c r="CD10" s="34">
        <f>474617/31</f>
        <v>15310.225806451614</v>
      </c>
      <c r="CE10" s="34">
        <f>473493/30</f>
        <v>15783.1</v>
      </c>
      <c r="CF10" s="34">
        <f>473562/31</f>
        <v>15276.193548387097</v>
      </c>
      <c r="CG10" s="34">
        <f>468421/30</f>
        <v>15614.033333333333</v>
      </c>
      <c r="CH10" s="34">
        <f>494513/31</f>
        <v>15952.032258064517</v>
      </c>
      <c r="CI10" s="34">
        <f>474033/31</f>
        <v>15291.387096774193</v>
      </c>
      <c r="CJ10" s="34">
        <f>467036/30</f>
        <v>15567.866666666667</v>
      </c>
      <c r="CK10" s="34">
        <f>415374/28</f>
        <v>14834.785714285714</v>
      </c>
      <c r="CL10" s="34">
        <f>459363/30</f>
        <v>15312.1</v>
      </c>
      <c r="CM10" s="34">
        <f>478692/31</f>
        <v>15441.677419354839</v>
      </c>
      <c r="CN10" s="34">
        <f>447493/31</f>
        <v>14435.258064516129</v>
      </c>
      <c r="CO10" s="34">
        <f>405436/28</f>
        <v>14479.857142857143</v>
      </c>
      <c r="CP10" s="34">
        <f>449926/31</f>
        <v>14513.741935483871</v>
      </c>
      <c r="CQ10" s="34">
        <f>406074/30</f>
        <v>13535.8</v>
      </c>
      <c r="CR10" s="34">
        <f>477560/31</f>
        <v>15405.161290322581</v>
      </c>
      <c r="CS10" s="34">
        <f>479189/30</f>
        <v>15972.966666666667</v>
      </c>
      <c r="CT10" s="34">
        <f>469569/31</f>
        <v>15147.387096774193</v>
      </c>
      <c r="CU10" s="34">
        <f>485110/31</f>
        <v>15648.709677419354</v>
      </c>
      <c r="CV10" s="34">
        <f>460153/30</f>
        <v>15338.433333333332</v>
      </c>
      <c r="CW10" s="34">
        <f>447892/31</f>
        <v>14448.129032258064</v>
      </c>
      <c r="CX10" s="34">
        <f>434887/29</f>
        <v>14996.103448275862</v>
      </c>
      <c r="CY10" s="34">
        <f>480667/31</f>
        <v>15505.387096774193</v>
      </c>
      <c r="CZ10" s="34">
        <f>489350/31</f>
        <v>15785.483870967742</v>
      </c>
      <c r="DA10" s="34">
        <f>421346/28</f>
        <v>15048.071428571429</v>
      </c>
      <c r="DB10" s="34">
        <f>456221/31</f>
        <v>14716.806451612903</v>
      </c>
      <c r="DC10" s="34">
        <f>443470/30</f>
        <v>14782.333333333334</v>
      </c>
      <c r="DD10" s="34">
        <f>329439/22</f>
        <v>14974.5</v>
      </c>
      <c r="DE10" s="34">
        <f>449581/30</f>
        <v>14986.033333333333</v>
      </c>
      <c r="DF10" s="34">
        <f>392315/29</f>
        <v>13528.103448275862</v>
      </c>
      <c r="DG10" s="34">
        <f>442287/31</f>
        <v>14267.322580645161</v>
      </c>
      <c r="DH10" s="34">
        <v>0</v>
      </c>
      <c r="DI10" s="34">
        <v>0</v>
      </c>
      <c r="DJ10" s="34">
        <v>0</v>
      </c>
      <c r="DK10" s="34">
        <v>0</v>
      </c>
      <c r="DM10" s="37"/>
      <c r="DN10" s="47"/>
      <c r="DO10" s="47"/>
      <c r="DP10" s="47"/>
    </row>
    <row r="11" spans="1:120" ht="15.75" x14ac:dyDescent="0.2">
      <c r="A11" s="40" t="s">
        <v>61</v>
      </c>
      <c r="B11" s="33" t="s">
        <v>56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3"/>
      <c r="P11" s="33"/>
      <c r="Q11" s="33"/>
      <c r="R11" s="40" t="s">
        <v>61</v>
      </c>
      <c r="S11" s="33" t="s">
        <v>56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40" t="s">
        <v>61</v>
      </c>
      <c r="BB11" s="33" t="s">
        <v>56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0</v>
      </c>
      <c r="BT11" s="34">
        <v>0</v>
      </c>
      <c r="BU11" s="34">
        <v>0</v>
      </c>
      <c r="BV11" s="34">
        <v>0</v>
      </c>
      <c r="BW11" s="34">
        <v>0</v>
      </c>
      <c r="BX11" s="34">
        <v>0</v>
      </c>
      <c r="BY11" s="34">
        <v>0</v>
      </c>
      <c r="BZ11" s="34">
        <v>0</v>
      </c>
      <c r="CA11" s="34">
        <v>0</v>
      </c>
      <c r="CB11" s="34">
        <v>0</v>
      </c>
      <c r="CC11" s="34">
        <v>0</v>
      </c>
      <c r="CD11" s="34">
        <v>0</v>
      </c>
      <c r="CE11" s="34">
        <v>0</v>
      </c>
      <c r="CF11" s="34">
        <v>0</v>
      </c>
      <c r="CG11" s="34">
        <v>0</v>
      </c>
      <c r="CH11" s="34">
        <v>0</v>
      </c>
      <c r="CI11" s="34">
        <v>0</v>
      </c>
      <c r="CJ11" s="34">
        <v>0</v>
      </c>
      <c r="CK11" s="34">
        <v>0</v>
      </c>
      <c r="CL11" s="34">
        <v>0</v>
      </c>
      <c r="CM11" s="34">
        <v>0</v>
      </c>
      <c r="CN11" s="34">
        <f>199150/29</f>
        <v>6867.2413793103451</v>
      </c>
      <c r="CO11" s="34">
        <f>221771/28</f>
        <v>7920.3928571428569</v>
      </c>
      <c r="CP11" s="34">
        <f>244130/31</f>
        <v>7875.1612903225805</v>
      </c>
      <c r="CQ11" s="34">
        <f>221575/30</f>
        <v>7385.833333333333</v>
      </c>
      <c r="CR11" s="34">
        <f>245571/31</f>
        <v>7921.6451612903229</v>
      </c>
      <c r="CS11" s="34">
        <f>293546/30</f>
        <v>9784.8666666666668</v>
      </c>
      <c r="CT11" s="34">
        <f>329724/31</f>
        <v>10636.258064516129</v>
      </c>
      <c r="CU11" s="34">
        <f>319382/31</f>
        <v>10302.645161290322</v>
      </c>
      <c r="CV11" s="34">
        <f>294420/30</f>
        <v>9814</v>
      </c>
      <c r="CW11" s="34">
        <f>294760/31</f>
        <v>9508.3870967741932</v>
      </c>
      <c r="CX11" s="34">
        <f>265041/29</f>
        <v>9139.3448275862065</v>
      </c>
      <c r="CY11" s="34">
        <f>286346/31</f>
        <v>9236.967741935483</v>
      </c>
      <c r="CZ11" s="34">
        <f>271074/31</f>
        <v>8744.322580645161</v>
      </c>
      <c r="DA11" s="34">
        <f>234235/28</f>
        <v>8365.5357142857138</v>
      </c>
      <c r="DB11" s="34">
        <f>249848/31</f>
        <v>8059.6129032258068</v>
      </c>
      <c r="DC11" s="34">
        <f>245605/30</f>
        <v>8186.833333333333</v>
      </c>
      <c r="DD11" s="34">
        <f>179790/22</f>
        <v>8172.272727272727</v>
      </c>
      <c r="DE11" s="34">
        <f>243381/30</f>
        <v>8112.7</v>
      </c>
      <c r="DF11" s="34">
        <f>213082/29</f>
        <v>7347.6551724137935</v>
      </c>
      <c r="DG11" s="34">
        <f>238200/31</f>
        <v>7683.8709677419356</v>
      </c>
      <c r="DH11" s="34">
        <v>0</v>
      </c>
      <c r="DI11" s="34">
        <v>0</v>
      </c>
      <c r="DJ11" s="34">
        <v>0</v>
      </c>
      <c r="DK11" s="34">
        <v>0</v>
      </c>
      <c r="DM11" s="47"/>
      <c r="DN11" s="47"/>
      <c r="DO11" s="50" t="s">
        <v>90</v>
      </c>
      <c r="DP11" s="34">
        <v>1500</v>
      </c>
    </row>
    <row r="12" spans="1:120" ht="15.75" x14ac:dyDescent="0.2">
      <c r="A12" s="40" t="s">
        <v>61</v>
      </c>
      <c r="B12" s="33" t="s">
        <v>57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3"/>
      <c r="P12" s="33"/>
      <c r="Q12" s="33"/>
      <c r="R12" s="40" t="s">
        <v>61</v>
      </c>
      <c r="S12" s="33" t="s">
        <v>63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40" t="s">
        <v>61</v>
      </c>
      <c r="BB12" s="33" t="s">
        <v>63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f>40945/5</f>
        <v>8189</v>
      </c>
      <c r="BX12" s="34">
        <f>295977/30</f>
        <v>9865.9</v>
      </c>
      <c r="BY12" s="34">
        <f>364792/31</f>
        <v>11767.483870967742</v>
      </c>
      <c r="BZ12" s="34">
        <f>331096/29</f>
        <v>11417.103448275862</v>
      </c>
      <c r="CA12" s="34">
        <f>401524/31</f>
        <v>12952.387096774193</v>
      </c>
      <c r="CB12" s="34">
        <f>426026/31</f>
        <v>13742.774193548386</v>
      </c>
      <c r="CC12" s="34">
        <f>385157/28</f>
        <v>13755.607142857143</v>
      </c>
      <c r="CD12" s="34">
        <f>445914/31</f>
        <v>14384.322580645161</v>
      </c>
      <c r="CE12" s="34">
        <f>442442/30</f>
        <v>14748.066666666668</v>
      </c>
      <c r="CF12" s="34">
        <f>458918/31</f>
        <v>14803.806451612903</v>
      </c>
      <c r="CG12" s="34">
        <f>438130/30</f>
        <v>14604.333333333334</v>
      </c>
      <c r="CH12" s="34">
        <f>457533/31</f>
        <v>14759.129032258064</v>
      </c>
      <c r="CI12" s="34">
        <f>471394/31</f>
        <v>15206.258064516129</v>
      </c>
      <c r="CJ12" s="34">
        <f>492880/30</f>
        <v>16429.333333333332</v>
      </c>
      <c r="CK12" s="34">
        <f>423367/28</f>
        <v>15120.25</v>
      </c>
      <c r="CL12" s="34">
        <f>463650/30</f>
        <v>15455</v>
      </c>
      <c r="CM12" s="34">
        <f>458039/31</f>
        <v>14775.451612903225</v>
      </c>
      <c r="CN12" s="34">
        <f>436631/31</f>
        <v>14084.870967741936</v>
      </c>
      <c r="CO12" s="34">
        <f>385777/28</f>
        <v>13777.75</v>
      </c>
      <c r="CP12" s="34">
        <f>419127/31</f>
        <v>13520.225806451614</v>
      </c>
      <c r="CQ12" s="34">
        <f>353296/30</f>
        <v>11776.533333333333</v>
      </c>
      <c r="CR12" s="34">
        <f>454241/31</f>
        <v>14652.935483870968</v>
      </c>
      <c r="CS12" s="34">
        <f>454797/30</f>
        <v>15159.9</v>
      </c>
      <c r="CT12" s="34">
        <f>441233/31</f>
        <v>14233.322580645161</v>
      </c>
      <c r="CU12" s="34">
        <f>435753/31</f>
        <v>14056.548387096775</v>
      </c>
      <c r="CV12" s="34">
        <f>421139/30</f>
        <v>14037.966666666667</v>
      </c>
      <c r="CW12" s="34">
        <f>420761/31</f>
        <v>13572.935483870968</v>
      </c>
      <c r="CX12" s="34">
        <f>379906/29</f>
        <v>13100.206896551725</v>
      </c>
      <c r="CY12" s="34">
        <f>405269/31</f>
        <v>13073.193548387097</v>
      </c>
      <c r="CZ12" s="34">
        <f>406317/31</f>
        <v>13107</v>
      </c>
      <c r="DA12" s="34">
        <f>354509/28</f>
        <v>12661.035714285714</v>
      </c>
      <c r="DB12" s="34">
        <f>386396/31</f>
        <v>12464.387096774193</v>
      </c>
      <c r="DC12" s="34">
        <f>378107/30</f>
        <v>12603.566666666668</v>
      </c>
      <c r="DD12" s="34">
        <f>273830/22</f>
        <v>12446.818181818182</v>
      </c>
      <c r="DE12" s="34">
        <f>377219/30</f>
        <v>12573.966666666667</v>
      </c>
      <c r="DF12" s="34">
        <f>331184/29</f>
        <v>11420.137931034482</v>
      </c>
      <c r="DG12" s="34">
        <f>367074/31</f>
        <v>11841.096774193549</v>
      </c>
      <c r="DH12" s="34">
        <v>0</v>
      </c>
      <c r="DI12" s="34">
        <v>0</v>
      </c>
      <c r="DJ12" s="34"/>
      <c r="DK12" s="34"/>
      <c r="DM12" s="47"/>
      <c r="DN12" s="47"/>
      <c r="DO12" s="50" t="s">
        <v>91</v>
      </c>
      <c r="DP12" s="34">
        <v>350</v>
      </c>
    </row>
    <row r="13" spans="1:120" ht="15.75" x14ac:dyDescent="0.2">
      <c r="A13" s="40" t="s">
        <v>60</v>
      </c>
      <c r="B13" s="33" t="s">
        <v>52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3"/>
      <c r="P13" s="33"/>
      <c r="Q13" s="33"/>
      <c r="R13" s="40" t="s">
        <v>61</v>
      </c>
      <c r="S13" s="33" t="s">
        <v>57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40" t="s">
        <v>61</v>
      </c>
      <c r="BB13" s="33" t="s">
        <v>57</v>
      </c>
      <c r="BC13" s="34">
        <v>0</v>
      </c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>
        <f>39766/6</f>
        <v>6627.666666666667</v>
      </c>
      <c r="CT13" s="34">
        <f>326276/31</f>
        <v>10525.032258064517</v>
      </c>
      <c r="CU13" s="34">
        <f>371557/31</f>
        <v>11985.709677419354</v>
      </c>
      <c r="CV13" s="34">
        <f>373571/30</f>
        <v>12452.366666666667</v>
      </c>
      <c r="CW13" s="34">
        <f>383627/31</f>
        <v>12375.064516129032</v>
      </c>
      <c r="CX13" s="34">
        <f>348272/29</f>
        <v>12009.379310344828</v>
      </c>
      <c r="CY13" s="34">
        <f>373566/31</f>
        <v>12050.516129032258</v>
      </c>
      <c r="CZ13" s="34">
        <f>384584/31</f>
        <v>12405.935483870968</v>
      </c>
      <c r="DA13" s="34">
        <f>326676/28</f>
        <v>11667</v>
      </c>
      <c r="DB13" s="34">
        <f>341845/31</f>
        <v>11027.258064516129</v>
      </c>
      <c r="DC13" s="34">
        <f>336987/30</f>
        <v>11232.9</v>
      </c>
      <c r="DD13" s="34">
        <f>246303/22</f>
        <v>11195.59090909091</v>
      </c>
      <c r="DE13" s="34">
        <f>329918/30</f>
        <v>10997.266666666666</v>
      </c>
      <c r="DF13" s="34">
        <f>288855/29</f>
        <v>9960.5172413793098</v>
      </c>
      <c r="DG13" s="34">
        <f>321267/31</f>
        <v>10363.451612903225</v>
      </c>
      <c r="DH13" s="34"/>
      <c r="DI13" s="34"/>
      <c r="DJ13" s="34"/>
      <c r="DK13" s="34"/>
      <c r="DM13" s="47"/>
      <c r="DN13" s="47"/>
      <c r="DO13" s="50" t="s">
        <v>87</v>
      </c>
      <c r="DP13" s="34">
        <v>2500</v>
      </c>
    </row>
    <row r="14" spans="1:120" ht="15.75" x14ac:dyDescent="0.2">
      <c r="A14" s="40" t="s">
        <v>60</v>
      </c>
      <c r="B14" s="33" t="s">
        <v>53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f>214147/25</f>
        <v>8565.8799999999992</v>
      </c>
      <c r="O14" s="33"/>
      <c r="P14" s="33"/>
      <c r="Q14" s="33"/>
      <c r="R14" s="40" t="s">
        <v>60</v>
      </c>
      <c r="S14" s="33" t="s">
        <v>52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40" t="s">
        <v>60</v>
      </c>
      <c r="BB14" s="33" t="s">
        <v>52</v>
      </c>
      <c r="BC14" s="34">
        <f>214147/25</f>
        <v>8565.8799999999992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/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  <c r="BY14" s="34">
        <v>0</v>
      </c>
      <c r="BZ14" s="34">
        <v>0</v>
      </c>
      <c r="CA14" s="34"/>
      <c r="CB14" s="34">
        <f>64654/15</f>
        <v>4310.2666666666664</v>
      </c>
      <c r="CC14" s="34">
        <f>738/1</f>
        <v>738</v>
      </c>
      <c r="CD14" s="34">
        <f>135395/28</f>
        <v>4835.5357142857147</v>
      </c>
      <c r="CE14" s="34">
        <f>219756/30</f>
        <v>7325.2</v>
      </c>
      <c r="CF14" s="34">
        <f>216920/31</f>
        <v>6997.4193548387093</v>
      </c>
      <c r="CG14" s="34">
        <f>209292/30</f>
        <v>6976.4</v>
      </c>
      <c r="CH14" s="34">
        <f>226422/31</f>
        <v>7303.9354838709678</v>
      </c>
      <c r="CI14" s="34">
        <f>65970/12</f>
        <v>5497.5</v>
      </c>
      <c r="CJ14" s="34">
        <v>0</v>
      </c>
      <c r="CK14" s="34">
        <v>0</v>
      </c>
      <c r="CL14" s="34">
        <v>0</v>
      </c>
      <c r="CM14" s="34"/>
      <c r="CN14" s="34">
        <v>0</v>
      </c>
      <c r="CO14" s="34">
        <v>0</v>
      </c>
      <c r="CP14" s="34">
        <v>0</v>
      </c>
      <c r="CQ14" s="34">
        <v>0</v>
      </c>
      <c r="CR14" s="34">
        <v>0</v>
      </c>
      <c r="CS14" s="34">
        <v>0</v>
      </c>
      <c r="CT14" s="34">
        <v>0</v>
      </c>
      <c r="CU14" s="34">
        <v>0</v>
      </c>
      <c r="CV14" s="34"/>
      <c r="CW14" s="34"/>
      <c r="CX14" s="34"/>
      <c r="CY14" s="34"/>
      <c r="CZ14" s="34">
        <v>0</v>
      </c>
      <c r="DA14" s="34">
        <v>0</v>
      </c>
      <c r="DB14" s="34">
        <v>0</v>
      </c>
      <c r="DC14" s="34">
        <v>0</v>
      </c>
      <c r="DD14" s="34">
        <v>0</v>
      </c>
      <c r="DE14" s="34">
        <v>0</v>
      </c>
      <c r="DF14" s="34">
        <v>0</v>
      </c>
      <c r="DG14" s="34">
        <v>0</v>
      </c>
      <c r="DH14" s="34">
        <f>SUM(DH3:DH12)</f>
        <v>0</v>
      </c>
      <c r="DI14" s="34">
        <f>SUM(DI3:DI12)</f>
        <v>0</v>
      </c>
      <c r="DJ14" s="34">
        <f>SUM(DJ3:DJ12)</f>
        <v>0</v>
      </c>
      <c r="DK14" s="34">
        <f>SUM(DK3:DK12)</f>
        <v>0</v>
      </c>
      <c r="DM14" s="47"/>
      <c r="DN14" s="47"/>
      <c r="DO14" s="50" t="s">
        <v>92</v>
      </c>
      <c r="DP14" s="34">
        <v>150</v>
      </c>
    </row>
    <row r="15" spans="1:120" ht="15.75" x14ac:dyDescent="0.2">
      <c r="A15" s="40" t="s">
        <v>60</v>
      </c>
      <c r="B15" s="33" t="s">
        <v>55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3"/>
      <c r="P15" s="33"/>
      <c r="Q15" s="33"/>
      <c r="R15" s="40" t="s">
        <v>60</v>
      </c>
      <c r="S15" s="33" t="s">
        <v>53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40" t="s">
        <v>60</v>
      </c>
      <c r="BB15" s="33" t="s">
        <v>53</v>
      </c>
      <c r="BC15" s="34">
        <v>0</v>
      </c>
      <c r="BD15" s="34">
        <f>278790/24</f>
        <v>11616.25</v>
      </c>
      <c r="BE15" s="34">
        <f>363979/28</f>
        <v>12999.25</v>
      </c>
      <c r="BF15" s="34">
        <f>438559/31</f>
        <v>14147.064516129032</v>
      </c>
      <c r="BG15" s="34">
        <f>403962/30</f>
        <v>13465.4</v>
      </c>
      <c r="BH15" s="34">
        <f>365886/29</f>
        <v>12616.758620689656</v>
      </c>
      <c r="BI15" s="34">
        <f>401494/30</f>
        <v>13383.133333333333</v>
      </c>
      <c r="BJ15" s="34">
        <f>282952/23</f>
        <v>12302.260869565218</v>
      </c>
      <c r="BK15" s="34">
        <f>393087/31</f>
        <v>12680.225806451614</v>
      </c>
      <c r="BL15" s="34">
        <f>342401/30</f>
        <v>11413.366666666667</v>
      </c>
      <c r="BM15" s="34">
        <f>330324/31</f>
        <v>10655.612903225807</v>
      </c>
      <c r="BN15" s="34">
        <f>291627/29</f>
        <v>10056.103448275862</v>
      </c>
      <c r="BO15" s="34">
        <f>328285/31</f>
        <v>10589.838709677419</v>
      </c>
      <c r="BP15" s="34">
        <f>334047/31</f>
        <v>10775.709677419354</v>
      </c>
      <c r="BQ15" s="34">
        <f>316179/29</f>
        <v>10902.724137931034</v>
      </c>
      <c r="BR15" s="34">
        <f>348727/31</f>
        <v>11249.258064516129</v>
      </c>
      <c r="BS15" s="34">
        <f>315896/30</f>
        <v>10529.866666666667</v>
      </c>
      <c r="BT15" s="34">
        <f>258117/25</f>
        <v>10324.68</v>
      </c>
      <c r="BU15" s="34">
        <f>328889/30</f>
        <v>10962.966666666667</v>
      </c>
      <c r="BV15" s="34">
        <f>337527/31</f>
        <v>10887.967741935483</v>
      </c>
      <c r="BW15" s="34">
        <f>341156/31</f>
        <v>11005.032258064517</v>
      </c>
      <c r="BX15" s="34">
        <f>324011/30</f>
        <v>10800.366666666667</v>
      </c>
      <c r="BY15" s="34">
        <f>328097/31</f>
        <v>10583.774193548386</v>
      </c>
      <c r="BZ15" s="34">
        <f>315126/30</f>
        <v>10504.2</v>
      </c>
      <c r="CA15" s="34">
        <f>321251/31</f>
        <v>10362.935483870968</v>
      </c>
      <c r="CB15" s="34">
        <f>297085/31</f>
        <v>9583.3870967741932</v>
      </c>
      <c r="CC15" s="34">
        <f>269245/28</f>
        <v>9615.8928571428569</v>
      </c>
      <c r="CD15" s="34">
        <f>291866/31</f>
        <v>9415.032258064517</v>
      </c>
      <c r="CE15" s="34">
        <f>268119/30</f>
        <v>8937.2999999999993</v>
      </c>
      <c r="CF15" s="34">
        <f>283117/31</f>
        <v>9132.8064516129034</v>
      </c>
      <c r="CG15" s="34">
        <f>264394/30</f>
        <v>8813.1333333333332</v>
      </c>
      <c r="CH15" s="34">
        <f>278887/31</f>
        <v>8996.354838709678</v>
      </c>
      <c r="CI15" s="34">
        <f>230782/29</f>
        <v>7958</v>
      </c>
      <c r="CJ15" s="34">
        <f>251311/30</f>
        <v>8377.0333333333328</v>
      </c>
      <c r="CK15" s="34">
        <f>223564/28</f>
        <v>7984.4285714285716</v>
      </c>
      <c r="CL15" s="34">
        <f>247952/30</f>
        <v>8265.0666666666675</v>
      </c>
      <c r="CM15" s="34">
        <f>254802/31</f>
        <v>8219.4193548387102</v>
      </c>
      <c r="CN15" s="34">
        <f>254095/31</f>
        <v>8196.6129032258068</v>
      </c>
      <c r="CO15" s="34">
        <f>211273/28</f>
        <v>7545.4642857142853</v>
      </c>
      <c r="CP15" s="34">
        <f>295763/31</f>
        <v>9540.7419354838712</v>
      </c>
      <c r="CQ15" s="34">
        <f>273612/30</f>
        <v>9120.4</v>
      </c>
      <c r="CR15" s="34">
        <f>283209/31</f>
        <v>9135.7741935483864</v>
      </c>
      <c r="CS15" s="34">
        <f>268788/30</f>
        <v>8959.6</v>
      </c>
      <c r="CT15" s="34">
        <f>254749/31</f>
        <v>8217.7096774193542</v>
      </c>
      <c r="CU15" s="34">
        <f>263419/31</f>
        <v>8497.3870967741932</v>
      </c>
      <c r="CV15" s="34">
        <f>247680/30</f>
        <v>8256</v>
      </c>
      <c r="CW15" s="34">
        <f>250459/31</f>
        <v>8079.322580645161</v>
      </c>
      <c r="CX15" s="34">
        <f>236000/30</f>
        <v>7866.666666666667</v>
      </c>
      <c r="CY15" s="34">
        <f>217376/30</f>
        <v>7245.8666666666668</v>
      </c>
      <c r="CZ15" s="34">
        <f>244259/31</f>
        <v>7879.322580645161</v>
      </c>
      <c r="DA15" s="34">
        <f>212537/28</f>
        <v>7590.6071428571431</v>
      </c>
      <c r="DB15" s="34">
        <f>220354/31</f>
        <v>7108.1935483870966</v>
      </c>
      <c r="DC15" s="34">
        <f>217559/30</f>
        <v>7251.9666666666662</v>
      </c>
      <c r="DD15" s="34">
        <f>149716/22</f>
        <v>6805.272727272727</v>
      </c>
      <c r="DE15" s="34">
        <f>199035/30</f>
        <v>6634.5</v>
      </c>
      <c r="DF15" s="34">
        <f>177984/29</f>
        <v>6137.3793103448279</v>
      </c>
      <c r="DG15" s="34">
        <v>0</v>
      </c>
      <c r="DH15" s="34"/>
      <c r="DI15" s="34"/>
      <c r="DJ15" s="34"/>
      <c r="DK15" s="34"/>
      <c r="DM15" s="47"/>
      <c r="DN15" s="47"/>
      <c r="DO15" s="50" t="s">
        <v>88</v>
      </c>
      <c r="DP15" s="34">
        <v>50</v>
      </c>
    </row>
    <row r="16" spans="1:120" ht="18" x14ac:dyDescent="0.2">
      <c r="A16" s="40" t="s">
        <v>60</v>
      </c>
      <c r="B16" s="33" t="s">
        <v>56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f>5325/4</f>
        <v>1331.25</v>
      </c>
      <c r="O16" s="33"/>
      <c r="P16" s="33"/>
      <c r="Q16" s="33"/>
      <c r="R16" s="40" t="s">
        <v>60</v>
      </c>
      <c r="S16" s="33" t="s">
        <v>55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40" t="s">
        <v>60</v>
      </c>
      <c r="BB16" s="33" t="s">
        <v>55</v>
      </c>
      <c r="BC16" s="34">
        <f>5325/4</f>
        <v>1331.25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f>158445/17</f>
        <v>9320.2941176470595</v>
      </c>
      <c r="BK16" s="34">
        <f>387712/31</f>
        <v>12506.838709677419</v>
      </c>
      <c r="BL16" s="34">
        <f>377361/30</f>
        <v>12578.7</v>
      </c>
      <c r="BM16" s="34">
        <f>388369/31</f>
        <v>12528.032258064517</v>
      </c>
      <c r="BN16" s="34">
        <f>356583/29</f>
        <v>12295.965517241379</v>
      </c>
      <c r="BO16" s="34">
        <f>401451/31</f>
        <v>12950.032258064517</v>
      </c>
      <c r="BP16" s="34">
        <f>409607/31</f>
        <v>13213.129032258064</v>
      </c>
      <c r="BQ16" s="34">
        <f>393696/29</f>
        <v>13575.724137931034</v>
      </c>
      <c r="BR16" s="34">
        <f>449809/31</f>
        <v>14509.967741935483</v>
      </c>
      <c r="BS16" s="34">
        <f>425642/30</f>
        <v>14188.066666666668</v>
      </c>
      <c r="BT16" s="34">
        <f>360956/25</f>
        <v>14438.24</v>
      </c>
      <c r="BU16" s="34">
        <f>463963/30</f>
        <v>15465.433333333332</v>
      </c>
      <c r="BV16" s="34">
        <f>474894/31</f>
        <v>15319.161290322581</v>
      </c>
      <c r="BW16" s="34">
        <f>485304/31</f>
        <v>15654.967741935483</v>
      </c>
      <c r="BX16" s="34">
        <f>463646/30</f>
        <v>15454.866666666667</v>
      </c>
      <c r="BY16" s="34">
        <f>450756/31</f>
        <v>14540.516129032258</v>
      </c>
      <c r="BZ16" s="34">
        <f>471055/30</f>
        <v>15701.833333333334</v>
      </c>
      <c r="CA16" s="34">
        <f>511580/31</f>
        <v>16502.580645161292</v>
      </c>
      <c r="CB16" s="34">
        <f>484898/31</f>
        <v>15641.870967741936</v>
      </c>
      <c r="CC16" s="34">
        <f>472221/28</f>
        <v>16865.035714285714</v>
      </c>
      <c r="CD16" s="34">
        <f>510440/31</f>
        <v>16465.806451612902</v>
      </c>
      <c r="CE16" s="34">
        <f>490978/30</f>
        <v>16365.933333333332</v>
      </c>
      <c r="CF16" s="34">
        <f>520140/31</f>
        <v>16778.709677419356</v>
      </c>
      <c r="CG16" s="34">
        <f>493931/30</f>
        <v>16464.366666666665</v>
      </c>
      <c r="CH16" s="34">
        <f>441861/29</f>
        <v>15236.586206896553</v>
      </c>
      <c r="CI16" s="34">
        <f>30527/5</f>
        <v>6105.4</v>
      </c>
      <c r="CJ16" s="34">
        <f>58041/10</f>
        <v>5804.1</v>
      </c>
      <c r="CK16" s="34">
        <f>101259/12</f>
        <v>8438.25</v>
      </c>
      <c r="CL16" s="34">
        <f>112113/14</f>
        <v>8008.0714285714284</v>
      </c>
      <c r="CM16" s="34">
        <f>305956/31</f>
        <v>9869.5483870967746</v>
      </c>
      <c r="CN16" s="34">
        <f>316508/31</f>
        <v>10209.935483870968</v>
      </c>
      <c r="CO16" s="34">
        <f>344394/28</f>
        <v>12299.785714285714</v>
      </c>
      <c r="CP16" s="34">
        <f>326542/31</f>
        <v>10533.612903225807</v>
      </c>
      <c r="CQ16" s="34">
        <f>305303/30</f>
        <v>10176.766666666666</v>
      </c>
      <c r="CR16" s="34">
        <f>319867/31</f>
        <v>10318.290322580646</v>
      </c>
      <c r="CS16" s="34">
        <f>314655/30</f>
        <v>10488.5</v>
      </c>
      <c r="CT16" s="34">
        <f>313079/31</f>
        <v>10099.322580645161</v>
      </c>
      <c r="CU16" s="34">
        <f>319725/31</f>
        <v>10313.709677419354</v>
      </c>
      <c r="CV16" s="34">
        <f>314921/30</f>
        <v>10497.366666666667</v>
      </c>
      <c r="CW16" s="34">
        <f>317869/31</f>
        <v>10253.838709677419</v>
      </c>
      <c r="CX16" s="34">
        <f>295785/30</f>
        <v>9859.5</v>
      </c>
      <c r="CY16" s="34">
        <f>280083/29</f>
        <v>9658.0344827586214</v>
      </c>
      <c r="CZ16" s="34">
        <f>315130/31</f>
        <v>10165.483870967742</v>
      </c>
      <c r="DA16" s="34">
        <f>320736/28</f>
        <v>11454.857142857143</v>
      </c>
      <c r="DB16" s="34">
        <f>364831/31</f>
        <v>11768.741935483871</v>
      </c>
      <c r="DC16" s="34">
        <f>359923/30</f>
        <v>11997.433333333332</v>
      </c>
      <c r="DD16" s="34">
        <f>252714/23</f>
        <v>10987.565217391304</v>
      </c>
      <c r="DE16" s="34">
        <f>362966/30</f>
        <v>12098.866666666667</v>
      </c>
      <c r="DF16" s="34">
        <f>327697/29</f>
        <v>11299.896551724138</v>
      </c>
      <c r="DG16" s="34">
        <v>0</v>
      </c>
      <c r="DM16" s="47"/>
      <c r="DN16" s="47"/>
      <c r="DO16" s="50" t="s">
        <v>89</v>
      </c>
      <c r="DP16" s="36">
        <f>12*275</f>
        <v>3300</v>
      </c>
    </row>
    <row r="17" spans="1:120" ht="15.75" x14ac:dyDescent="0.2">
      <c r="A17" s="40" t="s">
        <v>60</v>
      </c>
      <c r="B17" s="33" t="s">
        <v>57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3"/>
      <c r="P17" s="33"/>
      <c r="Q17" s="33"/>
      <c r="R17" s="40" t="s">
        <v>60</v>
      </c>
      <c r="S17" s="33" t="s">
        <v>56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40" t="s">
        <v>60</v>
      </c>
      <c r="BB17" s="33" t="s">
        <v>56</v>
      </c>
      <c r="BC17" s="34">
        <v>0</v>
      </c>
      <c r="BD17" s="34">
        <f>1747/2</f>
        <v>873.5</v>
      </c>
      <c r="BE17" s="34">
        <f>33954/5</f>
        <v>6790.8</v>
      </c>
      <c r="BF17" s="34">
        <v>0</v>
      </c>
      <c r="BG17" s="34">
        <f>179328/18</f>
        <v>9962.6666666666661</v>
      </c>
      <c r="BH17" s="34">
        <f>358353/29</f>
        <v>12357</v>
      </c>
      <c r="BI17" s="34">
        <f>367425/30</f>
        <v>12247.5</v>
      </c>
      <c r="BJ17" s="34">
        <f>252233/23</f>
        <v>10966.652173913044</v>
      </c>
      <c r="BK17" s="34">
        <f>345403/31</f>
        <v>11142.032258064517</v>
      </c>
      <c r="BL17" s="34">
        <f>331854/30</f>
        <v>11061.8</v>
      </c>
      <c r="BM17" s="34">
        <f>324531/31</f>
        <v>10468.741935483871</v>
      </c>
      <c r="BN17" s="34">
        <f>281479/29</f>
        <v>9706.1724137931033</v>
      </c>
      <c r="BO17" s="34">
        <f>328941/31</f>
        <v>10611</v>
      </c>
      <c r="BP17" s="34">
        <f>313046/31</f>
        <v>10098.258064516129</v>
      </c>
      <c r="BQ17" s="34">
        <f>292986/29</f>
        <v>10102.965517241379</v>
      </c>
      <c r="BR17" s="34">
        <f>319255/31</f>
        <v>10298.548387096775</v>
      </c>
      <c r="BS17" s="34">
        <f>319255/31</f>
        <v>10298.548387096775</v>
      </c>
      <c r="BT17" s="34">
        <f>235741/25</f>
        <v>9429.64</v>
      </c>
      <c r="BU17" s="34">
        <f>298741/30</f>
        <v>9958.0333333333328</v>
      </c>
      <c r="BV17" s="34">
        <f>297188/31</f>
        <v>9586.7096774193542</v>
      </c>
      <c r="BW17" s="34">
        <f>296820/31</f>
        <v>9574.8387096774186</v>
      </c>
      <c r="BX17" s="34">
        <f>280410/30</f>
        <v>9347</v>
      </c>
      <c r="BY17" s="34">
        <f>264041/31</f>
        <v>8517.4516129032254</v>
      </c>
      <c r="BZ17" s="34">
        <f>261711/30</f>
        <v>8723.7000000000007</v>
      </c>
      <c r="CA17" s="34">
        <f>272063/31</f>
        <v>8776.2258064516136</v>
      </c>
      <c r="CB17" s="34">
        <f>261156/31</f>
        <v>8424.3870967741932</v>
      </c>
      <c r="CC17" s="34">
        <f>239876/28</f>
        <v>8567</v>
      </c>
      <c r="CD17" s="34">
        <f>267062/31</f>
        <v>8614.9032258064508</v>
      </c>
      <c r="CE17" s="34">
        <f>253200/30</f>
        <v>8440</v>
      </c>
      <c r="CF17" s="34">
        <f>268217/31</f>
        <v>8652.1612903225814</v>
      </c>
      <c r="CG17" s="34">
        <f>246728/30</f>
        <v>8224.2666666666664</v>
      </c>
      <c r="CH17" s="34">
        <f>263577/31</f>
        <v>8502.4838709677424</v>
      </c>
      <c r="CI17" s="34">
        <f>222426/29</f>
        <v>7669.8620689655172</v>
      </c>
      <c r="CJ17" s="34">
        <f>241265/30</f>
        <v>8042.166666666667</v>
      </c>
      <c r="CK17" s="34">
        <f>206004/28</f>
        <v>7357.2857142857147</v>
      </c>
      <c r="CL17" s="34">
        <f>232092/30</f>
        <v>7736.4</v>
      </c>
      <c r="CM17" s="34">
        <f>237782/31</f>
        <v>7670.3870967741932</v>
      </c>
      <c r="CN17" s="34">
        <f>233345/31</f>
        <v>7527.2580645161288</v>
      </c>
      <c r="CO17" s="34">
        <f>197134/28</f>
        <v>7040.5</v>
      </c>
      <c r="CP17" s="34">
        <f>268101/31</f>
        <v>8648.4193548387102</v>
      </c>
      <c r="CQ17" s="34">
        <f>247684/30</f>
        <v>8256.1333333333332</v>
      </c>
      <c r="CR17" s="34">
        <f>252693/31</f>
        <v>8151.3870967741932</v>
      </c>
      <c r="CS17" s="34">
        <f>231910/30</f>
        <v>7730.333333333333</v>
      </c>
      <c r="CT17" s="34">
        <f>236348/31</f>
        <v>7624.1290322580644</v>
      </c>
      <c r="CU17" s="34">
        <f>240376/31</f>
        <v>7754.0645161290322</v>
      </c>
      <c r="CV17" s="34">
        <f>224683/30</f>
        <v>7489.4333333333334</v>
      </c>
      <c r="CW17" s="34">
        <f>230186/31</f>
        <v>7425.3548387096771</v>
      </c>
      <c r="CX17" s="34">
        <f>220697/30</f>
        <v>7356.5666666666666</v>
      </c>
      <c r="CY17" s="34">
        <f>199482/30</f>
        <v>6649.4</v>
      </c>
      <c r="CZ17" s="34">
        <f>230223/31</f>
        <v>7426.5483870967746</v>
      </c>
      <c r="DA17" s="34">
        <f>199060/28</f>
        <v>7109.2857142857147</v>
      </c>
      <c r="DB17" s="34">
        <f>205900/30</f>
        <v>6863.333333333333</v>
      </c>
      <c r="DC17" s="34">
        <f>205194/30</f>
        <v>6839.8</v>
      </c>
      <c r="DD17" s="34">
        <f>145624/22</f>
        <v>6619.272727272727</v>
      </c>
      <c r="DE17" s="34">
        <f>211818/30</f>
        <v>7060.6</v>
      </c>
      <c r="DF17" s="34">
        <f>192124/30</f>
        <v>6404.1333333333332</v>
      </c>
      <c r="DG17" s="34">
        <v>0</v>
      </c>
      <c r="DM17" s="47"/>
      <c r="DN17" s="47"/>
      <c r="DO17" s="47"/>
      <c r="DP17" s="34">
        <f>SUM(DP11:DP16)</f>
        <v>7850</v>
      </c>
    </row>
    <row r="18" spans="1:120" ht="15.75" x14ac:dyDescent="0.2">
      <c r="A18" s="40" t="s">
        <v>60</v>
      </c>
      <c r="B18" s="33" t="s">
        <v>59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3"/>
      <c r="P18" s="33"/>
      <c r="Q18" s="33"/>
      <c r="R18" s="40" t="s">
        <v>60</v>
      </c>
      <c r="S18" s="33" t="s">
        <v>57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40" t="s">
        <v>60</v>
      </c>
      <c r="BB18" s="33" t="s">
        <v>57</v>
      </c>
      <c r="BC18" s="33"/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4">
        <v>0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4">
        <v>0</v>
      </c>
      <c r="CE18" s="34">
        <v>0</v>
      </c>
      <c r="CF18" s="34">
        <v>0</v>
      </c>
      <c r="CG18" s="34">
        <v>0</v>
      </c>
      <c r="CH18" s="34">
        <v>0</v>
      </c>
      <c r="CI18" s="34">
        <v>0</v>
      </c>
      <c r="CJ18" s="34">
        <v>0</v>
      </c>
      <c r="CK18" s="34">
        <v>0</v>
      </c>
      <c r="CL18" s="34">
        <f>76258/13</f>
        <v>5866</v>
      </c>
      <c r="CM18" s="34">
        <v>0</v>
      </c>
      <c r="CN18" s="34">
        <v>0</v>
      </c>
      <c r="CO18" s="34">
        <v>0</v>
      </c>
      <c r="CP18" s="34">
        <v>0</v>
      </c>
      <c r="CQ18" s="34">
        <f>189783/28</f>
        <v>6777.9642857142853</v>
      </c>
      <c r="CR18" s="34">
        <f>231601/31</f>
        <v>7471</v>
      </c>
      <c r="CS18" s="34">
        <f>257830/30</f>
        <v>8594.3333333333339</v>
      </c>
      <c r="CT18" s="34">
        <f>280235/31</f>
        <v>9039.8387096774186</v>
      </c>
      <c r="CU18" s="34">
        <f>336228/31</f>
        <v>10846.064516129032</v>
      </c>
      <c r="CV18" s="34">
        <f>329049/30</f>
        <v>10968.3</v>
      </c>
      <c r="CW18" s="34">
        <f>340830/31</f>
        <v>10994.516129032258</v>
      </c>
      <c r="CX18" s="34">
        <f>352708/30</f>
        <v>11756.933333333332</v>
      </c>
      <c r="CY18" s="34">
        <f>332052/30</f>
        <v>11068.4</v>
      </c>
      <c r="CZ18" s="34">
        <f>369781/31</f>
        <v>11928.41935483871</v>
      </c>
      <c r="DA18" s="34">
        <f>347426/28</f>
        <v>12408.071428571429</v>
      </c>
      <c r="DB18" s="34">
        <f>376138/31</f>
        <v>12133.483870967742</v>
      </c>
      <c r="DC18" s="34">
        <f>372455/30</f>
        <v>12415.166666666666</v>
      </c>
      <c r="DD18" s="34">
        <f>266625/23</f>
        <v>11592.391304347826</v>
      </c>
      <c r="DE18" s="34">
        <f>393216/30</f>
        <v>13107.2</v>
      </c>
      <c r="DF18" s="34">
        <f>326372/25</f>
        <v>13054.88</v>
      </c>
      <c r="DG18" s="34">
        <v>0</v>
      </c>
    </row>
    <row r="19" spans="1:120" ht="15.75" x14ac:dyDescent="0.2">
      <c r="B19" s="42" t="s">
        <v>49</v>
      </c>
      <c r="C19" s="43">
        <f>SUM(C4:C18)</f>
        <v>0</v>
      </c>
      <c r="D19" s="43">
        <f t="shared" ref="D19:N19" si="0">SUM(D4:D18)</f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19123.987142857142</v>
      </c>
      <c r="O19" s="33"/>
      <c r="P19" s="33"/>
      <c r="Q19" s="33"/>
      <c r="R19" s="40" t="s">
        <v>60</v>
      </c>
      <c r="S19" s="33" t="s">
        <v>59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40" t="s">
        <v>60</v>
      </c>
      <c r="BB19" s="33" t="s">
        <v>59</v>
      </c>
      <c r="BC19" s="33"/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  <c r="BY19" s="34">
        <v>0</v>
      </c>
      <c r="BZ19" s="34">
        <v>0</v>
      </c>
      <c r="CA19" s="34">
        <v>0</v>
      </c>
      <c r="CB19" s="34">
        <v>0</v>
      </c>
      <c r="CC19" s="34">
        <v>0</v>
      </c>
      <c r="CD19" s="34">
        <v>0</v>
      </c>
      <c r="CE19" s="34">
        <v>0</v>
      </c>
      <c r="CF19" s="34">
        <v>0</v>
      </c>
      <c r="CG19" s="34">
        <v>0</v>
      </c>
      <c r="CH19" s="34">
        <v>0</v>
      </c>
      <c r="CI19" s="34">
        <v>0</v>
      </c>
      <c r="CJ19" s="34">
        <v>0</v>
      </c>
      <c r="CK19" s="34">
        <v>0</v>
      </c>
      <c r="CL19" s="34">
        <v>0</v>
      </c>
      <c r="CM19" s="34">
        <v>0</v>
      </c>
      <c r="CN19" s="34">
        <v>0</v>
      </c>
      <c r="CO19" s="34">
        <v>0</v>
      </c>
      <c r="CP19" s="34">
        <v>0</v>
      </c>
      <c r="CQ19" s="34">
        <v>0</v>
      </c>
      <c r="CR19" s="34">
        <v>0</v>
      </c>
      <c r="CS19" s="34">
        <v>0</v>
      </c>
      <c r="CT19" s="34">
        <v>0</v>
      </c>
      <c r="CU19" s="34">
        <v>0</v>
      </c>
      <c r="CV19" s="34">
        <v>0</v>
      </c>
      <c r="CW19" s="34">
        <v>0</v>
      </c>
      <c r="CX19" s="34">
        <v>0</v>
      </c>
      <c r="CY19" s="34">
        <f>144019/18</f>
        <v>8001.0555555555557</v>
      </c>
      <c r="CZ19" s="43">
        <f>314445/31</f>
        <v>10143.387096774193</v>
      </c>
      <c r="DA19" s="43">
        <f>321119/28</f>
        <v>11468.535714285714</v>
      </c>
      <c r="DB19" s="43">
        <f>356239/31</f>
        <v>11491.58064516129</v>
      </c>
      <c r="DC19" s="43">
        <f>314800/30</f>
        <v>10493.333333333334</v>
      </c>
      <c r="DD19" s="43">
        <f>246597/23</f>
        <v>10721.608695652174</v>
      </c>
      <c r="DE19" s="43">
        <f>331248/30</f>
        <v>11041.6</v>
      </c>
      <c r="DF19" s="43">
        <f>256244/25</f>
        <v>10249.76</v>
      </c>
      <c r="DG19" s="43">
        <v>0</v>
      </c>
      <c r="DH19" s="33"/>
      <c r="DI19" s="33"/>
      <c r="DJ19" s="33"/>
      <c r="DK19" s="33"/>
    </row>
    <row r="20" spans="1:120" ht="15" customHeigh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 t="s">
        <v>80</v>
      </c>
      <c r="BC20" s="46">
        <f>BC5*BC25+BC6*BC26+BC7*BC27+BC8*BC28+BC9*BC29+BC10*BC30+BC11*BC31+BC12*BC32+BC13*BC33+BC14*BC34+BC15*BC35+BC16*BC36+BC17*BC37+BC18*BC38+BC19*BC39</f>
        <v>258352</v>
      </c>
      <c r="BD20" s="46">
        <f>BD5*BD25+BD6*BD26+BD7*BD27+BD8*BD28+BD9*BD29+BD10*BD30+BD11*BD31+BD12*BD32+BD13*BD33+BD14*BD34+BD15*BD35+BD16*BD36+BD17*BD37+BD18*BD38+BD19*BD39</f>
        <v>776779</v>
      </c>
      <c r="BE20" s="46">
        <f t="shared" ref="BE20:DG20" si="1">BE5*BE25+BE6*BE26+BE7*BE27+BE8*BE28+BE9*BE29+BE10*BE30+BE11*BE31+BE12*BE32+BE13*BE33+BE14*BE34+BE15*BE35+BE16*BE36+BE17*BE37+BE18*BE38+BE19*BE39</f>
        <v>1080634</v>
      </c>
      <c r="BF20" s="46">
        <f t="shared" si="1"/>
        <v>1503060</v>
      </c>
      <c r="BG20" s="46">
        <f t="shared" si="1"/>
        <v>1758634</v>
      </c>
      <c r="BH20" s="46">
        <f t="shared" si="1"/>
        <v>1915565</v>
      </c>
      <c r="BI20" s="46">
        <f t="shared" si="1"/>
        <v>1954587</v>
      </c>
      <c r="BJ20" s="46">
        <f t="shared" si="1"/>
        <v>1533037</v>
      </c>
      <c r="BK20" s="46">
        <f t="shared" si="1"/>
        <v>2300122</v>
      </c>
      <c r="BL20" s="46">
        <f t="shared" si="1"/>
        <v>2110154</v>
      </c>
      <c r="BM20" s="46">
        <f t="shared" si="1"/>
        <v>2166183</v>
      </c>
      <c r="BN20" s="46">
        <f t="shared" si="1"/>
        <v>1831807</v>
      </c>
      <c r="BO20" s="46">
        <f t="shared" si="1"/>
        <v>2209596</v>
      </c>
      <c r="BP20" s="46">
        <f t="shared" si="1"/>
        <v>2197959</v>
      </c>
      <c r="BQ20" s="46">
        <f t="shared" si="1"/>
        <v>2065386</v>
      </c>
      <c r="BR20" s="46">
        <f t="shared" si="1"/>
        <v>2266725</v>
      </c>
      <c r="BS20" s="46">
        <f t="shared" si="1"/>
        <v>2243039</v>
      </c>
      <c r="BT20" s="46">
        <f t="shared" si="1"/>
        <v>2384362</v>
      </c>
      <c r="BU20" s="46">
        <f t="shared" si="1"/>
        <v>2825560</v>
      </c>
      <c r="BV20" s="46">
        <f t="shared" si="1"/>
        <v>2935958</v>
      </c>
      <c r="BW20" s="46">
        <f t="shared" si="1"/>
        <v>2863994</v>
      </c>
      <c r="BX20" s="46">
        <f t="shared" si="1"/>
        <v>3096388</v>
      </c>
      <c r="BY20" s="46">
        <f t="shared" si="1"/>
        <v>3214450</v>
      </c>
      <c r="BZ20" s="46">
        <f t="shared" si="1"/>
        <v>2923171</v>
      </c>
      <c r="CA20" s="46">
        <f t="shared" si="1"/>
        <v>3361529</v>
      </c>
      <c r="CB20" s="46">
        <f t="shared" si="1"/>
        <v>3338220</v>
      </c>
      <c r="CC20" s="46">
        <f t="shared" si="1"/>
        <v>2983653</v>
      </c>
      <c r="CD20" s="46">
        <f t="shared" si="1"/>
        <v>3419780</v>
      </c>
      <c r="CE20" s="46">
        <f t="shared" si="1"/>
        <v>3415867</v>
      </c>
      <c r="CF20" s="46">
        <f t="shared" si="1"/>
        <v>3672759</v>
      </c>
      <c r="CG20" s="46">
        <f t="shared" si="1"/>
        <v>3699615</v>
      </c>
      <c r="CH20" s="46">
        <f t="shared" si="1"/>
        <v>3763897</v>
      </c>
      <c r="CI20" s="46">
        <f t="shared" si="1"/>
        <v>3049980.2413793104</v>
      </c>
      <c r="CJ20" s="46">
        <f t="shared" si="1"/>
        <v>3205422</v>
      </c>
      <c r="CK20" s="46">
        <f t="shared" si="1"/>
        <v>2846809</v>
      </c>
      <c r="CL20" s="46">
        <f t="shared" si="1"/>
        <v>3245057</v>
      </c>
      <c r="CM20" s="46">
        <f t="shared" si="1"/>
        <v>3442310</v>
      </c>
      <c r="CN20" s="46">
        <f t="shared" si="1"/>
        <v>3466689</v>
      </c>
      <c r="CO20" s="46">
        <f t="shared" si="1"/>
        <v>3256671</v>
      </c>
      <c r="CP20" s="46">
        <f t="shared" si="1"/>
        <v>3692377</v>
      </c>
      <c r="CQ20" s="46">
        <f t="shared" si="1"/>
        <v>3510417</v>
      </c>
      <c r="CR20" s="46">
        <f t="shared" si="1"/>
        <v>4053380</v>
      </c>
      <c r="CS20" s="46">
        <f t="shared" si="1"/>
        <v>4008407</v>
      </c>
      <c r="CT20" s="46">
        <f t="shared" si="1"/>
        <v>4472853</v>
      </c>
      <c r="CU20" s="46">
        <f t="shared" si="1"/>
        <v>4639433</v>
      </c>
      <c r="CV20" s="46">
        <f t="shared" si="1"/>
        <v>4416383</v>
      </c>
      <c r="CW20" s="46">
        <f t="shared" si="1"/>
        <v>4418340</v>
      </c>
      <c r="CX20" s="46">
        <f t="shared" si="1"/>
        <v>4157505</v>
      </c>
      <c r="CY20" s="46">
        <f t="shared" si="1"/>
        <v>4453912</v>
      </c>
      <c r="CZ20" s="46">
        <f t="shared" si="1"/>
        <v>4767467</v>
      </c>
      <c r="DA20" s="46">
        <f t="shared" si="1"/>
        <v>4233922</v>
      </c>
      <c r="DB20" s="46">
        <f t="shared" si="1"/>
        <v>4587228</v>
      </c>
      <c r="DC20" s="46">
        <f t="shared" si="1"/>
        <v>4455146</v>
      </c>
      <c r="DD20" s="46">
        <f t="shared" si="1"/>
        <v>3218453</v>
      </c>
      <c r="DE20" s="46">
        <f t="shared" si="1"/>
        <v>4425076</v>
      </c>
      <c r="DF20" s="46">
        <f t="shared" si="1"/>
        <v>3873231</v>
      </c>
      <c r="DG20" s="46">
        <f t="shared" si="1"/>
        <v>2861955</v>
      </c>
      <c r="DH20" s="33"/>
      <c r="DI20" s="33"/>
      <c r="DJ20" s="33"/>
      <c r="DK20" s="33"/>
    </row>
    <row r="21" spans="1:120" ht="15.75" x14ac:dyDescent="0.2">
      <c r="A21" s="33"/>
      <c r="B21" s="33"/>
      <c r="C21" s="33" t="s">
        <v>37</v>
      </c>
      <c r="D21" s="33" t="s">
        <v>38</v>
      </c>
      <c r="E21" s="33" t="s">
        <v>39</v>
      </c>
      <c r="F21" s="33" t="s">
        <v>40</v>
      </c>
      <c r="G21" s="33" t="s">
        <v>41</v>
      </c>
      <c r="H21" s="33" t="s">
        <v>42</v>
      </c>
      <c r="I21" s="33" t="s">
        <v>43</v>
      </c>
      <c r="J21" s="33" t="s">
        <v>44</v>
      </c>
      <c r="K21" s="33" t="s">
        <v>45</v>
      </c>
      <c r="L21" s="33" t="s">
        <v>46</v>
      </c>
      <c r="M21" s="33" t="s">
        <v>47</v>
      </c>
      <c r="N21" s="33" t="s">
        <v>48</v>
      </c>
      <c r="O21" s="33"/>
      <c r="P21" s="33"/>
      <c r="Q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 t="s">
        <v>81</v>
      </c>
      <c r="BC21" s="46">
        <f>BC20</f>
        <v>258352</v>
      </c>
      <c r="BD21" s="46">
        <f>BC21+BD20</f>
        <v>1035131</v>
      </c>
      <c r="BE21" s="46">
        <f t="shared" ref="BE21:DG21" si="2">BD21+BE20</f>
        <v>2115765</v>
      </c>
      <c r="BF21" s="46">
        <f t="shared" si="2"/>
        <v>3618825</v>
      </c>
      <c r="BG21" s="46">
        <f t="shared" si="2"/>
        <v>5377459</v>
      </c>
      <c r="BH21" s="46">
        <f t="shared" si="2"/>
        <v>7293024</v>
      </c>
      <c r="BI21" s="46">
        <f t="shared" si="2"/>
        <v>9247611</v>
      </c>
      <c r="BJ21" s="46">
        <f t="shared" si="2"/>
        <v>10780648</v>
      </c>
      <c r="BK21" s="46">
        <f t="shared" si="2"/>
        <v>13080770</v>
      </c>
      <c r="BL21" s="46">
        <f t="shared" si="2"/>
        <v>15190924</v>
      </c>
      <c r="BM21" s="46">
        <f t="shared" si="2"/>
        <v>17357107</v>
      </c>
      <c r="BN21" s="46">
        <f t="shared" si="2"/>
        <v>19188914</v>
      </c>
      <c r="BO21" s="46">
        <f t="shared" si="2"/>
        <v>21398510</v>
      </c>
      <c r="BP21" s="46">
        <f t="shared" si="2"/>
        <v>23596469</v>
      </c>
      <c r="BQ21" s="46">
        <f t="shared" si="2"/>
        <v>25661855</v>
      </c>
      <c r="BR21" s="46">
        <f t="shared" si="2"/>
        <v>27928580</v>
      </c>
      <c r="BS21" s="46">
        <f t="shared" si="2"/>
        <v>30171619</v>
      </c>
      <c r="BT21" s="46">
        <f t="shared" si="2"/>
        <v>32555981</v>
      </c>
      <c r="BU21" s="46">
        <f t="shared" si="2"/>
        <v>35381541</v>
      </c>
      <c r="BV21" s="46">
        <f t="shared" si="2"/>
        <v>38317499</v>
      </c>
      <c r="BW21" s="46">
        <f t="shared" si="2"/>
        <v>41181493</v>
      </c>
      <c r="BX21" s="46">
        <f t="shared" si="2"/>
        <v>44277881</v>
      </c>
      <c r="BY21" s="46">
        <f t="shared" si="2"/>
        <v>47492331</v>
      </c>
      <c r="BZ21" s="46">
        <f t="shared" si="2"/>
        <v>50415502</v>
      </c>
      <c r="CA21" s="46">
        <f t="shared" si="2"/>
        <v>53777031</v>
      </c>
      <c r="CB21" s="46">
        <f t="shared" si="2"/>
        <v>57115251</v>
      </c>
      <c r="CC21" s="46">
        <f t="shared" si="2"/>
        <v>60098904</v>
      </c>
      <c r="CD21" s="46">
        <f t="shared" si="2"/>
        <v>63518684</v>
      </c>
      <c r="CE21" s="46">
        <f t="shared" si="2"/>
        <v>66934551</v>
      </c>
      <c r="CF21" s="46">
        <f t="shared" si="2"/>
        <v>70607310</v>
      </c>
      <c r="CG21" s="46">
        <f t="shared" si="2"/>
        <v>74306925</v>
      </c>
      <c r="CH21" s="46">
        <f t="shared" si="2"/>
        <v>78070822</v>
      </c>
      <c r="CI21" s="46">
        <f t="shared" si="2"/>
        <v>81120802.241379306</v>
      </c>
      <c r="CJ21" s="46">
        <f t="shared" si="2"/>
        <v>84326224.241379306</v>
      </c>
      <c r="CK21" s="46">
        <f t="shared" si="2"/>
        <v>87173033.241379306</v>
      </c>
      <c r="CL21" s="46">
        <f t="shared" si="2"/>
        <v>90418090.241379306</v>
      </c>
      <c r="CM21" s="46">
        <f t="shared" si="2"/>
        <v>93860400.241379306</v>
      </c>
      <c r="CN21" s="46">
        <f t="shared" si="2"/>
        <v>97327089.241379306</v>
      </c>
      <c r="CO21" s="46">
        <f t="shared" si="2"/>
        <v>100583760.24137931</v>
      </c>
      <c r="CP21" s="46">
        <f t="shared" si="2"/>
        <v>104276137.24137931</v>
      </c>
      <c r="CQ21" s="46">
        <f t="shared" si="2"/>
        <v>107786554.24137931</v>
      </c>
      <c r="CR21" s="46">
        <f t="shared" si="2"/>
        <v>111839934.24137931</v>
      </c>
      <c r="CS21" s="46">
        <f t="shared" si="2"/>
        <v>115848341.24137931</v>
      </c>
      <c r="CT21" s="46">
        <f t="shared" si="2"/>
        <v>120321194.24137931</v>
      </c>
      <c r="CU21" s="46">
        <f t="shared" si="2"/>
        <v>124960627.24137931</v>
      </c>
      <c r="CV21" s="46">
        <f t="shared" si="2"/>
        <v>129377010.24137931</v>
      </c>
      <c r="CW21" s="46">
        <f t="shared" si="2"/>
        <v>133795350.24137931</v>
      </c>
      <c r="CX21" s="46">
        <f t="shared" si="2"/>
        <v>137952855.24137932</v>
      </c>
      <c r="CY21" s="46">
        <f t="shared" si="2"/>
        <v>142406767.24137932</v>
      </c>
      <c r="CZ21" s="46">
        <f t="shared" si="2"/>
        <v>147174234.24137932</v>
      </c>
      <c r="DA21" s="46">
        <f t="shared" si="2"/>
        <v>151408156.24137932</v>
      </c>
      <c r="DB21" s="46">
        <f t="shared" si="2"/>
        <v>155995384.24137932</v>
      </c>
      <c r="DC21" s="46">
        <f t="shared" si="2"/>
        <v>160450530.24137932</v>
      </c>
      <c r="DD21" s="46">
        <f t="shared" si="2"/>
        <v>163668983.24137932</v>
      </c>
      <c r="DE21" s="46">
        <f t="shared" si="2"/>
        <v>168094059.24137932</v>
      </c>
      <c r="DF21" s="46">
        <f t="shared" si="2"/>
        <v>171967290.24137932</v>
      </c>
      <c r="DG21" s="46">
        <f t="shared" si="2"/>
        <v>174829245.24137932</v>
      </c>
      <c r="DH21" s="33"/>
      <c r="DI21" s="33"/>
      <c r="DJ21" s="33"/>
      <c r="DK21" s="33"/>
    </row>
    <row r="22" spans="1:120" ht="15.75" x14ac:dyDescent="0.2">
      <c r="A22" s="33"/>
      <c r="B22" s="33" t="s">
        <v>50</v>
      </c>
      <c r="C22" s="33">
        <v>31</v>
      </c>
      <c r="D22" s="33">
        <v>28</v>
      </c>
      <c r="E22" s="33">
        <v>31</v>
      </c>
      <c r="F22" s="33">
        <v>30</v>
      </c>
      <c r="G22" s="33">
        <v>31</v>
      </c>
      <c r="H22" s="33">
        <v>30</v>
      </c>
      <c r="I22" s="33">
        <v>31</v>
      </c>
      <c r="J22" s="33">
        <v>31</v>
      </c>
      <c r="K22" s="33">
        <v>30</v>
      </c>
      <c r="L22" s="33">
        <v>31</v>
      </c>
      <c r="M22" s="33">
        <v>30</v>
      </c>
      <c r="N22" s="33">
        <v>31</v>
      </c>
      <c r="O22" s="33"/>
      <c r="P22" s="33"/>
      <c r="Q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</row>
    <row r="23" spans="1:120" ht="15.75" x14ac:dyDescent="0.2">
      <c r="A23" s="33">
        <v>2015</v>
      </c>
      <c r="B23" s="33">
        <v>2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3"/>
      <c r="P23" s="33"/>
      <c r="Q23" s="33"/>
      <c r="T23" s="44" t="s">
        <v>37</v>
      </c>
      <c r="U23" s="44" t="s">
        <v>38</v>
      </c>
      <c r="V23" s="44" t="s">
        <v>39</v>
      </c>
      <c r="W23" s="44" t="s">
        <v>40</v>
      </c>
      <c r="X23" s="44" t="s">
        <v>41</v>
      </c>
      <c r="Y23" s="44" t="s">
        <v>42</v>
      </c>
      <c r="Z23" s="44" t="s">
        <v>43</v>
      </c>
      <c r="AA23" s="44" t="s">
        <v>44</v>
      </c>
      <c r="AB23" s="44" t="s">
        <v>45</v>
      </c>
      <c r="AC23" s="44" t="s">
        <v>46</v>
      </c>
      <c r="AD23" s="44" t="s">
        <v>47</v>
      </c>
      <c r="AE23" s="44" t="s">
        <v>48</v>
      </c>
      <c r="AF23" s="44" t="s">
        <v>37</v>
      </c>
      <c r="AG23" s="44" t="s">
        <v>38</v>
      </c>
      <c r="AH23" s="44" t="s">
        <v>39</v>
      </c>
      <c r="AI23" s="44" t="s">
        <v>40</v>
      </c>
      <c r="AJ23" s="44" t="s">
        <v>41</v>
      </c>
      <c r="AK23" s="44" t="s">
        <v>42</v>
      </c>
      <c r="AL23" s="44" t="s">
        <v>43</v>
      </c>
      <c r="AM23" s="44" t="s">
        <v>44</v>
      </c>
      <c r="AN23" s="44" t="s">
        <v>45</v>
      </c>
      <c r="AO23" s="44" t="s">
        <v>46</v>
      </c>
      <c r="AP23" s="44" t="s">
        <v>47</v>
      </c>
      <c r="AQ23" s="44" t="s">
        <v>48</v>
      </c>
      <c r="AR23" s="44" t="s">
        <v>37</v>
      </c>
      <c r="AS23" s="44" t="s">
        <v>38</v>
      </c>
      <c r="AT23" s="44" t="s">
        <v>39</v>
      </c>
      <c r="AU23" s="44" t="s">
        <v>40</v>
      </c>
      <c r="AV23" s="44" t="s">
        <v>41</v>
      </c>
      <c r="AW23" s="44" t="s">
        <v>42</v>
      </c>
      <c r="AX23" s="44" t="s">
        <v>43</v>
      </c>
      <c r="AY23" s="44" t="s">
        <v>44</v>
      </c>
      <c r="AZ23" s="44" t="s">
        <v>45</v>
      </c>
      <c r="BA23" s="44" t="s">
        <v>46</v>
      </c>
      <c r="BB23" s="44" t="s">
        <v>47</v>
      </c>
      <c r="BC23" s="44" t="s">
        <v>48</v>
      </c>
      <c r="BD23" s="44" t="s">
        <v>37</v>
      </c>
      <c r="BE23" s="44" t="s">
        <v>38</v>
      </c>
      <c r="BF23" s="44" t="s">
        <v>39</v>
      </c>
      <c r="BG23" s="44" t="s">
        <v>40</v>
      </c>
      <c r="BH23" s="44" t="s">
        <v>41</v>
      </c>
      <c r="BI23" s="44" t="s">
        <v>42</v>
      </c>
      <c r="BJ23" s="44" t="s">
        <v>43</v>
      </c>
      <c r="BK23" s="44" t="s">
        <v>44</v>
      </c>
      <c r="BL23" s="44" t="s">
        <v>45</v>
      </c>
      <c r="BM23" s="44" t="s">
        <v>46</v>
      </c>
      <c r="BN23" s="44" t="s">
        <v>47</v>
      </c>
      <c r="BO23" s="44" t="s">
        <v>48</v>
      </c>
      <c r="BP23" s="44" t="s">
        <v>37</v>
      </c>
      <c r="BQ23" s="44" t="s">
        <v>38</v>
      </c>
      <c r="BR23" s="44" t="s">
        <v>39</v>
      </c>
      <c r="BS23" s="44" t="s">
        <v>40</v>
      </c>
      <c r="BT23" s="44" t="s">
        <v>41</v>
      </c>
      <c r="BU23" s="44" t="s">
        <v>42</v>
      </c>
      <c r="BV23" s="44" t="s">
        <v>43</v>
      </c>
      <c r="BW23" s="44" t="s">
        <v>44</v>
      </c>
      <c r="BX23" s="44" t="s">
        <v>45</v>
      </c>
      <c r="BY23" s="44" t="s">
        <v>46</v>
      </c>
      <c r="BZ23" s="44" t="s">
        <v>47</v>
      </c>
      <c r="CA23" s="44" t="s">
        <v>48</v>
      </c>
      <c r="CB23" s="44" t="s">
        <v>37</v>
      </c>
      <c r="CC23" s="44" t="s">
        <v>38</v>
      </c>
      <c r="CD23" s="44" t="s">
        <v>39</v>
      </c>
      <c r="CE23" s="44" t="s">
        <v>40</v>
      </c>
      <c r="CF23" s="44" t="s">
        <v>41</v>
      </c>
      <c r="CG23" s="44" t="s">
        <v>42</v>
      </c>
      <c r="CH23" s="44" t="s">
        <v>43</v>
      </c>
      <c r="CI23" s="44" t="s">
        <v>44</v>
      </c>
      <c r="CJ23" s="44" t="s">
        <v>45</v>
      </c>
      <c r="CK23" s="44" t="s">
        <v>46</v>
      </c>
      <c r="CL23" s="44" t="s">
        <v>47</v>
      </c>
      <c r="CM23" s="44" t="s">
        <v>48</v>
      </c>
      <c r="CN23" s="44" t="s">
        <v>37</v>
      </c>
      <c r="CO23" s="44" t="s">
        <v>38</v>
      </c>
      <c r="CP23" s="44" t="s">
        <v>39</v>
      </c>
      <c r="CQ23" s="44" t="s">
        <v>40</v>
      </c>
      <c r="CR23" s="44" t="s">
        <v>41</v>
      </c>
      <c r="CS23" s="44" t="s">
        <v>42</v>
      </c>
      <c r="CT23" s="44" t="s">
        <v>43</v>
      </c>
      <c r="CU23" s="44" t="s">
        <v>44</v>
      </c>
      <c r="CV23" s="44" t="s">
        <v>45</v>
      </c>
      <c r="CW23" s="44" t="s">
        <v>46</v>
      </c>
      <c r="CX23" s="44" t="s">
        <v>47</v>
      </c>
      <c r="CY23" s="44" t="s">
        <v>48</v>
      </c>
      <c r="CZ23" s="44" t="s">
        <v>37</v>
      </c>
      <c r="DA23" s="44" t="s">
        <v>38</v>
      </c>
      <c r="DB23" s="44" t="s">
        <v>39</v>
      </c>
      <c r="DC23" s="44" t="s">
        <v>40</v>
      </c>
      <c r="DD23" s="44" t="s">
        <v>41</v>
      </c>
      <c r="DE23" s="44" t="s">
        <v>42</v>
      </c>
      <c r="DF23" s="44" t="s">
        <v>43</v>
      </c>
      <c r="DG23" s="44" t="s">
        <v>44</v>
      </c>
      <c r="DH23" s="44" t="s">
        <v>45</v>
      </c>
      <c r="DI23" s="44" t="s">
        <v>46</v>
      </c>
      <c r="DJ23" s="44" t="s">
        <v>47</v>
      </c>
      <c r="DK23" s="44" t="s">
        <v>48</v>
      </c>
    </row>
    <row r="24" spans="1:120" ht="15.75" x14ac:dyDescent="0.2">
      <c r="A24" s="40" t="s">
        <v>61</v>
      </c>
      <c r="B24" s="33" t="s">
        <v>58</v>
      </c>
      <c r="C24" s="34">
        <f>167546/21</f>
        <v>7978.3809523809523</v>
      </c>
      <c r="D24" s="34">
        <f>226619/23</f>
        <v>9853</v>
      </c>
      <c r="E24" s="34">
        <f>342308/31</f>
        <v>11042.193548387097</v>
      </c>
      <c r="F24" s="34">
        <f>322466/30</f>
        <v>10748.866666666667</v>
      </c>
      <c r="G24" s="34">
        <f>316405/31</f>
        <v>10206.612903225807</v>
      </c>
      <c r="H24" s="34">
        <f>306165/30</f>
        <v>10205.5</v>
      </c>
      <c r="I24" s="34">
        <f>211877/21</f>
        <v>10089.380952380952</v>
      </c>
      <c r="J24" s="34">
        <f>294052/31</f>
        <v>9485.5483870967746</v>
      </c>
      <c r="K24" s="34">
        <f>282958/30</f>
        <v>9431.9333333333325</v>
      </c>
      <c r="L24" s="34">
        <f>274180/31</f>
        <v>8844.5161290322576</v>
      </c>
      <c r="M24" s="34">
        <f>206547/27</f>
        <v>7649.8888888888887</v>
      </c>
      <c r="N24" s="34">
        <f>248237/31</f>
        <v>8007.6451612903229</v>
      </c>
      <c r="O24" s="33"/>
      <c r="P24" s="33"/>
      <c r="Q24" s="33"/>
      <c r="T24" s="44">
        <v>31</v>
      </c>
      <c r="U24" s="44">
        <v>28</v>
      </c>
      <c r="V24" s="44">
        <v>31</v>
      </c>
      <c r="W24" s="44">
        <v>30</v>
      </c>
      <c r="X24" s="44">
        <v>31</v>
      </c>
      <c r="Y24" s="44">
        <v>30</v>
      </c>
      <c r="Z24" s="44">
        <v>31</v>
      </c>
      <c r="AA24" s="44">
        <v>31</v>
      </c>
      <c r="AB24" s="44">
        <v>30</v>
      </c>
      <c r="AC24" s="44">
        <v>31</v>
      </c>
      <c r="AD24" s="44">
        <v>30</v>
      </c>
      <c r="AE24" s="44">
        <v>31</v>
      </c>
      <c r="AF24" s="44">
        <v>31</v>
      </c>
      <c r="AG24" s="44">
        <v>28</v>
      </c>
      <c r="AH24" s="44">
        <v>31</v>
      </c>
      <c r="AI24" s="44">
        <v>30</v>
      </c>
      <c r="AJ24" s="44">
        <v>31</v>
      </c>
      <c r="AK24" s="44">
        <v>30</v>
      </c>
      <c r="AL24" s="44">
        <v>31</v>
      </c>
      <c r="AM24" s="44">
        <v>31</v>
      </c>
      <c r="AN24" s="44">
        <v>30</v>
      </c>
      <c r="AO24" s="44">
        <v>31</v>
      </c>
      <c r="AP24" s="44">
        <v>30</v>
      </c>
      <c r="AQ24" s="44">
        <v>31</v>
      </c>
      <c r="AR24" s="44">
        <v>31</v>
      </c>
      <c r="AS24" s="44">
        <v>28</v>
      </c>
      <c r="AT24" s="44">
        <v>31</v>
      </c>
      <c r="AU24" s="44">
        <v>30</v>
      </c>
      <c r="AV24" s="44">
        <v>31</v>
      </c>
      <c r="AW24" s="44">
        <v>30</v>
      </c>
      <c r="AX24" s="44">
        <v>31</v>
      </c>
      <c r="AY24" s="44">
        <v>31</v>
      </c>
      <c r="AZ24" s="44">
        <v>30</v>
      </c>
      <c r="BA24" s="44">
        <v>31</v>
      </c>
      <c r="BB24" s="44">
        <v>30</v>
      </c>
      <c r="BC24" s="44">
        <v>31</v>
      </c>
      <c r="BD24" s="44">
        <v>31</v>
      </c>
      <c r="BE24" s="44">
        <v>28</v>
      </c>
      <c r="BF24" s="44">
        <v>31</v>
      </c>
      <c r="BG24" s="44">
        <v>30</v>
      </c>
      <c r="BH24" s="44">
        <v>31</v>
      </c>
      <c r="BI24" s="44">
        <v>30</v>
      </c>
      <c r="BJ24" s="44">
        <v>31</v>
      </c>
      <c r="BK24" s="44">
        <v>31</v>
      </c>
      <c r="BL24" s="44">
        <v>30</v>
      </c>
      <c r="BM24" s="44">
        <v>31</v>
      </c>
      <c r="BN24" s="44">
        <v>30</v>
      </c>
      <c r="BO24" s="44">
        <v>31</v>
      </c>
      <c r="BP24" s="44">
        <v>31</v>
      </c>
      <c r="BQ24" s="44">
        <v>29</v>
      </c>
      <c r="BR24" s="44">
        <v>31</v>
      </c>
      <c r="BS24" s="44">
        <v>30</v>
      </c>
      <c r="BT24" s="44">
        <v>31</v>
      </c>
      <c r="BU24" s="44">
        <v>30</v>
      </c>
      <c r="BV24" s="44">
        <v>31</v>
      </c>
      <c r="BW24" s="44">
        <v>31</v>
      </c>
      <c r="BX24" s="44">
        <v>30</v>
      </c>
      <c r="BY24" s="44">
        <v>31</v>
      </c>
      <c r="BZ24" s="44">
        <v>30</v>
      </c>
      <c r="CA24" s="44">
        <v>31</v>
      </c>
      <c r="CB24" s="44">
        <v>31</v>
      </c>
      <c r="CC24" s="44">
        <v>28</v>
      </c>
      <c r="CD24" s="44">
        <v>31</v>
      </c>
      <c r="CE24" s="44">
        <v>30</v>
      </c>
      <c r="CF24" s="44">
        <v>31</v>
      </c>
      <c r="CG24" s="44">
        <v>30</v>
      </c>
      <c r="CH24" s="44">
        <v>31</v>
      </c>
      <c r="CI24" s="44">
        <v>31</v>
      </c>
      <c r="CJ24" s="44">
        <v>30</v>
      </c>
      <c r="CK24" s="44">
        <v>31</v>
      </c>
      <c r="CL24" s="44">
        <v>30</v>
      </c>
      <c r="CM24" s="44">
        <v>31</v>
      </c>
      <c r="CN24" s="44">
        <v>31</v>
      </c>
      <c r="CO24" s="44">
        <v>28</v>
      </c>
      <c r="CP24" s="44">
        <v>31</v>
      </c>
      <c r="CQ24" s="44">
        <v>30</v>
      </c>
      <c r="CR24" s="44">
        <v>31</v>
      </c>
      <c r="CS24" s="44">
        <v>30</v>
      </c>
      <c r="CT24" s="44">
        <v>31</v>
      </c>
      <c r="CU24" s="44">
        <v>31</v>
      </c>
      <c r="CV24" s="44">
        <v>30</v>
      </c>
      <c r="CW24" s="44">
        <v>31</v>
      </c>
      <c r="CX24" s="44">
        <v>30</v>
      </c>
      <c r="CY24" s="44">
        <v>31</v>
      </c>
      <c r="CZ24" s="44">
        <v>31</v>
      </c>
      <c r="DA24" s="44">
        <v>28</v>
      </c>
      <c r="DB24" s="44">
        <v>31</v>
      </c>
      <c r="DC24" s="44">
        <v>30</v>
      </c>
      <c r="DD24" s="44">
        <v>31</v>
      </c>
      <c r="DE24" s="44">
        <v>30</v>
      </c>
      <c r="DF24" s="44">
        <v>31</v>
      </c>
      <c r="DG24" s="44">
        <v>31</v>
      </c>
      <c r="DH24" s="44">
        <v>30</v>
      </c>
      <c r="DI24" s="44">
        <v>31</v>
      </c>
      <c r="DJ24" s="44">
        <v>30</v>
      </c>
      <c r="DK24" s="44">
        <v>31</v>
      </c>
    </row>
    <row r="25" spans="1:120" ht="15.75" x14ac:dyDescent="0.2">
      <c r="A25" s="40" t="s">
        <v>61</v>
      </c>
      <c r="B25" s="33" t="s">
        <v>51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3"/>
      <c r="P25" s="33"/>
      <c r="Q25" s="33"/>
      <c r="R25" s="40" t="s">
        <v>61</v>
      </c>
      <c r="S25" s="33" t="s">
        <v>58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40" t="s">
        <v>61</v>
      </c>
      <c r="BB25" s="33" t="s">
        <v>58</v>
      </c>
      <c r="BC25" s="34">
        <v>0</v>
      </c>
      <c r="BD25" s="34">
        <v>21</v>
      </c>
      <c r="BE25" s="34">
        <v>23</v>
      </c>
      <c r="BF25" s="34">
        <v>31</v>
      </c>
      <c r="BG25" s="34">
        <v>30</v>
      </c>
      <c r="BH25" s="34">
        <v>31</v>
      </c>
      <c r="BI25" s="34">
        <v>30</v>
      </c>
      <c r="BJ25" s="34">
        <v>21</v>
      </c>
      <c r="BK25" s="34">
        <v>31</v>
      </c>
      <c r="BL25" s="34">
        <v>30</v>
      </c>
      <c r="BM25" s="34">
        <v>31</v>
      </c>
      <c r="BN25" s="34">
        <v>27</v>
      </c>
      <c r="BO25" s="34">
        <v>31</v>
      </c>
      <c r="BP25" s="34">
        <v>31</v>
      </c>
      <c r="BQ25" s="34">
        <v>29</v>
      </c>
      <c r="BR25" s="34">
        <v>31</v>
      </c>
      <c r="BS25" s="34">
        <v>30</v>
      </c>
      <c r="BT25" s="34">
        <v>31</v>
      </c>
      <c r="BU25" s="34">
        <v>30</v>
      </c>
      <c r="BV25" s="34">
        <v>31</v>
      </c>
      <c r="BW25" s="34">
        <v>31</v>
      </c>
      <c r="BX25" s="34">
        <v>30</v>
      </c>
      <c r="BY25" s="34">
        <v>31</v>
      </c>
      <c r="BZ25" s="34">
        <v>28</v>
      </c>
      <c r="CA25" s="34">
        <v>31</v>
      </c>
      <c r="CB25" s="34">
        <v>31</v>
      </c>
      <c r="CC25" s="34">
        <v>28</v>
      </c>
      <c r="CD25" s="34">
        <v>31</v>
      </c>
      <c r="CE25" s="34">
        <v>30</v>
      </c>
      <c r="CF25" s="34">
        <v>31</v>
      </c>
      <c r="CG25" s="34">
        <v>30</v>
      </c>
      <c r="CH25" s="34">
        <v>31</v>
      </c>
      <c r="CI25" s="34">
        <v>31</v>
      </c>
      <c r="CJ25" s="34">
        <v>30</v>
      </c>
      <c r="CK25" s="34">
        <v>28</v>
      </c>
      <c r="CL25" s="34">
        <v>30</v>
      </c>
      <c r="CM25" s="34">
        <v>31</v>
      </c>
      <c r="CN25" s="34">
        <v>31</v>
      </c>
      <c r="CO25" s="34">
        <v>28</v>
      </c>
      <c r="CP25" s="34">
        <v>31</v>
      </c>
      <c r="CQ25" s="34">
        <v>30</v>
      </c>
      <c r="CR25" s="34">
        <v>31</v>
      </c>
      <c r="CS25" s="34">
        <v>30</v>
      </c>
      <c r="CT25" s="34">
        <v>31</v>
      </c>
      <c r="CU25" s="34">
        <v>31</v>
      </c>
      <c r="CV25" s="34">
        <v>30</v>
      </c>
      <c r="CW25" s="34">
        <v>31</v>
      </c>
      <c r="CX25" s="34">
        <v>29</v>
      </c>
      <c r="CY25" s="34">
        <v>31</v>
      </c>
      <c r="CZ25" s="34">
        <v>31</v>
      </c>
      <c r="DA25" s="34">
        <v>28</v>
      </c>
      <c r="DB25" s="34">
        <v>31</v>
      </c>
      <c r="DC25" s="34">
        <v>30</v>
      </c>
      <c r="DD25" s="34">
        <v>22</v>
      </c>
      <c r="DE25" s="34">
        <v>30</v>
      </c>
      <c r="DF25" s="34">
        <v>25</v>
      </c>
      <c r="DG25" s="34">
        <v>31</v>
      </c>
      <c r="DH25" s="34">
        <v>0</v>
      </c>
      <c r="DI25" s="34">
        <v>0</v>
      </c>
      <c r="DJ25" s="34">
        <v>0</v>
      </c>
      <c r="DK25" s="34">
        <v>0</v>
      </c>
    </row>
    <row r="26" spans="1:120" ht="15.75" x14ac:dyDescent="0.2">
      <c r="A26" s="40" t="s">
        <v>61</v>
      </c>
      <c r="B26" s="33" t="s">
        <v>52</v>
      </c>
      <c r="C26" s="34">
        <v>0</v>
      </c>
      <c r="D26" s="34">
        <f>97101/13</f>
        <v>7469.3076923076924</v>
      </c>
      <c r="E26" s="34">
        <f>284696/23</f>
        <v>12378.08695652174</v>
      </c>
      <c r="F26" s="34">
        <f>422643/30</f>
        <v>14088.1</v>
      </c>
      <c r="G26" s="34">
        <f>442928/31</f>
        <v>14288</v>
      </c>
      <c r="H26" s="34">
        <f>444336/30</f>
        <v>14811.2</v>
      </c>
      <c r="I26" s="34">
        <f>313940/23</f>
        <v>13649.565217391304</v>
      </c>
      <c r="J26" s="34">
        <f>441482/31</f>
        <v>14241.354838709678</v>
      </c>
      <c r="K26" s="34">
        <f>365570/30</f>
        <v>12185.666666666666</v>
      </c>
      <c r="L26" s="34">
        <f>433994/31</f>
        <v>13999.806451612903</v>
      </c>
      <c r="M26" s="34">
        <f>354347/27</f>
        <v>13123.962962962964</v>
      </c>
      <c r="N26" s="34">
        <f>471943/31</f>
        <v>15223.967741935483</v>
      </c>
      <c r="O26" s="33"/>
      <c r="P26" s="33"/>
      <c r="Q26" s="33"/>
      <c r="R26" s="40" t="s">
        <v>61</v>
      </c>
      <c r="S26" s="33" t="s">
        <v>51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40" t="s">
        <v>61</v>
      </c>
      <c r="BB26" s="33" t="s">
        <v>51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22</v>
      </c>
      <c r="BV26" s="34">
        <v>31</v>
      </c>
      <c r="BW26" s="34">
        <v>31</v>
      </c>
      <c r="BX26" s="34">
        <v>30</v>
      </c>
      <c r="BY26" s="34">
        <v>31</v>
      </c>
      <c r="BZ26" s="34">
        <v>29</v>
      </c>
      <c r="CA26" s="34">
        <v>31</v>
      </c>
      <c r="CB26" s="34">
        <v>31</v>
      </c>
      <c r="CC26" s="34">
        <v>28</v>
      </c>
      <c r="CD26" s="34">
        <v>31</v>
      </c>
      <c r="CE26" s="34">
        <v>30</v>
      </c>
      <c r="CF26" s="34">
        <v>31</v>
      </c>
      <c r="CG26" s="34">
        <v>30</v>
      </c>
      <c r="CH26" s="34">
        <v>29</v>
      </c>
      <c r="CI26" s="34">
        <v>31</v>
      </c>
      <c r="CJ26" s="34">
        <v>30</v>
      </c>
      <c r="CK26" s="34">
        <v>28</v>
      </c>
      <c r="CL26" s="34">
        <v>30</v>
      </c>
      <c r="CM26" s="34">
        <v>31</v>
      </c>
      <c r="CN26" s="34">
        <v>31</v>
      </c>
      <c r="CO26" s="34">
        <v>28</v>
      </c>
      <c r="CP26" s="34">
        <v>31</v>
      </c>
      <c r="CQ26" s="34">
        <v>30</v>
      </c>
      <c r="CR26" s="34">
        <v>31</v>
      </c>
      <c r="CS26" s="34">
        <v>30</v>
      </c>
      <c r="CT26" s="34">
        <v>31</v>
      </c>
      <c r="CU26" s="34">
        <v>31</v>
      </c>
      <c r="CV26" s="34">
        <v>30</v>
      </c>
      <c r="CW26" s="34">
        <v>31</v>
      </c>
      <c r="CX26" s="34">
        <v>29</v>
      </c>
      <c r="CY26" s="34">
        <v>31</v>
      </c>
      <c r="CZ26" s="34">
        <v>31</v>
      </c>
      <c r="DA26" s="34">
        <v>28</v>
      </c>
      <c r="DB26" s="34">
        <v>31</v>
      </c>
      <c r="DC26" s="34">
        <v>30</v>
      </c>
      <c r="DD26" s="34">
        <v>22</v>
      </c>
      <c r="DE26" s="34">
        <v>30</v>
      </c>
      <c r="DF26" s="34">
        <v>29</v>
      </c>
      <c r="DG26" s="34">
        <v>31</v>
      </c>
      <c r="DH26" s="34">
        <v>0</v>
      </c>
      <c r="DI26" s="34">
        <v>0</v>
      </c>
      <c r="DJ26" s="34">
        <v>0</v>
      </c>
      <c r="DK26" s="34">
        <v>0</v>
      </c>
    </row>
    <row r="27" spans="1:120" ht="15.75" x14ac:dyDescent="0.2">
      <c r="A27" s="40" t="s">
        <v>61</v>
      </c>
      <c r="B27" s="33" t="s">
        <v>53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f>0</f>
        <v>0</v>
      </c>
      <c r="M27" s="34">
        <v>0</v>
      </c>
      <c r="N27" s="34">
        <v>0</v>
      </c>
      <c r="O27" s="33"/>
      <c r="P27" s="33"/>
      <c r="Q27" s="33"/>
      <c r="R27" s="40" t="s">
        <v>61</v>
      </c>
      <c r="S27" s="33" t="s">
        <v>52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40" t="s">
        <v>61</v>
      </c>
      <c r="BB27" s="33" t="s">
        <v>52</v>
      </c>
      <c r="BC27" s="34">
        <v>0</v>
      </c>
      <c r="BD27" s="34">
        <v>0</v>
      </c>
      <c r="BE27" s="34">
        <v>13</v>
      </c>
      <c r="BF27" s="34">
        <v>23</v>
      </c>
      <c r="BG27" s="34">
        <v>30</v>
      </c>
      <c r="BH27" s="34">
        <v>31</v>
      </c>
      <c r="BI27" s="34">
        <v>30</v>
      </c>
      <c r="BJ27" s="34">
        <v>23</v>
      </c>
      <c r="BK27" s="34">
        <v>31</v>
      </c>
      <c r="BL27" s="34">
        <v>30</v>
      </c>
      <c r="BM27" s="34">
        <v>31</v>
      </c>
      <c r="BN27" s="34">
        <v>27</v>
      </c>
      <c r="BO27" s="34">
        <v>31</v>
      </c>
      <c r="BP27" s="34">
        <v>31</v>
      </c>
      <c r="BQ27" s="34">
        <v>29</v>
      </c>
      <c r="BR27" s="34">
        <v>31</v>
      </c>
      <c r="BS27" s="34">
        <v>30</v>
      </c>
      <c r="BT27" s="34">
        <v>31</v>
      </c>
      <c r="BU27" s="34">
        <v>30</v>
      </c>
      <c r="BV27" s="34">
        <v>31</v>
      </c>
      <c r="BW27" s="34">
        <v>31</v>
      </c>
      <c r="BX27" s="34">
        <v>30</v>
      </c>
      <c r="BY27" s="34">
        <v>31</v>
      </c>
      <c r="BZ27" s="34">
        <v>28</v>
      </c>
      <c r="CA27" s="34">
        <v>31</v>
      </c>
      <c r="CB27" s="34">
        <v>31</v>
      </c>
      <c r="CC27" s="34">
        <v>28</v>
      </c>
      <c r="CD27" s="34">
        <v>31</v>
      </c>
      <c r="CE27" s="34">
        <v>30</v>
      </c>
      <c r="CF27" s="34">
        <v>31</v>
      </c>
      <c r="CG27" s="34">
        <v>30</v>
      </c>
      <c r="CH27" s="34">
        <v>31</v>
      </c>
      <c r="CI27" s="34">
        <v>31</v>
      </c>
      <c r="CJ27" s="34">
        <v>30</v>
      </c>
      <c r="CK27" s="34">
        <v>28</v>
      </c>
      <c r="CL27" s="34">
        <v>30</v>
      </c>
      <c r="CM27" s="34">
        <v>31</v>
      </c>
      <c r="CN27" s="34">
        <v>31</v>
      </c>
      <c r="CO27" s="34">
        <v>28</v>
      </c>
      <c r="CP27" s="34">
        <v>31</v>
      </c>
      <c r="CQ27" s="34">
        <v>30</v>
      </c>
      <c r="CR27" s="34">
        <v>31</v>
      </c>
      <c r="CS27" s="34">
        <v>30</v>
      </c>
      <c r="CT27" s="34">
        <v>31</v>
      </c>
      <c r="CU27" s="34">
        <v>31</v>
      </c>
      <c r="CV27" s="34">
        <v>30</v>
      </c>
      <c r="CW27" s="34">
        <v>31</v>
      </c>
      <c r="CX27" s="34">
        <v>29</v>
      </c>
      <c r="CY27" s="34">
        <v>31</v>
      </c>
      <c r="CZ27" s="34">
        <v>31</v>
      </c>
      <c r="DA27" s="34">
        <v>28</v>
      </c>
      <c r="DB27" s="34">
        <v>31</v>
      </c>
      <c r="DC27" s="34">
        <v>30</v>
      </c>
      <c r="DD27" s="34">
        <v>22</v>
      </c>
      <c r="DE27" s="34">
        <v>30</v>
      </c>
      <c r="DF27" s="34">
        <v>30</v>
      </c>
      <c r="DG27" s="34">
        <v>31</v>
      </c>
      <c r="DH27" s="34">
        <v>0</v>
      </c>
      <c r="DI27" s="34">
        <v>0</v>
      </c>
      <c r="DJ27" s="34">
        <v>0</v>
      </c>
      <c r="DK27" s="34">
        <v>0</v>
      </c>
    </row>
    <row r="28" spans="1:120" ht="15.75" x14ac:dyDescent="0.2">
      <c r="A28" s="40" t="s">
        <v>61</v>
      </c>
      <c r="B28" s="33" t="s">
        <v>54</v>
      </c>
      <c r="C28" s="34">
        <f>328696/27</f>
        <v>12173.925925925925</v>
      </c>
      <c r="D28" s="34">
        <f>358981/28</f>
        <v>12820.75</v>
      </c>
      <c r="E28" s="34">
        <f>437497/31</f>
        <v>14112.806451612903</v>
      </c>
      <c r="F28" s="34">
        <f>430235/30</f>
        <v>14341.166666666666</v>
      </c>
      <c r="G28" s="34">
        <f>431993/31</f>
        <v>13935.258064516129</v>
      </c>
      <c r="H28" s="34">
        <f>435167/30</f>
        <v>14505.566666666668</v>
      </c>
      <c r="I28" s="34">
        <f>313590/23</f>
        <v>13634.347826086956</v>
      </c>
      <c r="J28" s="34">
        <f>438386/31</f>
        <v>14141.483870967742</v>
      </c>
      <c r="K28" s="34">
        <f>423677/31</f>
        <v>13667</v>
      </c>
      <c r="L28" s="34">
        <f>414785/31</f>
        <v>13380.161290322581</v>
      </c>
      <c r="M28" s="34">
        <f>341224/27</f>
        <v>12637.925925925925</v>
      </c>
      <c r="N28" s="34">
        <f>430739/31</f>
        <v>13894.806451612903</v>
      </c>
      <c r="O28" s="33"/>
      <c r="P28" s="33"/>
      <c r="Q28" s="33"/>
      <c r="R28" s="40" t="s">
        <v>61</v>
      </c>
      <c r="S28" s="33" t="s">
        <v>53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40" t="s">
        <v>61</v>
      </c>
      <c r="BB28" s="33" t="s">
        <v>53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f>0</f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4">
        <v>0</v>
      </c>
      <c r="BY28" s="34">
        <f>0</f>
        <v>0</v>
      </c>
      <c r="BZ28" s="34">
        <v>0</v>
      </c>
      <c r="CA28" s="34">
        <v>0</v>
      </c>
      <c r="CB28" s="34">
        <v>0</v>
      </c>
      <c r="CC28" s="34">
        <v>0</v>
      </c>
      <c r="CD28" s="34">
        <v>0</v>
      </c>
      <c r="CE28" s="34">
        <v>0</v>
      </c>
      <c r="CF28" s="34">
        <v>19</v>
      </c>
      <c r="CG28" s="34">
        <v>30</v>
      </c>
      <c r="CH28" s="34">
        <v>31</v>
      </c>
      <c r="CI28" s="34">
        <v>31</v>
      </c>
      <c r="CJ28" s="34">
        <v>30</v>
      </c>
      <c r="CK28" s="34">
        <v>28</v>
      </c>
      <c r="CL28" s="34">
        <v>30</v>
      </c>
      <c r="CM28" s="34">
        <v>31</v>
      </c>
      <c r="CN28" s="34">
        <v>31</v>
      </c>
      <c r="CO28" s="34">
        <v>28</v>
      </c>
      <c r="CP28" s="34">
        <v>31</v>
      </c>
      <c r="CQ28" s="34">
        <v>30</v>
      </c>
      <c r="CR28" s="34">
        <v>31</v>
      </c>
      <c r="CS28" s="34">
        <v>30</v>
      </c>
      <c r="CT28" s="34">
        <v>31</v>
      </c>
      <c r="CU28" s="34">
        <v>31</v>
      </c>
      <c r="CV28" s="34">
        <v>30</v>
      </c>
      <c r="CW28" s="34">
        <v>31</v>
      </c>
      <c r="CX28" s="34">
        <v>29</v>
      </c>
      <c r="CY28" s="34">
        <v>31</v>
      </c>
      <c r="CZ28" s="34">
        <v>31</v>
      </c>
      <c r="DA28" s="34">
        <v>28</v>
      </c>
      <c r="DB28" s="34">
        <v>31</v>
      </c>
      <c r="DC28" s="34">
        <v>30</v>
      </c>
      <c r="DD28" s="34">
        <v>22</v>
      </c>
      <c r="DE28" s="34">
        <v>30</v>
      </c>
      <c r="DF28" s="34">
        <v>29</v>
      </c>
      <c r="DG28" s="34">
        <v>31</v>
      </c>
      <c r="DH28" s="34">
        <v>0</v>
      </c>
      <c r="DI28" s="34">
        <v>0</v>
      </c>
      <c r="DJ28" s="34">
        <v>0</v>
      </c>
      <c r="DK28" s="34">
        <v>0</v>
      </c>
    </row>
    <row r="29" spans="1:120" ht="15.75" x14ac:dyDescent="0.2">
      <c r="A29" s="40" t="s">
        <v>61</v>
      </c>
      <c r="B29" s="33" t="s">
        <v>55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3"/>
      <c r="P29" s="33"/>
      <c r="Q29" s="33"/>
      <c r="R29" s="40" t="s">
        <v>61</v>
      </c>
      <c r="S29" s="33" t="s">
        <v>54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40" t="s">
        <v>61</v>
      </c>
      <c r="BB29" s="33" t="s">
        <v>54</v>
      </c>
      <c r="BC29" s="34">
        <v>28</v>
      </c>
      <c r="BD29" s="34">
        <v>27</v>
      </c>
      <c r="BE29" s="34">
        <v>28</v>
      </c>
      <c r="BF29" s="34">
        <v>31</v>
      </c>
      <c r="BG29" s="34">
        <v>30</v>
      </c>
      <c r="BH29" s="34">
        <v>31</v>
      </c>
      <c r="BI29" s="34">
        <v>30</v>
      </c>
      <c r="BJ29" s="34">
        <v>23</v>
      </c>
      <c r="BK29" s="34">
        <v>31</v>
      </c>
      <c r="BL29" s="34">
        <v>30</v>
      </c>
      <c r="BM29" s="34">
        <v>31</v>
      </c>
      <c r="BN29" s="34">
        <v>27</v>
      </c>
      <c r="BO29" s="34">
        <v>31</v>
      </c>
      <c r="BP29" s="34">
        <v>31</v>
      </c>
      <c r="BQ29" s="34">
        <v>29</v>
      </c>
      <c r="BR29" s="34">
        <v>31</v>
      </c>
      <c r="BS29" s="34">
        <v>30</v>
      </c>
      <c r="BT29" s="34">
        <v>31</v>
      </c>
      <c r="BU29" s="34">
        <v>30</v>
      </c>
      <c r="BV29" s="34">
        <v>31</v>
      </c>
      <c r="BW29" s="34">
        <v>28</v>
      </c>
      <c r="BX29" s="34">
        <v>30</v>
      </c>
      <c r="BY29" s="34">
        <v>31</v>
      </c>
      <c r="BZ29" s="34">
        <v>29</v>
      </c>
      <c r="CA29" s="34">
        <v>31</v>
      </c>
      <c r="CB29" s="34">
        <v>31</v>
      </c>
      <c r="CC29" s="34">
        <v>28</v>
      </c>
      <c r="CD29" s="34">
        <v>31</v>
      </c>
      <c r="CE29" s="34">
        <v>30</v>
      </c>
      <c r="CF29" s="34">
        <v>31</v>
      </c>
      <c r="CG29" s="34">
        <v>30</v>
      </c>
      <c r="CH29" s="34">
        <v>31</v>
      </c>
      <c r="CI29" s="34">
        <v>31</v>
      </c>
      <c r="CJ29" s="34">
        <v>30</v>
      </c>
      <c r="CK29" s="34">
        <v>28</v>
      </c>
      <c r="CL29" s="34">
        <v>30</v>
      </c>
      <c r="CM29" s="34">
        <v>31</v>
      </c>
      <c r="CN29" s="34">
        <v>31</v>
      </c>
      <c r="CO29" s="34">
        <v>28</v>
      </c>
      <c r="CP29" s="34">
        <v>31</v>
      </c>
      <c r="CQ29" s="34">
        <v>30</v>
      </c>
      <c r="CR29" s="34">
        <v>31</v>
      </c>
      <c r="CS29" s="34">
        <v>27</v>
      </c>
      <c r="CT29" s="34">
        <v>31</v>
      </c>
      <c r="CU29" s="34">
        <v>31</v>
      </c>
      <c r="CV29" s="34">
        <v>30</v>
      </c>
      <c r="CW29" s="34">
        <v>31</v>
      </c>
      <c r="CX29" s="34">
        <v>29</v>
      </c>
      <c r="CY29" s="34">
        <v>31</v>
      </c>
      <c r="CZ29" s="34">
        <v>31</v>
      </c>
      <c r="DA29" s="34">
        <v>28</v>
      </c>
      <c r="DB29" s="34">
        <v>31</v>
      </c>
      <c r="DC29" s="34">
        <v>30</v>
      </c>
      <c r="DD29" s="34">
        <v>22</v>
      </c>
      <c r="DE29" s="34">
        <v>30</v>
      </c>
      <c r="DF29" s="34">
        <v>30</v>
      </c>
      <c r="DG29" s="34">
        <v>31</v>
      </c>
      <c r="DH29" s="34">
        <v>0</v>
      </c>
      <c r="DI29" s="34">
        <v>0</v>
      </c>
      <c r="DJ29" s="34">
        <v>0</v>
      </c>
      <c r="DK29" s="34">
        <v>0</v>
      </c>
    </row>
    <row r="30" spans="1:120" ht="15.75" x14ac:dyDescent="0.2">
      <c r="A30" s="40" t="s">
        <v>61</v>
      </c>
      <c r="B30" s="33" t="s">
        <v>56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3"/>
      <c r="P30" s="33"/>
      <c r="Q30" s="33"/>
      <c r="R30" s="40" t="s">
        <v>61</v>
      </c>
      <c r="S30" s="33" t="s">
        <v>55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40" t="s">
        <v>61</v>
      </c>
      <c r="BB30" s="33" t="s">
        <v>55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15</v>
      </c>
      <c r="BT30" s="34">
        <v>30</v>
      </c>
      <c r="BU30" s="34">
        <v>30</v>
      </c>
      <c r="BV30" s="34">
        <v>31</v>
      </c>
      <c r="BW30" s="34">
        <v>31</v>
      </c>
      <c r="BX30" s="34">
        <v>30</v>
      </c>
      <c r="BY30" s="34">
        <v>31</v>
      </c>
      <c r="BZ30" s="34">
        <v>29</v>
      </c>
      <c r="CA30" s="34">
        <v>31</v>
      </c>
      <c r="CB30" s="34">
        <v>31</v>
      </c>
      <c r="CC30" s="34">
        <v>28</v>
      </c>
      <c r="CD30" s="34">
        <v>31</v>
      </c>
      <c r="CE30" s="34">
        <v>30</v>
      </c>
      <c r="CF30" s="34">
        <v>31</v>
      </c>
      <c r="CG30" s="34">
        <v>30</v>
      </c>
      <c r="CH30" s="34">
        <v>31</v>
      </c>
      <c r="CI30" s="34">
        <v>31</v>
      </c>
      <c r="CJ30" s="34">
        <v>30</v>
      </c>
      <c r="CK30" s="34">
        <v>28</v>
      </c>
      <c r="CL30" s="34">
        <v>30</v>
      </c>
      <c r="CM30" s="34">
        <v>31</v>
      </c>
      <c r="CN30" s="34">
        <v>31</v>
      </c>
      <c r="CO30" s="34">
        <v>28</v>
      </c>
      <c r="CP30" s="34">
        <v>31</v>
      </c>
      <c r="CQ30" s="34">
        <v>30</v>
      </c>
      <c r="CR30" s="34">
        <v>31</v>
      </c>
      <c r="CS30" s="34">
        <v>30</v>
      </c>
      <c r="CT30" s="34">
        <v>31</v>
      </c>
      <c r="CU30" s="34">
        <v>31</v>
      </c>
      <c r="CV30" s="34">
        <v>30</v>
      </c>
      <c r="CW30" s="34">
        <v>31</v>
      </c>
      <c r="CX30" s="34">
        <v>29</v>
      </c>
      <c r="CY30" s="34">
        <v>31</v>
      </c>
      <c r="CZ30" s="34">
        <v>31</v>
      </c>
      <c r="DA30" s="34">
        <v>28</v>
      </c>
      <c r="DB30" s="34">
        <v>31</v>
      </c>
      <c r="DC30" s="34">
        <v>30</v>
      </c>
      <c r="DD30" s="34">
        <v>22</v>
      </c>
      <c r="DE30" s="34">
        <v>30</v>
      </c>
      <c r="DF30" s="34">
        <v>29</v>
      </c>
      <c r="DG30" s="34">
        <v>31</v>
      </c>
      <c r="DH30" s="34">
        <v>0</v>
      </c>
      <c r="DI30" s="34">
        <v>0</v>
      </c>
      <c r="DJ30" s="34">
        <v>0</v>
      </c>
      <c r="DK30" s="34">
        <v>0</v>
      </c>
    </row>
    <row r="31" spans="1:120" ht="15.75" x14ac:dyDescent="0.2">
      <c r="A31" s="40" t="s">
        <v>61</v>
      </c>
      <c r="B31" s="33" t="s">
        <v>63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3"/>
      <c r="P31" s="33"/>
      <c r="Q31" s="33"/>
      <c r="R31" s="40" t="s">
        <v>61</v>
      </c>
      <c r="S31" s="33" t="s">
        <v>56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40" t="s">
        <v>61</v>
      </c>
      <c r="BB31" s="33" t="s">
        <v>56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4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4">
        <v>0</v>
      </c>
      <c r="CE31" s="34">
        <v>0</v>
      </c>
      <c r="CF31" s="34">
        <v>0</v>
      </c>
      <c r="CG31" s="34">
        <v>0</v>
      </c>
      <c r="CH31" s="34">
        <v>0</v>
      </c>
      <c r="CI31" s="34">
        <v>0</v>
      </c>
      <c r="CJ31" s="34">
        <v>0</v>
      </c>
      <c r="CK31" s="34">
        <v>0</v>
      </c>
      <c r="CL31" s="34">
        <v>0</v>
      </c>
      <c r="CM31" s="34">
        <v>0</v>
      </c>
      <c r="CN31" s="34">
        <v>29</v>
      </c>
      <c r="CO31" s="34">
        <v>28</v>
      </c>
      <c r="CP31" s="34">
        <v>31</v>
      </c>
      <c r="CQ31" s="34">
        <v>30</v>
      </c>
      <c r="CR31" s="34">
        <v>31</v>
      </c>
      <c r="CS31" s="34">
        <v>30</v>
      </c>
      <c r="CT31" s="34">
        <v>31</v>
      </c>
      <c r="CU31" s="34">
        <v>31</v>
      </c>
      <c r="CV31" s="34">
        <v>30</v>
      </c>
      <c r="CW31" s="34">
        <v>31</v>
      </c>
      <c r="CX31" s="34">
        <v>29</v>
      </c>
      <c r="CY31" s="34">
        <v>31</v>
      </c>
      <c r="CZ31" s="34">
        <v>31</v>
      </c>
      <c r="DA31" s="34">
        <v>28</v>
      </c>
      <c r="DB31" s="34">
        <v>31</v>
      </c>
      <c r="DC31" s="34">
        <v>30</v>
      </c>
      <c r="DD31" s="34">
        <v>22</v>
      </c>
      <c r="DE31" s="34">
        <v>30</v>
      </c>
      <c r="DF31" s="34">
        <v>29</v>
      </c>
      <c r="DG31" s="34">
        <v>31</v>
      </c>
      <c r="DH31" s="34">
        <v>0</v>
      </c>
      <c r="DI31" s="34">
        <v>0</v>
      </c>
      <c r="DJ31" s="34">
        <v>0</v>
      </c>
      <c r="DK31" s="34">
        <v>0</v>
      </c>
    </row>
    <row r="32" spans="1:120" ht="15.75" x14ac:dyDescent="0.2">
      <c r="A32" s="40" t="s">
        <v>61</v>
      </c>
      <c r="B32" s="33" t="s">
        <v>57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3"/>
      <c r="P32" s="33"/>
      <c r="Q32" s="33"/>
      <c r="R32" s="40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40" t="s">
        <v>61</v>
      </c>
      <c r="BB32" s="33" t="s">
        <v>63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5</v>
      </c>
      <c r="BX32" s="34">
        <v>30</v>
      </c>
      <c r="BY32" s="34">
        <v>31</v>
      </c>
      <c r="BZ32" s="34">
        <v>29</v>
      </c>
      <c r="CA32" s="34">
        <v>31</v>
      </c>
      <c r="CB32" s="34">
        <v>31</v>
      </c>
      <c r="CC32" s="34">
        <v>28</v>
      </c>
      <c r="CD32" s="34">
        <v>31</v>
      </c>
      <c r="CE32" s="34">
        <v>30</v>
      </c>
      <c r="CF32" s="34">
        <v>31</v>
      </c>
      <c r="CG32" s="34">
        <v>30</v>
      </c>
      <c r="CH32" s="34">
        <v>31</v>
      </c>
      <c r="CI32" s="34">
        <v>31</v>
      </c>
      <c r="CJ32" s="34">
        <v>30</v>
      </c>
      <c r="CK32" s="34">
        <v>28</v>
      </c>
      <c r="CL32" s="34">
        <v>30</v>
      </c>
      <c r="CM32" s="34">
        <v>31</v>
      </c>
      <c r="CN32" s="34">
        <v>31</v>
      </c>
      <c r="CO32" s="34">
        <v>28</v>
      </c>
      <c r="CP32" s="34">
        <v>31</v>
      </c>
      <c r="CQ32" s="34">
        <v>30</v>
      </c>
      <c r="CR32" s="34">
        <v>31</v>
      </c>
      <c r="CS32" s="34">
        <v>30</v>
      </c>
      <c r="CT32" s="34">
        <v>31</v>
      </c>
      <c r="CU32" s="34">
        <v>31</v>
      </c>
      <c r="CV32" s="34">
        <v>30</v>
      </c>
      <c r="CW32" s="34">
        <v>31</v>
      </c>
      <c r="CX32" s="34">
        <v>29</v>
      </c>
      <c r="CY32" s="34">
        <v>31</v>
      </c>
      <c r="CZ32" s="34">
        <v>31</v>
      </c>
      <c r="DA32" s="34">
        <v>28</v>
      </c>
      <c r="DB32" s="34">
        <v>31</v>
      </c>
      <c r="DC32" s="34">
        <v>30</v>
      </c>
      <c r="DD32" s="34">
        <v>22</v>
      </c>
      <c r="DE32" s="34">
        <v>30</v>
      </c>
      <c r="DF32" s="34">
        <v>29</v>
      </c>
      <c r="DG32" s="34">
        <v>31</v>
      </c>
      <c r="DH32" s="34"/>
      <c r="DI32" s="34"/>
      <c r="DJ32" s="34"/>
      <c r="DK32" s="34"/>
    </row>
    <row r="33" spans="1:120" ht="15.75" x14ac:dyDescent="0.2">
      <c r="A33" s="40" t="s">
        <v>60</v>
      </c>
      <c r="B33" s="33" t="s">
        <v>52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/>
      <c r="O33" s="33"/>
      <c r="P33" s="33"/>
      <c r="Q33" s="33"/>
      <c r="R33" s="40" t="s">
        <v>61</v>
      </c>
      <c r="S33" s="33" t="s">
        <v>57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40" t="s">
        <v>61</v>
      </c>
      <c r="BB33" s="33" t="s">
        <v>57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34">
        <v>0</v>
      </c>
      <c r="CM33" s="34">
        <v>0</v>
      </c>
      <c r="CN33" s="34">
        <v>0</v>
      </c>
      <c r="CO33" s="34">
        <v>0</v>
      </c>
      <c r="CP33" s="34">
        <v>0</v>
      </c>
      <c r="CQ33" s="34">
        <v>0</v>
      </c>
      <c r="CR33" s="34">
        <v>0</v>
      </c>
      <c r="CS33" s="34">
        <v>6</v>
      </c>
      <c r="CT33" s="34">
        <v>31</v>
      </c>
      <c r="CU33" s="34">
        <v>31</v>
      </c>
      <c r="CV33" s="34">
        <v>30</v>
      </c>
      <c r="CW33" s="34">
        <v>31</v>
      </c>
      <c r="CX33" s="34">
        <v>29</v>
      </c>
      <c r="CY33" s="34">
        <v>31</v>
      </c>
      <c r="CZ33" s="34">
        <v>31</v>
      </c>
      <c r="DA33" s="34">
        <v>28</v>
      </c>
      <c r="DB33" s="34">
        <v>31</v>
      </c>
      <c r="DC33" s="34">
        <v>30</v>
      </c>
      <c r="DD33" s="34">
        <v>22</v>
      </c>
      <c r="DE33" s="34">
        <v>30</v>
      </c>
      <c r="DF33" s="34">
        <v>29</v>
      </c>
      <c r="DG33" s="34">
        <v>31</v>
      </c>
      <c r="DH33" s="34">
        <v>0</v>
      </c>
      <c r="DI33" s="34">
        <v>0</v>
      </c>
      <c r="DJ33" s="34"/>
      <c r="DK33" s="34"/>
    </row>
    <row r="34" spans="1:120" ht="15.75" x14ac:dyDescent="0.2">
      <c r="A34" s="40" t="s">
        <v>60</v>
      </c>
      <c r="B34" s="33" t="s">
        <v>53</v>
      </c>
      <c r="C34" s="34">
        <f>278790/24</f>
        <v>11616.25</v>
      </c>
      <c r="D34" s="34">
        <f>363979/28</f>
        <v>12999.25</v>
      </c>
      <c r="E34" s="34">
        <f>438559/31</f>
        <v>14147.064516129032</v>
      </c>
      <c r="F34" s="34">
        <f>403962/30</f>
        <v>13465.4</v>
      </c>
      <c r="G34" s="34">
        <f>365886/29</f>
        <v>12616.758620689656</v>
      </c>
      <c r="H34" s="34">
        <f>401494/30</f>
        <v>13383.133333333333</v>
      </c>
      <c r="I34" s="34">
        <f>282952/23</f>
        <v>12302.260869565218</v>
      </c>
      <c r="J34" s="34">
        <f>393087/31</f>
        <v>12680.225806451614</v>
      </c>
      <c r="K34" s="34">
        <f>342401/30</f>
        <v>11413.366666666667</v>
      </c>
      <c r="L34" s="34">
        <f>330324/31</f>
        <v>10655.612903225807</v>
      </c>
      <c r="M34" s="34">
        <f>291627/29</f>
        <v>10056.103448275862</v>
      </c>
      <c r="N34" s="34">
        <f>328285/31</f>
        <v>10589.838709677419</v>
      </c>
      <c r="O34" s="33"/>
      <c r="P34" s="33"/>
      <c r="Q34" s="33"/>
      <c r="R34" s="40" t="s">
        <v>60</v>
      </c>
      <c r="S34" s="33" t="s">
        <v>52</v>
      </c>
      <c r="T34" s="34"/>
      <c r="U34" s="34"/>
      <c r="V34" s="34"/>
      <c r="W34" s="34"/>
      <c r="X34" s="34"/>
      <c r="Y34" s="34"/>
      <c r="Z34" s="34">
        <v>0</v>
      </c>
      <c r="AA34" s="34">
        <v>0</v>
      </c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40" t="s">
        <v>60</v>
      </c>
      <c r="BB34" s="33" t="s">
        <v>52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/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/>
      <c r="CB34" s="34">
        <v>15</v>
      </c>
      <c r="CC34" s="34">
        <v>1</v>
      </c>
      <c r="CD34" s="34">
        <v>28</v>
      </c>
      <c r="CE34" s="34">
        <v>30</v>
      </c>
      <c r="CF34" s="34">
        <v>31</v>
      </c>
      <c r="CG34" s="34">
        <v>30</v>
      </c>
      <c r="CH34" s="34">
        <v>31</v>
      </c>
      <c r="CI34" s="34">
        <v>12</v>
      </c>
      <c r="CJ34" s="34">
        <v>0</v>
      </c>
      <c r="CK34" s="34">
        <v>0</v>
      </c>
      <c r="CL34" s="34">
        <v>0</v>
      </c>
      <c r="CM34" s="34"/>
      <c r="CN34" s="34">
        <v>0</v>
      </c>
      <c r="CO34" s="34">
        <v>0</v>
      </c>
      <c r="CP34" s="34">
        <v>0</v>
      </c>
      <c r="CQ34" s="34">
        <v>0</v>
      </c>
      <c r="CR34" s="34">
        <v>0</v>
      </c>
      <c r="CS34" s="34">
        <v>0</v>
      </c>
      <c r="CT34" s="34">
        <v>0</v>
      </c>
      <c r="CU34" s="34">
        <v>0</v>
      </c>
      <c r="CV34" s="34"/>
      <c r="CW34" s="34"/>
      <c r="CX34" s="34"/>
      <c r="CY34" s="34"/>
      <c r="CZ34" s="34">
        <v>0</v>
      </c>
      <c r="DA34" s="34">
        <v>0</v>
      </c>
      <c r="DB34" s="34">
        <v>0</v>
      </c>
      <c r="DC34" s="34">
        <v>0</v>
      </c>
      <c r="DD34" s="34">
        <v>0</v>
      </c>
      <c r="DE34" s="34">
        <v>0</v>
      </c>
      <c r="DF34" s="34">
        <v>0</v>
      </c>
      <c r="DG34" s="34">
        <v>0</v>
      </c>
      <c r="DH34" s="34"/>
      <c r="DI34" s="34"/>
      <c r="DJ34" s="34"/>
      <c r="DK34" s="34"/>
    </row>
    <row r="35" spans="1:120" ht="15.75" x14ac:dyDescent="0.2">
      <c r="A35" s="40" t="s">
        <v>60</v>
      </c>
      <c r="B35" s="33" t="s">
        <v>55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f>158445/17</f>
        <v>9320.2941176470595</v>
      </c>
      <c r="J35" s="34">
        <f>387712/31</f>
        <v>12506.838709677419</v>
      </c>
      <c r="K35" s="34">
        <f>377361/30</f>
        <v>12578.7</v>
      </c>
      <c r="L35" s="34">
        <f>388369/31</f>
        <v>12528.032258064517</v>
      </c>
      <c r="M35" s="34">
        <f>356583/29</f>
        <v>12295.965517241379</v>
      </c>
      <c r="N35" s="34">
        <f>401451/31</f>
        <v>12950.032258064517</v>
      </c>
      <c r="O35" s="33"/>
      <c r="P35" s="33"/>
      <c r="Q35" s="33"/>
      <c r="R35" s="40" t="s">
        <v>60</v>
      </c>
      <c r="S35" s="33" t="s">
        <v>53</v>
      </c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40" t="s">
        <v>60</v>
      </c>
      <c r="BB35" s="33" t="s">
        <v>53</v>
      </c>
      <c r="BC35" s="34">
        <v>25</v>
      </c>
      <c r="BD35" s="34">
        <v>24</v>
      </c>
      <c r="BE35" s="34">
        <v>28</v>
      </c>
      <c r="BF35" s="34">
        <v>31</v>
      </c>
      <c r="BG35" s="34">
        <v>30</v>
      </c>
      <c r="BH35" s="34">
        <v>29</v>
      </c>
      <c r="BI35" s="34">
        <v>30</v>
      </c>
      <c r="BJ35" s="34">
        <v>23</v>
      </c>
      <c r="BK35" s="34">
        <v>31</v>
      </c>
      <c r="BL35" s="34">
        <v>30</v>
      </c>
      <c r="BM35" s="34">
        <v>31</v>
      </c>
      <c r="BN35" s="34">
        <v>29</v>
      </c>
      <c r="BO35" s="34">
        <v>31</v>
      </c>
      <c r="BP35" s="34">
        <v>31</v>
      </c>
      <c r="BQ35" s="34">
        <v>29</v>
      </c>
      <c r="BR35" s="34">
        <v>31</v>
      </c>
      <c r="BS35" s="34">
        <v>30</v>
      </c>
      <c r="BT35" s="34">
        <v>25</v>
      </c>
      <c r="BU35" s="34">
        <v>30</v>
      </c>
      <c r="BV35" s="34">
        <v>31</v>
      </c>
      <c r="BW35" s="34">
        <v>31</v>
      </c>
      <c r="BX35" s="34">
        <v>30</v>
      </c>
      <c r="BY35" s="34">
        <v>31</v>
      </c>
      <c r="BZ35" s="34">
        <v>30</v>
      </c>
      <c r="CA35" s="34">
        <v>31</v>
      </c>
      <c r="CB35" s="34">
        <v>31</v>
      </c>
      <c r="CC35" s="34">
        <v>28</v>
      </c>
      <c r="CD35" s="34">
        <v>31</v>
      </c>
      <c r="CE35" s="34">
        <v>30</v>
      </c>
      <c r="CF35" s="34">
        <v>31</v>
      </c>
      <c r="CG35" s="34">
        <v>30</v>
      </c>
      <c r="CH35" s="34">
        <v>31</v>
      </c>
      <c r="CI35" s="34">
        <v>29</v>
      </c>
      <c r="CJ35" s="34">
        <v>30</v>
      </c>
      <c r="CK35" s="34">
        <v>28</v>
      </c>
      <c r="CL35" s="34">
        <v>30</v>
      </c>
      <c r="CM35" s="34">
        <v>31</v>
      </c>
      <c r="CN35" s="34">
        <v>31</v>
      </c>
      <c r="CO35" s="34">
        <v>28</v>
      </c>
      <c r="CP35" s="34">
        <v>31</v>
      </c>
      <c r="CQ35" s="34">
        <v>30</v>
      </c>
      <c r="CR35" s="34">
        <v>31</v>
      </c>
      <c r="CS35" s="34">
        <v>30</v>
      </c>
      <c r="CT35" s="34">
        <v>31</v>
      </c>
      <c r="CU35" s="34">
        <v>31</v>
      </c>
      <c r="CV35" s="34">
        <v>30</v>
      </c>
      <c r="CW35" s="34">
        <v>31</v>
      </c>
      <c r="CX35" s="34">
        <v>30</v>
      </c>
      <c r="CY35" s="34">
        <v>30</v>
      </c>
      <c r="CZ35" s="34">
        <v>31</v>
      </c>
      <c r="DA35" s="34">
        <v>28</v>
      </c>
      <c r="DB35" s="34">
        <v>31</v>
      </c>
      <c r="DC35" s="34">
        <v>30</v>
      </c>
      <c r="DD35" s="34">
        <v>22</v>
      </c>
      <c r="DE35" s="34">
        <v>30</v>
      </c>
      <c r="DF35" s="34">
        <v>29</v>
      </c>
      <c r="DG35" s="34">
        <v>0</v>
      </c>
      <c r="DH35" s="34"/>
      <c r="DI35" s="34"/>
      <c r="DJ35" s="34"/>
      <c r="DK35" s="34"/>
    </row>
    <row r="36" spans="1:120" ht="15.75" x14ac:dyDescent="0.2">
      <c r="A36" s="40" t="s">
        <v>60</v>
      </c>
      <c r="B36" s="33" t="s">
        <v>56</v>
      </c>
      <c r="C36" s="34">
        <f>1747/2</f>
        <v>873.5</v>
      </c>
      <c r="D36" s="34">
        <f>33954/5</f>
        <v>6790.8</v>
      </c>
      <c r="E36" s="34">
        <v>0</v>
      </c>
      <c r="F36" s="34">
        <f>179328/18</f>
        <v>9962.6666666666661</v>
      </c>
      <c r="G36" s="34">
        <f>358353/29</f>
        <v>12357</v>
      </c>
      <c r="H36" s="34">
        <f>367425/30</f>
        <v>12247.5</v>
      </c>
      <c r="I36" s="34">
        <f>252233/23</f>
        <v>10966.652173913044</v>
      </c>
      <c r="J36" s="34">
        <f>345403/31</f>
        <v>11142.032258064517</v>
      </c>
      <c r="K36" s="34">
        <f>331854/30</f>
        <v>11061.8</v>
      </c>
      <c r="L36" s="34">
        <f>324531/31</f>
        <v>10468.741935483871</v>
      </c>
      <c r="M36" s="34">
        <f>281479/29</f>
        <v>9706.1724137931033</v>
      </c>
      <c r="N36" s="34">
        <f>328941/31</f>
        <v>10611</v>
      </c>
      <c r="O36" s="33"/>
      <c r="P36" s="33"/>
      <c r="Q36" s="33"/>
      <c r="R36" s="40" t="s">
        <v>60</v>
      </c>
      <c r="S36" s="33" t="s">
        <v>55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40" t="s">
        <v>60</v>
      </c>
      <c r="BB36" s="33" t="s">
        <v>55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17</v>
      </c>
      <c r="BK36" s="34">
        <v>31</v>
      </c>
      <c r="BL36" s="34">
        <v>30</v>
      </c>
      <c r="BM36" s="34">
        <v>31</v>
      </c>
      <c r="BN36" s="34">
        <v>29</v>
      </c>
      <c r="BO36" s="34">
        <v>31</v>
      </c>
      <c r="BP36" s="34">
        <v>31</v>
      </c>
      <c r="BQ36" s="34">
        <v>29</v>
      </c>
      <c r="BR36" s="34">
        <v>31</v>
      </c>
      <c r="BS36" s="34">
        <v>30</v>
      </c>
      <c r="BT36" s="34">
        <v>25</v>
      </c>
      <c r="BU36" s="34">
        <v>30</v>
      </c>
      <c r="BV36" s="34">
        <v>31</v>
      </c>
      <c r="BW36" s="34">
        <v>31</v>
      </c>
      <c r="BX36" s="34">
        <v>30</v>
      </c>
      <c r="BY36" s="34">
        <v>31</v>
      </c>
      <c r="BZ36" s="34">
        <v>30</v>
      </c>
      <c r="CA36" s="34">
        <v>31</v>
      </c>
      <c r="CB36" s="34">
        <v>31</v>
      </c>
      <c r="CC36" s="34">
        <v>28</v>
      </c>
      <c r="CD36" s="34">
        <v>31</v>
      </c>
      <c r="CE36" s="34">
        <v>30</v>
      </c>
      <c r="CF36" s="34">
        <v>31</v>
      </c>
      <c r="CG36" s="34">
        <v>30</v>
      </c>
      <c r="CH36" s="34">
        <v>29</v>
      </c>
      <c r="CI36" s="34">
        <v>5</v>
      </c>
      <c r="CJ36" s="34">
        <v>10</v>
      </c>
      <c r="CK36" s="34">
        <v>12</v>
      </c>
      <c r="CL36" s="34">
        <v>14</v>
      </c>
      <c r="CM36" s="34">
        <v>31</v>
      </c>
      <c r="CN36" s="34">
        <v>31</v>
      </c>
      <c r="CO36" s="34">
        <v>28</v>
      </c>
      <c r="CP36" s="34">
        <v>31</v>
      </c>
      <c r="CQ36" s="34">
        <v>30</v>
      </c>
      <c r="CR36" s="34">
        <v>31</v>
      </c>
      <c r="CS36" s="34">
        <v>30</v>
      </c>
      <c r="CT36" s="34">
        <v>31</v>
      </c>
      <c r="CU36" s="34">
        <v>31</v>
      </c>
      <c r="CV36" s="34">
        <v>30</v>
      </c>
      <c r="CW36" s="34">
        <v>31</v>
      </c>
      <c r="CX36" s="34">
        <v>30</v>
      </c>
      <c r="CY36" s="34">
        <v>29</v>
      </c>
      <c r="CZ36" s="34">
        <v>31</v>
      </c>
      <c r="DA36" s="34">
        <v>28</v>
      </c>
      <c r="DB36" s="34">
        <v>31</v>
      </c>
      <c r="DC36" s="34">
        <v>30</v>
      </c>
      <c r="DD36" s="34">
        <v>23</v>
      </c>
      <c r="DE36" s="34">
        <v>30</v>
      </c>
      <c r="DF36" s="34">
        <v>29</v>
      </c>
      <c r="DG36" s="34">
        <v>0</v>
      </c>
      <c r="DH36" s="34"/>
      <c r="DI36" s="34"/>
      <c r="DJ36" s="34"/>
      <c r="DK36" s="34"/>
    </row>
    <row r="37" spans="1:120" ht="15.75" x14ac:dyDescent="0.2">
      <c r="A37" s="40" t="s">
        <v>60</v>
      </c>
      <c r="B37" s="33" t="s">
        <v>57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3"/>
      <c r="P37" s="33"/>
      <c r="Q37" s="33"/>
      <c r="R37" s="40" t="s">
        <v>60</v>
      </c>
      <c r="S37" s="33" t="s">
        <v>56</v>
      </c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40" t="s">
        <v>60</v>
      </c>
      <c r="BB37" s="33" t="s">
        <v>56</v>
      </c>
      <c r="BC37" s="34">
        <v>4</v>
      </c>
      <c r="BD37" s="34">
        <v>2</v>
      </c>
      <c r="BE37" s="34">
        <v>5</v>
      </c>
      <c r="BF37" s="34">
        <v>0</v>
      </c>
      <c r="BG37" s="34">
        <v>18</v>
      </c>
      <c r="BH37" s="34">
        <v>29</v>
      </c>
      <c r="BI37" s="34">
        <v>30</v>
      </c>
      <c r="BJ37" s="34">
        <v>23</v>
      </c>
      <c r="BK37" s="34">
        <v>31</v>
      </c>
      <c r="BL37" s="34">
        <v>30</v>
      </c>
      <c r="BM37" s="34">
        <v>31</v>
      </c>
      <c r="BN37" s="34">
        <v>29</v>
      </c>
      <c r="BO37" s="34">
        <v>31</v>
      </c>
      <c r="BP37" s="34">
        <v>31</v>
      </c>
      <c r="BQ37" s="34">
        <v>29</v>
      </c>
      <c r="BR37" s="34">
        <v>31</v>
      </c>
      <c r="BS37" s="34">
        <v>31</v>
      </c>
      <c r="BT37" s="34">
        <v>25</v>
      </c>
      <c r="BU37" s="34">
        <v>30</v>
      </c>
      <c r="BV37" s="34">
        <v>31</v>
      </c>
      <c r="BW37" s="34">
        <v>31</v>
      </c>
      <c r="BX37" s="34">
        <v>30</v>
      </c>
      <c r="BY37" s="34">
        <v>31</v>
      </c>
      <c r="BZ37" s="34">
        <v>30</v>
      </c>
      <c r="CA37" s="34">
        <v>31</v>
      </c>
      <c r="CB37" s="34">
        <v>31</v>
      </c>
      <c r="CC37" s="34">
        <v>28</v>
      </c>
      <c r="CD37" s="34">
        <v>31</v>
      </c>
      <c r="CE37" s="34">
        <v>30</v>
      </c>
      <c r="CF37" s="34">
        <v>31</v>
      </c>
      <c r="CG37" s="34">
        <v>30</v>
      </c>
      <c r="CH37" s="34">
        <v>31</v>
      </c>
      <c r="CI37" s="34">
        <v>20</v>
      </c>
      <c r="CJ37" s="34">
        <v>30</v>
      </c>
      <c r="CK37" s="34">
        <v>28</v>
      </c>
      <c r="CL37" s="34">
        <v>30</v>
      </c>
      <c r="CM37" s="34">
        <v>31</v>
      </c>
      <c r="CN37" s="34">
        <v>31</v>
      </c>
      <c r="CO37" s="34">
        <v>28</v>
      </c>
      <c r="CP37" s="34">
        <v>31</v>
      </c>
      <c r="CQ37" s="34">
        <v>30</v>
      </c>
      <c r="CR37" s="34">
        <v>31</v>
      </c>
      <c r="CS37" s="34">
        <v>30</v>
      </c>
      <c r="CT37" s="34">
        <v>31</v>
      </c>
      <c r="CU37" s="34">
        <v>31</v>
      </c>
      <c r="CV37" s="34">
        <v>30</v>
      </c>
      <c r="CW37" s="34">
        <v>31</v>
      </c>
      <c r="CX37" s="34">
        <v>30</v>
      </c>
      <c r="CY37" s="34">
        <v>30</v>
      </c>
      <c r="CZ37" s="34">
        <v>31</v>
      </c>
      <c r="DA37" s="34">
        <v>28</v>
      </c>
      <c r="DB37" s="34">
        <v>30</v>
      </c>
      <c r="DC37" s="34">
        <v>30</v>
      </c>
      <c r="DD37" s="34">
        <v>22</v>
      </c>
      <c r="DE37" s="34">
        <v>30</v>
      </c>
      <c r="DF37" s="34">
        <v>30</v>
      </c>
      <c r="DG37" s="34">
        <v>0</v>
      </c>
    </row>
    <row r="38" spans="1:120" ht="15.75" x14ac:dyDescent="0.2">
      <c r="A38" s="40" t="s">
        <v>60</v>
      </c>
      <c r="B38" s="33" t="s">
        <v>59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3"/>
      <c r="P38" s="33"/>
      <c r="Q38" s="33"/>
      <c r="R38" s="40" t="s">
        <v>60</v>
      </c>
      <c r="S38" s="33" t="s">
        <v>57</v>
      </c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40" t="s">
        <v>60</v>
      </c>
      <c r="BB38" s="33" t="s">
        <v>57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0</v>
      </c>
      <c r="CH38" s="34">
        <v>0</v>
      </c>
      <c r="CI38" s="34">
        <v>0</v>
      </c>
      <c r="CJ38" s="34">
        <v>0</v>
      </c>
      <c r="CK38" s="34">
        <v>0</v>
      </c>
      <c r="CL38" s="34">
        <v>13</v>
      </c>
      <c r="CM38" s="34">
        <v>0</v>
      </c>
      <c r="CN38" s="34">
        <v>0</v>
      </c>
      <c r="CO38" s="34">
        <v>0</v>
      </c>
      <c r="CP38" s="34">
        <v>0</v>
      </c>
      <c r="CQ38" s="34">
        <v>28</v>
      </c>
      <c r="CR38" s="34">
        <v>31</v>
      </c>
      <c r="CS38" s="34">
        <v>30</v>
      </c>
      <c r="CT38" s="34">
        <v>31</v>
      </c>
      <c r="CU38" s="34">
        <v>31</v>
      </c>
      <c r="CV38" s="34">
        <v>30</v>
      </c>
      <c r="CW38" s="34">
        <v>31</v>
      </c>
      <c r="CX38" s="34">
        <v>30</v>
      </c>
      <c r="CY38" s="34">
        <v>30</v>
      </c>
      <c r="CZ38" s="34">
        <v>31</v>
      </c>
      <c r="DA38" s="34">
        <v>28</v>
      </c>
      <c r="DB38" s="34">
        <v>31</v>
      </c>
      <c r="DC38" s="34">
        <v>30</v>
      </c>
      <c r="DD38" s="34">
        <v>23</v>
      </c>
      <c r="DE38" s="34">
        <v>30</v>
      </c>
      <c r="DF38" s="34">
        <v>25</v>
      </c>
      <c r="DG38" s="34">
        <v>0</v>
      </c>
      <c r="DN38" s="34"/>
    </row>
    <row r="39" spans="1:120" ht="15.75" x14ac:dyDescent="0.2">
      <c r="B39" s="42" t="s">
        <v>49</v>
      </c>
      <c r="C39" s="43">
        <f>SUM(C23:C38)</f>
        <v>32642.056878306877</v>
      </c>
      <c r="D39" s="43">
        <f t="shared" ref="D39:N39" si="3">SUM(D23:D38)</f>
        <v>49933.107692307691</v>
      </c>
      <c r="E39" s="43">
        <f t="shared" si="3"/>
        <v>51680.151472650767</v>
      </c>
      <c r="F39" s="43">
        <f t="shared" si="3"/>
        <v>62606.2</v>
      </c>
      <c r="G39" s="43">
        <f t="shared" si="3"/>
        <v>63403.629588431591</v>
      </c>
      <c r="H39" s="43">
        <f t="shared" si="3"/>
        <v>65152.9</v>
      </c>
      <c r="I39" s="43">
        <f t="shared" si="3"/>
        <v>69962.501156984537</v>
      </c>
      <c r="J39" s="43">
        <f t="shared" si="3"/>
        <v>74197.483870967742</v>
      </c>
      <c r="K39" s="43">
        <f t="shared" si="3"/>
        <v>70338.466666666674</v>
      </c>
      <c r="L39" s="43">
        <f t="shared" si="3"/>
        <v>69876.870967741939</v>
      </c>
      <c r="M39" s="43">
        <f t="shared" si="3"/>
        <v>65470.019157088122</v>
      </c>
      <c r="N39" s="43">
        <f t="shared" si="3"/>
        <v>71277.290322580637</v>
      </c>
      <c r="O39" s="33"/>
      <c r="P39" s="33"/>
      <c r="Q39" s="33"/>
      <c r="R39" s="40" t="s">
        <v>60</v>
      </c>
      <c r="S39" s="33" t="s">
        <v>59</v>
      </c>
      <c r="AR39" s="34"/>
      <c r="AS39" s="34"/>
      <c r="AT39" s="34"/>
      <c r="AU39" s="34"/>
      <c r="AV39" s="34"/>
      <c r="AW39" s="34"/>
      <c r="AX39" s="34"/>
      <c r="AY39" s="34"/>
      <c r="AZ39" s="34"/>
      <c r="BA39" s="40" t="s">
        <v>60</v>
      </c>
      <c r="BB39" s="33" t="s">
        <v>59</v>
      </c>
      <c r="BC39" s="33"/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34">
        <v>0</v>
      </c>
      <c r="CM39" s="34">
        <v>0</v>
      </c>
      <c r="CN39" s="34">
        <v>0</v>
      </c>
      <c r="CO39" s="34">
        <v>0</v>
      </c>
      <c r="CP39" s="34">
        <v>0</v>
      </c>
      <c r="CQ39" s="34">
        <v>0</v>
      </c>
      <c r="CR39" s="34">
        <v>0</v>
      </c>
      <c r="CS39" s="34">
        <v>0</v>
      </c>
      <c r="CT39" s="34">
        <v>0</v>
      </c>
      <c r="CU39" s="34">
        <v>0</v>
      </c>
      <c r="CV39" s="34">
        <v>0</v>
      </c>
      <c r="CW39" s="34">
        <v>0</v>
      </c>
      <c r="CX39" s="34">
        <v>0</v>
      </c>
      <c r="CY39" s="34">
        <v>18</v>
      </c>
      <c r="CZ39" s="43">
        <v>31</v>
      </c>
      <c r="DA39" s="43">
        <v>28</v>
      </c>
      <c r="DB39" s="43">
        <v>31</v>
      </c>
      <c r="DC39" s="43">
        <v>30</v>
      </c>
      <c r="DD39" s="43">
        <v>23</v>
      </c>
      <c r="DE39" s="43">
        <v>30</v>
      </c>
      <c r="DF39" s="43">
        <v>25</v>
      </c>
      <c r="DG39" s="43">
        <v>0</v>
      </c>
    </row>
    <row r="40" spans="1:120" ht="18" x14ac:dyDescent="0.2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3"/>
      <c r="P40" s="33"/>
      <c r="Q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O40" s="33"/>
      <c r="DP40" s="36"/>
    </row>
    <row r="41" spans="1:120" ht="15.75" x14ac:dyDescent="0.2">
      <c r="A41" s="33"/>
      <c r="B41" s="33"/>
      <c r="C41" s="33" t="s">
        <v>37</v>
      </c>
      <c r="D41" s="33" t="s">
        <v>38</v>
      </c>
      <c r="E41" s="33" t="s">
        <v>39</v>
      </c>
      <c r="F41" s="33" t="s">
        <v>40</v>
      </c>
      <c r="G41" s="33" t="s">
        <v>41</v>
      </c>
      <c r="H41" s="33" t="s">
        <v>42</v>
      </c>
      <c r="I41" s="33" t="s">
        <v>43</v>
      </c>
      <c r="J41" s="33" t="s">
        <v>44</v>
      </c>
      <c r="K41" s="33" t="s">
        <v>45</v>
      </c>
      <c r="L41" s="33" t="s">
        <v>46</v>
      </c>
      <c r="M41" s="33" t="s">
        <v>47</v>
      </c>
      <c r="N41" s="33" t="s">
        <v>48</v>
      </c>
      <c r="O41" s="33"/>
      <c r="P41" s="33"/>
      <c r="Q41" s="33"/>
      <c r="S41" s="33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M41" s="33"/>
      <c r="DP41" s="34"/>
    </row>
    <row r="42" spans="1:120" ht="15.75" x14ac:dyDescent="0.2">
      <c r="A42" s="33"/>
      <c r="B42" s="33" t="s">
        <v>50</v>
      </c>
      <c r="C42" s="33">
        <v>31</v>
      </c>
      <c r="D42" s="33">
        <v>28</v>
      </c>
      <c r="E42" s="33">
        <v>31</v>
      </c>
      <c r="F42" s="33">
        <v>30</v>
      </c>
      <c r="G42" s="33">
        <v>31</v>
      </c>
      <c r="H42" s="33">
        <v>30</v>
      </c>
      <c r="I42" s="33">
        <v>31</v>
      </c>
      <c r="J42" s="33">
        <v>31</v>
      </c>
      <c r="K42" s="33">
        <v>30</v>
      </c>
      <c r="L42" s="33">
        <v>31</v>
      </c>
      <c r="M42" s="33">
        <v>30</v>
      </c>
      <c r="N42" s="33">
        <v>31</v>
      </c>
      <c r="O42" s="33"/>
      <c r="P42" s="33"/>
      <c r="Q42" s="33"/>
      <c r="S42" s="33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M42" s="33"/>
    </row>
    <row r="43" spans="1:120" ht="15.75" x14ac:dyDescent="0.2">
      <c r="A43" s="33">
        <v>2016</v>
      </c>
      <c r="B43" s="33">
        <v>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3"/>
      <c r="P43" s="33"/>
      <c r="Q43" s="33"/>
      <c r="S43" s="33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M43" s="33"/>
    </row>
    <row r="44" spans="1:120" ht="15.75" x14ac:dyDescent="0.2">
      <c r="A44" s="40" t="s">
        <v>61</v>
      </c>
      <c r="B44" s="33" t="s">
        <v>58</v>
      </c>
      <c r="C44" s="34">
        <f>249234/31</f>
        <v>8039.8064516129034</v>
      </c>
      <c r="D44" s="34">
        <f>230639/29</f>
        <v>7953.0689655172409</v>
      </c>
      <c r="E44" s="34">
        <f>253391/31</f>
        <v>8173.9032258064517</v>
      </c>
      <c r="F44" s="34">
        <f>228788/30</f>
        <v>7626.2666666666664</v>
      </c>
      <c r="G44" s="34">
        <f>243687/31</f>
        <v>7860.8709677419356</v>
      </c>
      <c r="H44" s="34">
        <f>238057/30</f>
        <v>7935.2333333333336</v>
      </c>
      <c r="I44" s="34">
        <f>211546/31</f>
        <v>6824.0645161290322</v>
      </c>
      <c r="J44" s="34">
        <f>207125/31</f>
        <v>6681.4516129032254</v>
      </c>
      <c r="K44" s="34">
        <f>195949/30</f>
        <v>6531.6333333333332</v>
      </c>
      <c r="L44" s="34">
        <f>189652/31</f>
        <v>6117.8064516129034</v>
      </c>
      <c r="M44" s="34">
        <f>168204/28</f>
        <v>6007.2857142857147</v>
      </c>
      <c r="N44" s="34">
        <f>193457/31</f>
        <v>6240.5483870967746</v>
      </c>
      <c r="O44" s="33"/>
      <c r="P44" s="33"/>
      <c r="Q44" s="33"/>
      <c r="T44" s="44" t="s">
        <v>37</v>
      </c>
      <c r="U44" s="44" t="s">
        <v>38</v>
      </c>
      <c r="V44" s="44" t="s">
        <v>39</v>
      </c>
      <c r="W44" s="44" t="s">
        <v>40</v>
      </c>
      <c r="X44" s="44" t="s">
        <v>41</v>
      </c>
      <c r="Y44" s="44" t="s">
        <v>42</v>
      </c>
      <c r="Z44" s="44" t="s">
        <v>43</v>
      </c>
      <c r="AA44" s="44" t="s">
        <v>44</v>
      </c>
      <c r="AB44" s="44" t="s">
        <v>45</v>
      </c>
      <c r="AC44" s="44" t="s">
        <v>46</v>
      </c>
      <c r="AD44" s="44" t="s">
        <v>47</v>
      </c>
      <c r="AE44" s="44" t="s">
        <v>48</v>
      </c>
      <c r="AF44" s="44" t="s">
        <v>37</v>
      </c>
      <c r="AG44" s="44" t="s">
        <v>38</v>
      </c>
      <c r="AH44" s="44" t="s">
        <v>39</v>
      </c>
      <c r="AI44" s="44" t="s">
        <v>40</v>
      </c>
      <c r="AJ44" s="44" t="s">
        <v>41</v>
      </c>
      <c r="AK44" s="44" t="s">
        <v>42</v>
      </c>
      <c r="AL44" s="44" t="s">
        <v>43</v>
      </c>
      <c r="AM44" s="44" t="s">
        <v>44</v>
      </c>
      <c r="AN44" s="44" t="s">
        <v>45</v>
      </c>
      <c r="AO44" s="44" t="s">
        <v>46</v>
      </c>
      <c r="AP44" s="44" t="s">
        <v>47</v>
      </c>
      <c r="AQ44" s="44" t="s">
        <v>48</v>
      </c>
      <c r="AR44" s="44" t="s">
        <v>37</v>
      </c>
      <c r="AS44" s="44" t="s">
        <v>38</v>
      </c>
      <c r="AT44" s="44" t="s">
        <v>39</v>
      </c>
      <c r="AU44" s="44" t="s">
        <v>40</v>
      </c>
      <c r="AV44" s="44" t="s">
        <v>41</v>
      </c>
      <c r="AW44" s="44" t="s">
        <v>42</v>
      </c>
      <c r="AX44" s="44" t="s">
        <v>43</v>
      </c>
      <c r="AY44" s="44" t="s">
        <v>44</v>
      </c>
      <c r="AZ44" s="44" t="s">
        <v>45</v>
      </c>
      <c r="BA44" s="44" t="s">
        <v>46</v>
      </c>
      <c r="BB44" s="44" t="s">
        <v>47</v>
      </c>
      <c r="BC44" s="44" t="s">
        <v>48</v>
      </c>
      <c r="BD44" s="44" t="s">
        <v>37</v>
      </c>
      <c r="BE44" s="44" t="s">
        <v>38</v>
      </c>
      <c r="BF44" s="44" t="s">
        <v>39</v>
      </c>
      <c r="BG44" s="44" t="s">
        <v>40</v>
      </c>
      <c r="BH44" s="44" t="s">
        <v>41</v>
      </c>
      <c r="BI44" s="44" t="s">
        <v>42</v>
      </c>
      <c r="BJ44" s="44" t="s">
        <v>43</v>
      </c>
      <c r="BK44" s="44" t="s">
        <v>44</v>
      </c>
      <c r="BL44" s="44" t="s">
        <v>45</v>
      </c>
      <c r="BM44" s="44" t="s">
        <v>46</v>
      </c>
      <c r="BN44" s="44" t="s">
        <v>47</v>
      </c>
      <c r="BO44" s="44" t="s">
        <v>48</v>
      </c>
      <c r="BP44" s="44" t="s">
        <v>37</v>
      </c>
      <c r="BQ44" s="44" t="s">
        <v>38</v>
      </c>
      <c r="BR44" s="44" t="s">
        <v>39</v>
      </c>
      <c r="BS44" s="44" t="s">
        <v>40</v>
      </c>
      <c r="BT44" s="44" t="s">
        <v>41</v>
      </c>
      <c r="BU44" s="44" t="s">
        <v>42</v>
      </c>
      <c r="BV44" s="44" t="s">
        <v>43</v>
      </c>
      <c r="BW44" s="44" t="s">
        <v>44</v>
      </c>
      <c r="BX44" s="44" t="s">
        <v>45</v>
      </c>
      <c r="BY44" s="44" t="s">
        <v>46</v>
      </c>
      <c r="BZ44" s="44" t="s">
        <v>47</v>
      </c>
      <c r="CA44" s="44" t="s">
        <v>48</v>
      </c>
      <c r="CB44" s="44" t="s">
        <v>37</v>
      </c>
      <c r="CC44" s="44" t="s">
        <v>38</v>
      </c>
      <c r="CD44" s="44" t="s">
        <v>39</v>
      </c>
      <c r="CE44" s="44" t="s">
        <v>40</v>
      </c>
      <c r="CF44" s="44" t="s">
        <v>41</v>
      </c>
      <c r="CG44" s="44" t="s">
        <v>42</v>
      </c>
      <c r="CH44" s="44" t="s">
        <v>43</v>
      </c>
      <c r="CI44" s="44" t="s">
        <v>44</v>
      </c>
      <c r="CJ44" s="44" t="s">
        <v>45</v>
      </c>
      <c r="CK44" s="44" t="s">
        <v>46</v>
      </c>
      <c r="CL44" s="44" t="s">
        <v>47</v>
      </c>
      <c r="CM44" s="44" t="s">
        <v>48</v>
      </c>
      <c r="CN44" s="44" t="s">
        <v>37</v>
      </c>
      <c r="CO44" s="44" t="s">
        <v>38</v>
      </c>
      <c r="CP44" s="44" t="s">
        <v>39</v>
      </c>
      <c r="CQ44" s="44" t="s">
        <v>40</v>
      </c>
      <c r="CR44" s="44" t="s">
        <v>41</v>
      </c>
      <c r="CS44" s="44" t="s">
        <v>42</v>
      </c>
      <c r="CT44" s="44" t="s">
        <v>43</v>
      </c>
      <c r="CU44" s="44" t="s">
        <v>44</v>
      </c>
      <c r="CV44" s="44" t="s">
        <v>45</v>
      </c>
      <c r="CW44" s="44" t="s">
        <v>46</v>
      </c>
      <c r="CX44" s="44" t="s">
        <v>47</v>
      </c>
      <c r="CY44" s="44" t="s">
        <v>48</v>
      </c>
      <c r="CZ44" s="44" t="s">
        <v>37</v>
      </c>
      <c r="DA44" s="44" t="s">
        <v>38</v>
      </c>
      <c r="DB44" s="44" t="s">
        <v>39</v>
      </c>
      <c r="DC44" s="44" t="s">
        <v>40</v>
      </c>
      <c r="DD44" s="44" t="s">
        <v>41</v>
      </c>
      <c r="DE44" s="44" t="s">
        <v>42</v>
      </c>
      <c r="DF44" s="44" t="s">
        <v>43</v>
      </c>
      <c r="DG44" s="44" t="s">
        <v>44</v>
      </c>
      <c r="DH44" s="44" t="s">
        <v>45</v>
      </c>
      <c r="DI44" s="44" t="s">
        <v>46</v>
      </c>
      <c r="DJ44" s="44" t="s">
        <v>47</v>
      </c>
      <c r="DK44" s="44" t="s">
        <v>48</v>
      </c>
      <c r="DL44" s="44" t="s">
        <v>79</v>
      </c>
      <c r="DM44" s="33"/>
    </row>
    <row r="45" spans="1:120" ht="15.75" x14ac:dyDescent="0.2">
      <c r="A45" s="40" t="s">
        <v>61</v>
      </c>
      <c r="B45" s="33" t="s">
        <v>51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f>236174/22</f>
        <v>10735.181818181818</v>
      </c>
      <c r="I45" s="34">
        <f>376881/31</f>
        <v>12157.451612903225</v>
      </c>
      <c r="J45" s="34">
        <f>378749/31</f>
        <v>12217.709677419354</v>
      </c>
      <c r="K45" s="34">
        <f>381372/30</f>
        <v>12712.4</v>
      </c>
      <c r="L45" s="34">
        <f>400496/31</f>
        <v>12919.225806451614</v>
      </c>
      <c r="M45" s="34">
        <f>351962/29</f>
        <v>12136.620689655172</v>
      </c>
      <c r="N45" s="34">
        <f>417030/31</f>
        <v>13452.58064516129</v>
      </c>
      <c r="O45" s="33"/>
      <c r="P45" s="33"/>
      <c r="Q45" s="33"/>
      <c r="T45" s="44">
        <v>31</v>
      </c>
      <c r="U45" s="44">
        <v>28</v>
      </c>
      <c r="V45" s="44">
        <v>31</v>
      </c>
      <c r="W45" s="44">
        <v>30</v>
      </c>
      <c r="X45" s="44">
        <v>31</v>
      </c>
      <c r="Y45" s="44">
        <v>30</v>
      </c>
      <c r="Z45" s="44">
        <v>31</v>
      </c>
      <c r="AA45" s="44">
        <v>31</v>
      </c>
      <c r="AB45" s="44">
        <v>30</v>
      </c>
      <c r="AC45" s="44">
        <v>31</v>
      </c>
      <c r="AD45" s="44">
        <v>30</v>
      </c>
      <c r="AE45" s="44">
        <v>31</v>
      </c>
      <c r="AF45" s="44">
        <v>31</v>
      </c>
      <c r="AG45" s="44">
        <v>28</v>
      </c>
      <c r="AH45" s="44">
        <v>31</v>
      </c>
      <c r="AI45" s="44">
        <v>30</v>
      </c>
      <c r="AJ45" s="44">
        <v>31</v>
      </c>
      <c r="AK45" s="44">
        <v>30</v>
      </c>
      <c r="AL45" s="44">
        <v>31</v>
      </c>
      <c r="AM45" s="44">
        <v>31</v>
      </c>
      <c r="AN45" s="44">
        <v>30</v>
      </c>
      <c r="AO45" s="44">
        <v>31</v>
      </c>
      <c r="AP45" s="44">
        <v>30</v>
      </c>
      <c r="AQ45" s="44">
        <v>31</v>
      </c>
      <c r="AR45" s="44">
        <v>31</v>
      </c>
      <c r="AS45" s="44">
        <v>28</v>
      </c>
      <c r="AT45" s="44">
        <v>31</v>
      </c>
      <c r="AU45" s="44">
        <v>30</v>
      </c>
      <c r="AV45" s="44">
        <v>31</v>
      </c>
      <c r="AW45" s="44">
        <v>30</v>
      </c>
      <c r="AX45" s="44">
        <v>31</v>
      </c>
      <c r="AY45" s="44">
        <v>31</v>
      </c>
      <c r="AZ45" s="44">
        <v>30</v>
      </c>
      <c r="BA45" s="44">
        <v>31</v>
      </c>
      <c r="BB45" s="44">
        <v>30</v>
      </c>
      <c r="BC45" s="44">
        <v>31</v>
      </c>
      <c r="BD45" s="44">
        <v>31</v>
      </c>
      <c r="BE45" s="44">
        <v>28</v>
      </c>
      <c r="BF45" s="44">
        <v>31</v>
      </c>
      <c r="BG45" s="44">
        <v>30</v>
      </c>
      <c r="BH45" s="44">
        <v>31</v>
      </c>
      <c r="BI45" s="44">
        <v>30</v>
      </c>
      <c r="BJ45" s="44">
        <v>31</v>
      </c>
      <c r="BK45" s="44">
        <v>31</v>
      </c>
      <c r="BL45" s="44">
        <v>30</v>
      </c>
      <c r="BM45" s="44">
        <v>31</v>
      </c>
      <c r="BN45" s="44">
        <v>30</v>
      </c>
      <c r="BO45" s="44">
        <v>31</v>
      </c>
      <c r="BP45" s="44">
        <v>31</v>
      </c>
      <c r="BQ45" s="44">
        <v>28</v>
      </c>
      <c r="BR45" s="44">
        <v>31</v>
      </c>
      <c r="BS45" s="44">
        <v>30</v>
      </c>
      <c r="BT45" s="44">
        <v>31</v>
      </c>
      <c r="BU45" s="44">
        <v>30</v>
      </c>
      <c r="BV45" s="44">
        <v>31</v>
      </c>
      <c r="BW45" s="44">
        <v>31</v>
      </c>
      <c r="BX45" s="44">
        <v>30</v>
      </c>
      <c r="BY45" s="44">
        <v>31</v>
      </c>
      <c r="BZ45" s="44">
        <v>30</v>
      </c>
      <c r="CA45" s="44">
        <v>31</v>
      </c>
      <c r="CB45" s="44">
        <v>31</v>
      </c>
      <c r="CC45" s="44">
        <v>28</v>
      </c>
      <c r="CD45" s="44">
        <v>31</v>
      </c>
      <c r="CE45" s="44">
        <v>30</v>
      </c>
      <c r="CF45" s="44">
        <v>31</v>
      </c>
      <c r="CG45" s="44">
        <v>30</v>
      </c>
      <c r="CH45" s="44">
        <v>31</v>
      </c>
      <c r="CI45" s="44">
        <v>31</v>
      </c>
      <c r="CJ45" s="44">
        <v>30</v>
      </c>
      <c r="CK45" s="44">
        <v>31</v>
      </c>
      <c r="CL45" s="44">
        <v>30</v>
      </c>
      <c r="CM45" s="44">
        <v>31</v>
      </c>
      <c r="CN45" s="44">
        <v>31</v>
      </c>
      <c r="CO45" s="44">
        <v>28</v>
      </c>
      <c r="CP45" s="44">
        <v>31</v>
      </c>
      <c r="CQ45" s="44">
        <v>30</v>
      </c>
      <c r="CR45" s="44">
        <v>31</v>
      </c>
      <c r="CS45" s="44">
        <v>30</v>
      </c>
      <c r="CT45" s="44">
        <v>31</v>
      </c>
      <c r="CU45" s="44">
        <v>31</v>
      </c>
      <c r="CV45" s="44">
        <v>30</v>
      </c>
      <c r="CW45" s="44">
        <v>31</v>
      </c>
      <c r="CX45" s="44">
        <v>30</v>
      </c>
      <c r="CY45" s="44">
        <v>31</v>
      </c>
      <c r="CZ45" s="44">
        <v>31</v>
      </c>
      <c r="DA45" s="44">
        <v>28</v>
      </c>
      <c r="DB45" s="44">
        <v>31</v>
      </c>
      <c r="DC45" s="44">
        <v>30</v>
      </c>
      <c r="DD45" s="44">
        <v>31</v>
      </c>
      <c r="DE45" s="44">
        <v>30</v>
      </c>
      <c r="DF45" s="44">
        <v>31</v>
      </c>
      <c r="DG45" s="44">
        <v>31</v>
      </c>
      <c r="DH45" s="44">
        <v>30</v>
      </c>
      <c r="DI45" s="44">
        <v>31</v>
      </c>
      <c r="DJ45" s="44">
        <v>30</v>
      </c>
      <c r="DK45" s="44">
        <v>31</v>
      </c>
      <c r="DM45" s="33" t="s">
        <v>62</v>
      </c>
    </row>
    <row r="46" spans="1:120" ht="15.75" x14ac:dyDescent="0.2">
      <c r="A46" s="40" t="s">
        <v>61</v>
      </c>
      <c r="B46" s="33" t="s">
        <v>52</v>
      </c>
      <c r="C46" s="34">
        <f>470135/31</f>
        <v>15165.645161290322</v>
      </c>
      <c r="D46" s="34">
        <f>436346/29</f>
        <v>15046.413793103447</v>
      </c>
      <c r="E46" s="34">
        <f>482409/31</f>
        <v>15561.58064516129</v>
      </c>
      <c r="F46" s="34">
        <f>448228/30</f>
        <v>14940.933333333332</v>
      </c>
      <c r="G46" s="34">
        <f>478926/31</f>
        <v>15449.225806451614</v>
      </c>
      <c r="H46" s="34">
        <f>453365/30</f>
        <v>15112.166666666666</v>
      </c>
      <c r="I46" s="34">
        <f>439166/31</f>
        <v>14166.645161290322</v>
      </c>
      <c r="J46" s="34">
        <f>372404/31</f>
        <v>12013.032258064517</v>
      </c>
      <c r="K46" s="34">
        <f>365570/30</f>
        <v>12185.666666666666</v>
      </c>
      <c r="L46" s="34">
        <f>396712/31</f>
        <v>12797.161290322581</v>
      </c>
      <c r="M46" s="34">
        <f>309819/28</f>
        <v>11064.964285714286</v>
      </c>
      <c r="N46" s="34">
        <f>404091/31</f>
        <v>13035.193548387097</v>
      </c>
      <c r="O46" s="33"/>
      <c r="P46" s="33"/>
      <c r="Q46" s="33"/>
      <c r="R46" s="40" t="s">
        <v>61</v>
      </c>
      <c r="S46" s="33" t="s">
        <v>58</v>
      </c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40" t="s">
        <v>61</v>
      </c>
      <c r="BB46" s="33" t="s">
        <v>58</v>
      </c>
      <c r="BC46" s="45">
        <f t="shared" ref="BC46:BE48" si="4">BC25/BC$45</f>
        <v>0</v>
      </c>
      <c r="BD46" s="45">
        <f t="shared" si="4"/>
        <v>0.67741935483870963</v>
      </c>
      <c r="BE46" s="45">
        <f t="shared" si="4"/>
        <v>0.8214285714285714</v>
      </c>
      <c r="BF46" s="45">
        <f t="shared" ref="BF46:DG46" si="5">BF25/BF$45</f>
        <v>1</v>
      </c>
      <c r="BG46" s="45">
        <f t="shared" si="5"/>
        <v>1</v>
      </c>
      <c r="BH46" s="45">
        <f t="shared" si="5"/>
        <v>1</v>
      </c>
      <c r="BI46" s="45">
        <f t="shared" si="5"/>
        <v>1</v>
      </c>
      <c r="BJ46" s="45">
        <f t="shared" si="5"/>
        <v>0.67741935483870963</v>
      </c>
      <c r="BK46" s="45">
        <f t="shared" si="5"/>
        <v>1</v>
      </c>
      <c r="BL46" s="45">
        <f t="shared" si="5"/>
        <v>1</v>
      </c>
      <c r="BM46" s="45">
        <f t="shared" si="5"/>
        <v>1</v>
      </c>
      <c r="BN46" s="45">
        <f t="shared" si="5"/>
        <v>0.9</v>
      </c>
      <c r="BO46" s="45">
        <f t="shared" si="5"/>
        <v>1</v>
      </c>
      <c r="BP46" s="45">
        <f t="shared" si="5"/>
        <v>1</v>
      </c>
      <c r="BQ46" s="45">
        <f t="shared" si="5"/>
        <v>1.0357142857142858</v>
      </c>
      <c r="BR46" s="45">
        <f t="shared" si="5"/>
        <v>1</v>
      </c>
      <c r="BS46" s="45">
        <f t="shared" si="5"/>
        <v>1</v>
      </c>
      <c r="BT46" s="45">
        <f t="shared" si="5"/>
        <v>1</v>
      </c>
      <c r="BU46" s="45">
        <f t="shared" si="5"/>
        <v>1</v>
      </c>
      <c r="BV46" s="45">
        <f t="shared" si="5"/>
        <v>1</v>
      </c>
      <c r="BW46" s="45">
        <f t="shared" si="5"/>
        <v>1</v>
      </c>
      <c r="BX46" s="45">
        <f t="shared" si="5"/>
        <v>1</v>
      </c>
      <c r="BY46" s="45">
        <f t="shared" si="5"/>
        <v>1</v>
      </c>
      <c r="BZ46" s="45">
        <f t="shared" si="5"/>
        <v>0.93333333333333335</v>
      </c>
      <c r="CA46" s="45">
        <f t="shared" si="5"/>
        <v>1</v>
      </c>
      <c r="CB46" s="45">
        <f t="shared" si="5"/>
        <v>1</v>
      </c>
      <c r="CC46" s="45">
        <f t="shared" si="5"/>
        <v>1</v>
      </c>
      <c r="CD46" s="45">
        <f t="shared" si="5"/>
        <v>1</v>
      </c>
      <c r="CE46" s="45">
        <f t="shared" si="5"/>
        <v>1</v>
      </c>
      <c r="CF46" s="45">
        <f t="shared" si="5"/>
        <v>1</v>
      </c>
      <c r="CG46" s="45">
        <f t="shared" si="5"/>
        <v>1</v>
      </c>
      <c r="CH46" s="45">
        <f t="shared" si="5"/>
        <v>1</v>
      </c>
      <c r="CI46" s="45">
        <f t="shared" si="5"/>
        <v>1</v>
      </c>
      <c r="CJ46" s="45">
        <f t="shared" si="5"/>
        <v>1</v>
      </c>
      <c r="CK46" s="45">
        <f t="shared" si="5"/>
        <v>0.90322580645161288</v>
      </c>
      <c r="CL46" s="45">
        <f t="shared" si="5"/>
        <v>1</v>
      </c>
      <c r="CM46" s="45">
        <f t="shared" si="5"/>
        <v>1</v>
      </c>
      <c r="CN46" s="45">
        <f t="shared" si="5"/>
        <v>1</v>
      </c>
      <c r="CO46" s="45">
        <f t="shared" si="5"/>
        <v>1</v>
      </c>
      <c r="CP46" s="45">
        <f t="shared" si="5"/>
        <v>1</v>
      </c>
      <c r="CQ46" s="45">
        <f t="shared" si="5"/>
        <v>1</v>
      </c>
      <c r="CR46" s="45">
        <f t="shared" si="5"/>
        <v>1</v>
      </c>
      <c r="CS46" s="45">
        <f t="shared" si="5"/>
        <v>1</v>
      </c>
      <c r="CT46" s="45">
        <f t="shared" si="5"/>
        <v>1</v>
      </c>
      <c r="CU46" s="45">
        <f t="shared" si="5"/>
        <v>1</v>
      </c>
      <c r="CV46" s="45">
        <f t="shared" si="5"/>
        <v>1</v>
      </c>
      <c r="CW46" s="45">
        <f t="shared" si="5"/>
        <v>1</v>
      </c>
      <c r="CX46" s="45">
        <f t="shared" si="5"/>
        <v>0.96666666666666667</v>
      </c>
      <c r="CY46" s="45">
        <f t="shared" si="5"/>
        <v>1</v>
      </c>
      <c r="CZ46" s="45">
        <f t="shared" si="5"/>
        <v>1</v>
      </c>
      <c r="DA46" s="45">
        <f t="shared" si="5"/>
        <v>1</v>
      </c>
      <c r="DB46" s="45">
        <f t="shared" si="5"/>
        <v>1</v>
      </c>
      <c r="DC46" s="45">
        <f t="shared" si="5"/>
        <v>1</v>
      </c>
      <c r="DD46" s="45">
        <f t="shared" si="5"/>
        <v>0.70967741935483875</v>
      </c>
      <c r="DE46" s="45">
        <f t="shared" si="5"/>
        <v>1</v>
      </c>
      <c r="DF46" s="45">
        <f t="shared" si="5"/>
        <v>0.80645161290322576</v>
      </c>
      <c r="DG46" s="45">
        <f t="shared" si="5"/>
        <v>1</v>
      </c>
      <c r="DH46" s="34">
        <v>0</v>
      </c>
      <c r="DI46" s="34">
        <v>0</v>
      </c>
      <c r="DJ46" s="34">
        <v>0</v>
      </c>
      <c r="DK46" s="34">
        <v>0</v>
      </c>
      <c r="DL46" s="45">
        <f>AVERAGE(BD46:DG46)</f>
        <v>0.97198815009874928</v>
      </c>
      <c r="DM46" s="33"/>
    </row>
    <row r="47" spans="1:120" ht="15.75" x14ac:dyDescent="0.2">
      <c r="A47" s="40" t="s">
        <v>61</v>
      </c>
      <c r="B47" s="33" t="s">
        <v>53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f>0</f>
        <v>0</v>
      </c>
      <c r="M47" s="34">
        <v>0</v>
      </c>
      <c r="N47" s="34">
        <v>0</v>
      </c>
      <c r="O47" s="33"/>
      <c r="P47" s="33"/>
      <c r="Q47" s="33"/>
      <c r="R47" s="40" t="s">
        <v>61</v>
      </c>
      <c r="S47" s="33" t="s">
        <v>51</v>
      </c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40" t="s">
        <v>61</v>
      </c>
      <c r="BB47" s="33" t="s">
        <v>51</v>
      </c>
      <c r="BC47" s="45"/>
      <c r="BD47" s="45"/>
      <c r="BE47" s="45"/>
      <c r="BF47" s="45">
        <f t="shared" ref="BF47:DG47" si="6">BF26/BF$45</f>
        <v>0</v>
      </c>
      <c r="BG47" s="45">
        <f t="shared" si="6"/>
        <v>0</v>
      </c>
      <c r="BH47" s="45">
        <f t="shared" si="6"/>
        <v>0</v>
      </c>
      <c r="BI47" s="45">
        <f t="shared" si="6"/>
        <v>0</v>
      </c>
      <c r="BJ47" s="45">
        <f t="shared" si="6"/>
        <v>0</v>
      </c>
      <c r="BK47" s="45">
        <f t="shared" si="6"/>
        <v>0</v>
      </c>
      <c r="BL47" s="45">
        <f t="shared" si="6"/>
        <v>0</v>
      </c>
      <c r="BM47" s="45">
        <f t="shared" si="6"/>
        <v>0</v>
      </c>
      <c r="BN47" s="45">
        <f t="shared" si="6"/>
        <v>0</v>
      </c>
      <c r="BO47" s="45">
        <f t="shared" si="6"/>
        <v>0</v>
      </c>
      <c r="BP47" s="45">
        <f t="shared" si="6"/>
        <v>0</v>
      </c>
      <c r="BQ47" s="45">
        <f t="shared" si="6"/>
        <v>0</v>
      </c>
      <c r="BR47" s="45">
        <f t="shared" si="6"/>
        <v>0</v>
      </c>
      <c r="BS47" s="45">
        <f t="shared" si="6"/>
        <v>0</v>
      </c>
      <c r="BT47" s="45">
        <f t="shared" si="6"/>
        <v>0</v>
      </c>
      <c r="BU47" s="45">
        <f t="shared" si="6"/>
        <v>0.73333333333333328</v>
      </c>
      <c r="BV47" s="45">
        <f t="shared" si="6"/>
        <v>1</v>
      </c>
      <c r="BW47" s="45">
        <f t="shared" si="6"/>
        <v>1</v>
      </c>
      <c r="BX47" s="45">
        <f t="shared" si="6"/>
        <v>1</v>
      </c>
      <c r="BY47" s="45">
        <f t="shared" si="6"/>
        <v>1</v>
      </c>
      <c r="BZ47" s="45">
        <f t="shared" si="6"/>
        <v>0.96666666666666667</v>
      </c>
      <c r="CA47" s="45">
        <f t="shared" si="6"/>
        <v>1</v>
      </c>
      <c r="CB47" s="45">
        <f t="shared" si="6"/>
        <v>1</v>
      </c>
      <c r="CC47" s="45">
        <f t="shared" si="6"/>
        <v>1</v>
      </c>
      <c r="CD47" s="45">
        <f t="shared" si="6"/>
        <v>1</v>
      </c>
      <c r="CE47" s="45">
        <f t="shared" si="6"/>
        <v>1</v>
      </c>
      <c r="CF47" s="45">
        <f t="shared" si="6"/>
        <v>1</v>
      </c>
      <c r="CG47" s="45">
        <f t="shared" si="6"/>
        <v>1</v>
      </c>
      <c r="CH47" s="45">
        <f t="shared" si="6"/>
        <v>0.93548387096774188</v>
      </c>
      <c r="CI47" s="45">
        <f t="shared" si="6"/>
        <v>1</v>
      </c>
      <c r="CJ47" s="45">
        <f t="shared" si="6"/>
        <v>1</v>
      </c>
      <c r="CK47" s="45">
        <f t="shared" si="6"/>
        <v>0.90322580645161288</v>
      </c>
      <c r="CL47" s="45">
        <f t="shared" si="6"/>
        <v>1</v>
      </c>
      <c r="CM47" s="45">
        <f t="shared" si="6"/>
        <v>1</v>
      </c>
      <c r="CN47" s="45">
        <f t="shared" si="6"/>
        <v>1</v>
      </c>
      <c r="CO47" s="45">
        <f t="shared" si="6"/>
        <v>1</v>
      </c>
      <c r="CP47" s="45">
        <f t="shared" si="6"/>
        <v>1</v>
      </c>
      <c r="CQ47" s="45">
        <f t="shared" si="6"/>
        <v>1</v>
      </c>
      <c r="CR47" s="45">
        <f t="shared" si="6"/>
        <v>1</v>
      </c>
      <c r="CS47" s="45">
        <f t="shared" si="6"/>
        <v>1</v>
      </c>
      <c r="CT47" s="45">
        <f t="shared" si="6"/>
        <v>1</v>
      </c>
      <c r="CU47" s="45">
        <f t="shared" si="6"/>
        <v>1</v>
      </c>
      <c r="CV47" s="45">
        <f t="shared" si="6"/>
        <v>1</v>
      </c>
      <c r="CW47" s="45">
        <f t="shared" si="6"/>
        <v>1</v>
      </c>
      <c r="CX47" s="45">
        <f t="shared" si="6"/>
        <v>0.96666666666666667</v>
      </c>
      <c r="CY47" s="45">
        <f t="shared" si="6"/>
        <v>1</v>
      </c>
      <c r="CZ47" s="45">
        <f t="shared" si="6"/>
        <v>1</v>
      </c>
      <c r="DA47" s="45">
        <f t="shared" si="6"/>
        <v>1</v>
      </c>
      <c r="DB47" s="45">
        <f t="shared" si="6"/>
        <v>1</v>
      </c>
      <c r="DC47" s="45">
        <f t="shared" si="6"/>
        <v>1</v>
      </c>
      <c r="DD47" s="45">
        <f t="shared" si="6"/>
        <v>0.70967741935483875</v>
      </c>
      <c r="DE47" s="45">
        <f t="shared" si="6"/>
        <v>1</v>
      </c>
      <c r="DF47" s="45">
        <f t="shared" si="6"/>
        <v>0.93548387096774188</v>
      </c>
      <c r="DG47" s="45">
        <f t="shared" si="6"/>
        <v>1</v>
      </c>
      <c r="DH47" s="45"/>
      <c r="DI47" s="45"/>
      <c r="DJ47" s="45"/>
      <c r="DK47" s="45"/>
      <c r="DL47" s="45">
        <f>AVERAGE(BU47:DG47)</f>
        <v>0.97821891370278458</v>
      </c>
    </row>
    <row r="48" spans="1:120" ht="15.75" x14ac:dyDescent="0.2">
      <c r="A48" s="40" t="s">
        <v>61</v>
      </c>
      <c r="B48" s="33" t="s">
        <v>54</v>
      </c>
      <c r="C48" s="34">
        <f>421890/31</f>
        <v>13609.354838709678</v>
      </c>
      <c r="D48" s="34">
        <f>395540/29</f>
        <v>13639.310344827587</v>
      </c>
      <c r="E48" s="34">
        <f>413134/31</f>
        <v>13326.903225806451</v>
      </c>
      <c r="F48" s="34">
        <f>371401/30</f>
        <v>12380.033333333333</v>
      </c>
      <c r="G48" s="34">
        <f>398433/31</f>
        <v>12852.677419354839</v>
      </c>
      <c r="H48" s="34">
        <f>379885/30</f>
        <v>12662.833333333334</v>
      </c>
      <c r="I48" s="34">
        <f>364728/31</f>
        <v>11765.41935483871</v>
      </c>
      <c r="J48" s="34">
        <f>296312/28</f>
        <v>10582.571428571429</v>
      </c>
      <c r="K48" s="34">
        <f>335882/30</f>
        <v>11196.066666666668</v>
      </c>
      <c r="L48" s="34">
        <f>346223/31</f>
        <v>11168.483870967742</v>
      </c>
      <c r="M48" s="34">
        <f>292953/29</f>
        <v>10101.827586206897</v>
      </c>
      <c r="N48" s="34">
        <f>347525/31</f>
        <v>11210.483870967742</v>
      </c>
      <c r="O48" s="33"/>
      <c r="P48" s="33"/>
      <c r="Q48" s="33"/>
      <c r="R48" s="40" t="s">
        <v>61</v>
      </c>
      <c r="S48" s="33" t="s">
        <v>52</v>
      </c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40" t="s">
        <v>61</v>
      </c>
      <c r="BB48" s="33" t="s">
        <v>52</v>
      </c>
      <c r="BC48" s="45"/>
      <c r="BD48" s="45"/>
      <c r="BE48" s="45">
        <f t="shared" si="4"/>
        <v>0.4642857142857143</v>
      </c>
      <c r="BF48" s="45">
        <f t="shared" ref="BF48:DG48" si="7">BF27/BF$45</f>
        <v>0.74193548387096775</v>
      </c>
      <c r="BG48" s="45">
        <f t="shared" si="7"/>
        <v>1</v>
      </c>
      <c r="BH48" s="45">
        <f t="shared" si="7"/>
        <v>1</v>
      </c>
      <c r="BI48" s="45">
        <f t="shared" si="7"/>
        <v>1</v>
      </c>
      <c r="BJ48" s="45">
        <f t="shared" si="7"/>
        <v>0.74193548387096775</v>
      </c>
      <c r="BK48" s="45">
        <f t="shared" si="7"/>
        <v>1</v>
      </c>
      <c r="BL48" s="45">
        <f t="shared" si="7"/>
        <v>1</v>
      </c>
      <c r="BM48" s="45">
        <f t="shared" si="7"/>
        <v>1</v>
      </c>
      <c r="BN48" s="45">
        <f t="shared" si="7"/>
        <v>0.9</v>
      </c>
      <c r="BO48" s="45">
        <f t="shared" si="7"/>
        <v>1</v>
      </c>
      <c r="BP48" s="45">
        <f t="shared" si="7"/>
        <v>1</v>
      </c>
      <c r="BQ48" s="45">
        <f t="shared" si="7"/>
        <v>1.0357142857142858</v>
      </c>
      <c r="BR48" s="45">
        <f t="shared" si="7"/>
        <v>1</v>
      </c>
      <c r="BS48" s="45">
        <f t="shared" si="7"/>
        <v>1</v>
      </c>
      <c r="BT48" s="45">
        <f t="shared" si="7"/>
        <v>1</v>
      </c>
      <c r="BU48" s="45">
        <f t="shared" si="7"/>
        <v>1</v>
      </c>
      <c r="BV48" s="45">
        <f t="shared" si="7"/>
        <v>1</v>
      </c>
      <c r="BW48" s="45">
        <f t="shared" si="7"/>
        <v>1</v>
      </c>
      <c r="BX48" s="45">
        <f t="shared" si="7"/>
        <v>1</v>
      </c>
      <c r="BY48" s="45">
        <f t="shared" si="7"/>
        <v>1</v>
      </c>
      <c r="BZ48" s="45">
        <f t="shared" si="7"/>
        <v>0.93333333333333335</v>
      </c>
      <c r="CA48" s="45">
        <f t="shared" si="7"/>
        <v>1</v>
      </c>
      <c r="CB48" s="45">
        <f t="shared" si="7"/>
        <v>1</v>
      </c>
      <c r="CC48" s="45">
        <f t="shared" si="7"/>
        <v>1</v>
      </c>
      <c r="CD48" s="45">
        <f t="shared" si="7"/>
        <v>1</v>
      </c>
      <c r="CE48" s="45">
        <f t="shared" si="7"/>
        <v>1</v>
      </c>
      <c r="CF48" s="45">
        <f t="shared" si="7"/>
        <v>1</v>
      </c>
      <c r="CG48" s="45">
        <f t="shared" si="7"/>
        <v>1</v>
      </c>
      <c r="CH48" s="45">
        <f t="shared" si="7"/>
        <v>1</v>
      </c>
      <c r="CI48" s="45">
        <f t="shared" si="7"/>
        <v>1</v>
      </c>
      <c r="CJ48" s="45">
        <f t="shared" si="7"/>
        <v>1</v>
      </c>
      <c r="CK48" s="45">
        <f t="shared" si="7"/>
        <v>0.90322580645161288</v>
      </c>
      <c r="CL48" s="45">
        <f t="shared" si="7"/>
        <v>1</v>
      </c>
      <c r="CM48" s="45">
        <f t="shared" si="7"/>
        <v>1</v>
      </c>
      <c r="CN48" s="45">
        <f t="shared" si="7"/>
        <v>1</v>
      </c>
      <c r="CO48" s="45">
        <f t="shared" si="7"/>
        <v>1</v>
      </c>
      <c r="CP48" s="45">
        <f t="shared" si="7"/>
        <v>1</v>
      </c>
      <c r="CQ48" s="45">
        <f t="shared" si="7"/>
        <v>1</v>
      </c>
      <c r="CR48" s="45">
        <f t="shared" si="7"/>
        <v>1</v>
      </c>
      <c r="CS48" s="45">
        <f t="shared" si="7"/>
        <v>1</v>
      </c>
      <c r="CT48" s="45">
        <f t="shared" si="7"/>
        <v>1</v>
      </c>
      <c r="CU48" s="45">
        <f t="shared" si="7"/>
        <v>1</v>
      </c>
      <c r="CV48" s="45">
        <f t="shared" si="7"/>
        <v>1</v>
      </c>
      <c r="CW48" s="45">
        <f t="shared" si="7"/>
        <v>1</v>
      </c>
      <c r="CX48" s="45">
        <f t="shared" si="7"/>
        <v>0.96666666666666667</v>
      </c>
      <c r="CY48" s="45">
        <f t="shared" si="7"/>
        <v>1</v>
      </c>
      <c r="CZ48" s="45">
        <f t="shared" si="7"/>
        <v>1</v>
      </c>
      <c r="DA48" s="45">
        <f t="shared" si="7"/>
        <v>1</v>
      </c>
      <c r="DB48" s="45">
        <f t="shared" si="7"/>
        <v>1</v>
      </c>
      <c r="DC48" s="45">
        <f t="shared" si="7"/>
        <v>1</v>
      </c>
      <c r="DD48" s="45">
        <f t="shared" si="7"/>
        <v>0.70967741935483875</v>
      </c>
      <c r="DE48" s="45">
        <f t="shared" si="7"/>
        <v>1</v>
      </c>
      <c r="DF48" s="45">
        <f t="shared" si="7"/>
        <v>0.967741935483871</v>
      </c>
      <c r="DG48" s="45">
        <f t="shared" si="7"/>
        <v>1</v>
      </c>
      <c r="DH48" s="45"/>
      <c r="DI48" s="45"/>
      <c r="DJ48" s="45"/>
      <c r="DK48" s="45"/>
      <c r="DL48" s="45">
        <f>AVERAGE(BE48:DG48)</f>
        <v>0.97026392961876839</v>
      </c>
    </row>
    <row r="49" spans="1:118" ht="15.75" x14ac:dyDescent="0.2">
      <c r="A49" s="40" t="s">
        <v>61</v>
      </c>
      <c r="B49" s="33" t="s">
        <v>55</v>
      </c>
      <c r="C49" s="34">
        <v>0</v>
      </c>
      <c r="D49" s="34">
        <v>0</v>
      </c>
      <c r="E49" s="34">
        <v>0</v>
      </c>
      <c r="F49" s="34">
        <f>133829/15</f>
        <v>8921.9333333333325</v>
      </c>
      <c r="G49" s="34">
        <f>408502/30</f>
        <v>13616.733333333334</v>
      </c>
      <c r="H49" s="34">
        <f>426486/30</f>
        <v>14216.2</v>
      </c>
      <c r="I49" s="34">
        <f>434028/31</f>
        <v>14000.903225806451</v>
      </c>
      <c r="J49" s="34">
        <f>445179/31</f>
        <v>14360.612903225807</v>
      </c>
      <c r="K49" s="34">
        <f>453571/30</f>
        <v>15119.033333333333</v>
      </c>
      <c r="L49" s="34">
        <f>473681/31</f>
        <v>15280.032258064517</v>
      </c>
      <c r="M49" s="34">
        <f>421245/29</f>
        <v>14525.689655172413</v>
      </c>
      <c r="N49" s="34">
        <f>493008/31</f>
        <v>15903.483870967742</v>
      </c>
      <c r="O49" s="33"/>
      <c r="P49" s="33"/>
      <c r="Q49" s="33"/>
      <c r="R49" s="40" t="s">
        <v>61</v>
      </c>
      <c r="S49" s="33" t="s">
        <v>53</v>
      </c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40" t="s">
        <v>61</v>
      </c>
      <c r="BB49" s="33" t="s">
        <v>53</v>
      </c>
      <c r="BC49" s="45"/>
      <c r="BD49" s="45"/>
      <c r="BE49" s="45"/>
      <c r="BF49" s="45">
        <f t="shared" ref="BF49:DG49" si="8">BF28/BF$45</f>
        <v>0</v>
      </c>
      <c r="BG49" s="45">
        <f t="shared" si="8"/>
        <v>0</v>
      </c>
      <c r="BH49" s="45">
        <f t="shared" si="8"/>
        <v>0</v>
      </c>
      <c r="BI49" s="45">
        <f t="shared" si="8"/>
        <v>0</v>
      </c>
      <c r="BJ49" s="45">
        <f t="shared" si="8"/>
        <v>0</v>
      </c>
      <c r="BK49" s="45">
        <f t="shared" si="8"/>
        <v>0</v>
      </c>
      <c r="BL49" s="45">
        <f t="shared" si="8"/>
        <v>0</v>
      </c>
      <c r="BM49" s="45">
        <f t="shared" si="8"/>
        <v>0</v>
      </c>
      <c r="BN49" s="45">
        <f t="shared" si="8"/>
        <v>0</v>
      </c>
      <c r="BO49" s="45">
        <f t="shared" si="8"/>
        <v>0</v>
      </c>
      <c r="BP49" s="45">
        <f t="shared" si="8"/>
        <v>0</v>
      </c>
      <c r="BQ49" s="45">
        <f t="shared" si="8"/>
        <v>0</v>
      </c>
      <c r="BR49" s="45">
        <f t="shared" si="8"/>
        <v>0</v>
      </c>
      <c r="BS49" s="45">
        <f t="shared" si="8"/>
        <v>0</v>
      </c>
      <c r="BT49" s="45">
        <f t="shared" si="8"/>
        <v>0</v>
      </c>
      <c r="BU49" s="45">
        <f t="shared" si="8"/>
        <v>0</v>
      </c>
      <c r="BV49" s="45">
        <f t="shared" si="8"/>
        <v>0</v>
      </c>
      <c r="BW49" s="45">
        <f t="shared" si="8"/>
        <v>0</v>
      </c>
      <c r="BX49" s="45">
        <f t="shared" si="8"/>
        <v>0</v>
      </c>
      <c r="BY49" s="45">
        <f t="shared" si="8"/>
        <v>0</v>
      </c>
      <c r="BZ49" s="45">
        <f t="shared" si="8"/>
        <v>0</v>
      </c>
      <c r="CA49" s="45">
        <f t="shared" si="8"/>
        <v>0</v>
      </c>
      <c r="CB49" s="45">
        <f t="shared" si="8"/>
        <v>0</v>
      </c>
      <c r="CC49" s="45">
        <f t="shared" si="8"/>
        <v>0</v>
      </c>
      <c r="CD49" s="45">
        <f t="shared" si="8"/>
        <v>0</v>
      </c>
      <c r="CE49" s="45">
        <f t="shared" si="8"/>
        <v>0</v>
      </c>
      <c r="CF49" s="45">
        <f t="shared" si="8"/>
        <v>0.61290322580645162</v>
      </c>
      <c r="CG49" s="45">
        <f t="shared" si="8"/>
        <v>1</v>
      </c>
      <c r="CH49" s="45">
        <f t="shared" si="8"/>
        <v>1</v>
      </c>
      <c r="CI49" s="45">
        <f t="shared" si="8"/>
        <v>1</v>
      </c>
      <c r="CJ49" s="45">
        <f t="shared" si="8"/>
        <v>1</v>
      </c>
      <c r="CK49" s="45">
        <f t="shared" si="8"/>
        <v>0.90322580645161288</v>
      </c>
      <c r="CL49" s="45">
        <f t="shared" si="8"/>
        <v>1</v>
      </c>
      <c r="CM49" s="45">
        <f t="shared" si="8"/>
        <v>1</v>
      </c>
      <c r="CN49" s="45">
        <f t="shared" si="8"/>
        <v>1</v>
      </c>
      <c r="CO49" s="45">
        <f t="shared" si="8"/>
        <v>1</v>
      </c>
      <c r="CP49" s="45">
        <f t="shared" si="8"/>
        <v>1</v>
      </c>
      <c r="CQ49" s="45">
        <f t="shared" si="8"/>
        <v>1</v>
      </c>
      <c r="CR49" s="45">
        <f t="shared" si="8"/>
        <v>1</v>
      </c>
      <c r="CS49" s="45">
        <f t="shared" si="8"/>
        <v>1</v>
      </c>
      <c r="CT49" s="45">
        <f t="shared" si="8"/>
        <v>1</v>
      </c>
      <c r="CU49" s="45">
        <f t="shared" si="8"/>
        <v>1</v>
      </c>
      <c r="CV49" s="45">
        <f t="shared" si="8"/>
        <v>1</v>
      </c>
      <c r="CW49" s="45">
        <f t="shared" si="8"/>
        <v>1</v>
      </c>
      <c r="CX49" s="45">
        <f t="shared" si="8"/>
        <v>0.96666666666666667</v>
      </c>
      <c r="CY49" s="45">
        <f t="shared" si="8"/>
        <v>1</v>
      </c>
      <c r="CZ49" s="45">
        <f t="shared" si="8"/>
        <v>1</v>
      </c>
      <c r="DA49" s="45">
        <f t="shared" si="8"/>
        <v>1</v>
      </c>
      <c r="DB49" s="45">
        <f t="shared" si="8"/>
        <v>1</v>
      </c>
      <c r="DC49" s="45">
        <f t="shared" si="8"/>
        <v>1</v>
      </c>
      <c r="DD49" s="45">
        <f t="shared" si="8"/>
        <v>0.70967741935483875</v>
      </c>
      <c r="DE49" s="45">
        <f t="shared" si="8"/>
        <v>1</v>
      </c>
      <c r="DF49" s="45">
        <f t="shared" si="8"/>
        <v>0.93548387096774188</v>
      </c>
      <c r="DG49" s="45">
        <f t="shared" si="8"/>
        <v>1</v>
      </c>
      <c r="DH49" s="45"/>
      <c r="DI49" s="45"/>
      <c r="DJ49" s="45"/>
      <c r="DK49" s="45"/>
      <c r="DL49" s="45">
        <f>AVERAGE(CF49:DG49)</f>
        <v>0.96885560675883242</v>
      </c>
    </row>
    <row r="50" spans="1:118" ht="15.75" x14ac:dyDescent="0.2">
      <c r="A50" s="40" t="s">
        <v>61</v>
      </c>
      <c r="B50" s="33" t="s">
        <v>56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3"/>
      <c r="P50" s="33"/>
      <c r="Q50" s="33"/>
      <c r="R50" s="40" t="s">
        <v>61</v>
      </c>
      <c r="S50" s="33" t="s">
        <v>54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40" t="s">
        <v>61</v>
      </c>
      <c r="BB50" s="33" t="s">
        <v>54</v>
      </c>
      <c r="BC50" s="45">
        <f>BC29/BC$45</f>
        <v>0.90322580645161288</v>
      </c>
      <c r="BD50" s="45">
        <f t="shared" ref="BD50:DG50" si="9">BD29/BD$45</f>
        <v>0.87096774193548387</v>
      </c>
      <c r="BE50" s="45">
        <f t="shared" si="9"/>
        <v>1</v>
      </c>
      <c r="BF50" s="45">
        <f t="shared" si="9"/>
        <v>1</v>
      </c>
      <c r="BG50" s="45">
        <f t="shared" si="9"/>
        <v>1</v>
      </c>
      <c r="BH50" s="45">
        <f t="shared" si="9"/>
        <v>1</v>
      </c>
      <c r="BI50" s="45">
        <f t="shared" si="9"/>
        <v>1</v>
      </c>
      <c r="BJ50" s="45">
        <f t="shared" si="9"/>
        <v>0.74193548387096775</v>
      </c>
      <c r="BK50" s="45">
        <f t="shared" si="9"/>
        <v>1</v>
      </c>
      <c r="BL50" s="45">
        <f t="shared" si="9"/>
        <v>1</v>
      </c>
      <c r="BM50" s="45">
        <f t="shared" si="9"/>
        <v>1</v>
      </c>
      <c r="BN50" s="45">
        <f t="shared" si="9"/>
        <v>0.9</v>
      </c>
      <c r="BO50" s="45">
        <f t="shared" si="9"/>
        <v>1</v>
      </c>
      <c r="BP50" s="45">
        <f t="shared" si="9"/>
        <v>1</v>
      </c>
      <c r="BQ50" s="45">
        <f t="shared" si="9"/>
        <v>1.0357142857142858</v>
      </c>
      <c r="BR50" s="45">
        <f t="shared" si="9"/>
        <v>1</v>
      </c>
      <c r="BS50" s="45">
        <f t="shared" si="9"/>
        <v>1</v>
      </c>
      <c r="BT50" s="45">
        <f t="shared" si="9"/>
        <v>1</v>
      </c>
      <c r="BU50" s="45">
        <f t="shared" si="9"/>
        <v>1</v>
      </c>
      <c r="BV50" s="45">
        <f t="shared" si="9"/>
        <v>1</v>
      </c>
      <c r="BW50" s="45">
        <f t="shared" si="9"/>
        <v>0.90322580645161288</v>
      </c>
      <c r="BX50" s="45">
        <f t="shared" si="9"/>
        <v>1</v>
      </c>
      <c r="BY50" s="45">
        <f t="shared" si="9"/>
        <v>1</v>
      </c>
      <c r="BZ50" s="45">
        <f t="shared" si="9"/>
        <v>0.96666666666666667</v>
      </c>
      <c r="CA50" s="45">
        <f t="shared" si="9"/>
        <v>1</v>
      </c>
      <c r="CB50" s="45">
        <f t="shared" si="9"/>
        <v>1</v>
      </c>
      <c r="CC50" s="45">
        <f t="shared" si="9"/>
        <v>1</v>
      </c>
      <c r="CD50" s="45">
        <f t="shared" si="9"/>
        <v>1</v>
      </c>
      <c r="CE50" s="45">
        <f t="shared" si="9"/>
        <v>1</v>
      </c>
      <c r="CF50" s="45">
        <f t="shared" si="9"/>
        <v>1</v>
      </c>
      <c r="CG50" s="45">
        <f t="shared" si="9"/>
        <v>1</v>
      </c>
      <c r="CH50" s="45">
        <f t="shared" si="9"/>
        <v>1</v>
      </c>
      <c r="CI50" s="45">
        <f t="shared" si="9"/>
        <v>1</v>
      </c>
      <c r="CJ50" s="45">
        <f t="shared" si="9"/>
        <v>1</v>
      </c>
      <c r="CK50" s="45">
        <f t="shared" si="9"/>
        <v>0.90322580645161288</v>
      </c>
      <c r="CL50" s="45">
        <f t="shared" si="9"/>
        <v>1</v>
      </c>
      <c r="CM50" s="45">
        <f t="shared" si="9"/>
        <v>1</v>
      </c>
      <c r="CN50" s="45">
        <f t="shared" si="9"/>
        <v>1</v>
      </c>
      <c r="CO50" s="45">
        <f t="shared" si="9"/>
        <v>1</v>
      </c>
      <c r="CP50" s="45">
        <f t="shared" si="9"/>
        <v>1</v>
      </c>
      <c r="CQ50" s="45">
        <f t="shared" si="9"/>
        <v>1</v>
      </c>
      <c r="CR50" s="45">
        <f t="shared" si="9"/>
        <v>1</v>
      </c>
      <c r="CS50" s="45">
        <f t="shared" si="9"/>
        <v>0.9</v>
      </c>
      <c r="CT50" s="45">
        <f t="shared" si="9"/>
        <v>1</v>
      </c>
      <c r="CU50" s="45">
        <f t="shared" si="9"/>
        <v>1</v>
      </c>
      <c r="CV50" s="45">
        <f t="shared" si="9"/>
        <v>1</v>
      </c>
      <c r="CW50" s="45">
        <f t="shared" si="9"/>
        <v>1</v>
      </c>
      <c r="CX50" s="45">
        <f t="shared" si="9"/>
        <v>0.96666666666666667</v>
      </c>
      <c r="CY50" s="45">
        <f t="shared" si="9"/>
        <v>1</v>
      </c>
      <c r="CZ50" s="45">
        <f t="shared" si="9"/>
        <v>1</v>
      </c>
      <c r="DA50" s="45">
        <f t="shared" si="9"/>
        <v>1</v>
      </c>
      <c r="DB50" s="45">
        <f t="shared" si="9"/>
        <v>1</v>
      </c>
      <c r="DC50" s="45">
        <f t="shared" si="9"/>
        <v>1</v>
      </c>
      <c r="DD50" s="45">
        <f t="shared" si="9"/>
        <v>0.70967741935483875</v>
      </c>
      <c r="DE50" s="45">
        <f t="shared" si="9"/>
        <v>1</v>
      </c>
      <c r="DF50" s="45">
        <f t="shared" si="9"/>
        <v>0.967741935483871</v>
      </c>
      <c r="DG50" s="45">
        <f t="shared" si="9"/>
        <v>1</v>
      </c>
      <c r="DH50" s="45"/>
      <c r="DI50" s="45"/>
      <c r="DJ50" s="45"/>
      <c r="DK50" s="45"/>
      <c r="DL50" s="45">
        <f>AVERAGE(BC50:DG50)</f>
        <v>0.97840434419381805</v>
      </c>
    </row>
    <row r="51" spans="1:118" ht="15.75" x14ac:dyDescent="0.2">
      <c r="A51" s="40" t="s">
        <v>61</v>
      </c>
      <c r="B51" s="33" t="s">
        <v>63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f>40945/5</f>
        <v>8189</v>
      </c>
      <c r="K51" s="34">
        <f>295977/30</f>
        <v>9865.9</v>
      </c>
      <c r="L51" s="34">
        <f>364792/31</f>
        <v>11767.483870967742</v>
      </c>
      <c r="M51" s="34">
        <f>331096/29</f>
        <v>11417.103448275862</v>
      </c>
      <c r="N51" s="34">
        <f>401524/31</f>
        <v>12952.387096774193</v>
      </c>
      <c r="O51" s="33"/>
      <c r="P51" s="33"/>
      <c r="Q51" s="33"/>
      <c r="R51" s="40" t="s">
        <v>61</v>
      </c>
      <c r="S51" s="33" t="s">
        <v>55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40" t="s">
        <v>61</v>
      </c>
      <c r="BB51" s="33" t="s">
        <v>55</v>
      </c>
      <c r="BC51" s="34"/>
      <c r="BD51" s="45"/>
      <c r="BE51" s="45"/>
      <c r="BF51" s="45">
        <f t="shared" ref="BF51:DG51" si="10">BF30/BF$45</f>
        <v>0</v>
      </c>
      <c r="BG51" s="45">
        <f t="shared" si="10"/>
        <v>0</v>
      </c>
      <c r="BH51" s="45">
        <f t="shared" si="10"/>
        <v>0</v>
      </c>
      <c r="BI51" s="45">
        <f t="shared" si="10"/>
        <v>0</v>
      </c>
      <c r="BJ51" s="45">
        <f t="shared" si="10"/>
        <v>0</v>
      </c>
      <c r="BK51" s="45">
        <f t="shared" si="10"/>
        <v>0</v>
      </c>
      <c r="BL51" s="45">
        <f t="shared" si="10"/>
        <v>0</v>
      </c>
      <c r="BM51" s="45">
        <f t="shared" si="10"/>
        <v>0</v>
      </c>
      <c r="BN51" s="45">
        <f t="shared" si="10"/>
        <v>0</v>
      </c>
      <c r="BO51" s="45">
        <f t="shared" si="10"/>
        <v>0</v>
      </c>
      <c r="BP51" s="45">
        <f t="shared" si="10"/>
        <v>0</v>
      </c>
      <c r="BQ51" s="45">
        <f t="shared" si="10"/>
        <v>0</v>
      </c>
      <c r="BR51" s="45">
        <f t="shared" si="10"/>
        <v>0</v>
      </c>
      <c r="BS51" s="45">
        <f t="shared" si="10"/>
        <v>0.5</v>
      </c>
      <c r="BT51" s="45">
        <f t="shared" si="10"/>
        <v>0.967741935483871</v>
      </c>
      <c r="BU51" s="45">
        <f t="shared" si="10"/>
        <v>1</v>
      </c>
      <c r="BV51" s="45">
        <f t="shared" si="10"/>
        <v>1</v>
      </c>
      <c r="BW51" s="45">
        <f t="shared" si="10"/>
        <v>1</v>
      </c>
      <c r="BX51" s="45">
        <f t="shared" si="10"/>
        <v>1</v>
      </c>
      <c r="BY51" s="45">
        <f t="shared" si="10"/>
        <v>1</v>
      </c>
      <c r="BZ51" s="45">
        <f t="shared" si="10"/>
        <v>0.96666666666666667</v>
      </c>
      <c r="CA51" s="45">
        <f t="shared" si="10"/>
        <v>1</v>
      </c>
      <c r="CB51" s="45">
        <f t="shared" si="10"/>
        <v>1</v>
      </c>
      <c r="CC51" s="45">
        <f t="shared" si="10"/>
        <v>1</v>
      </c>
      <c r="CD51" s="45">
        <f t="shared" si="10"/>
        <v>1</v>
      </c>
      <c r="CE51" s="45">
        <f t="shared" si="10"/>
        <v>1</v>
      </c>
      <c r="CF51" s="45">
        <f t="shared" si="10"/>
        <v>1</v>
      </c>
      <c r="CG51" s="45">
        <f t="shared" si="10"/>
        <v>1</v>
      </c>
      <c r="CH51" s="45">
        <f t="shared" si="10"/>
        <v>1</v>
      </c>
      <c r="CI51" s="45">
        <f t="shared" si="10"/>
        <v>1</v>
      </c>
      <c r="CJ51" s="45">
        <f t="shared" si="10"/>
        <v>1</v>
      </c>
      <c r="CK51" s="45">
        <f t="shared" si="10"/>
        <v>0.90322580645161288</v>
      </c>
      <c r="CL51" s="45">
        <f t="shared" si="10"/>
        <v>1</v>
      </c>
      <c r="CM51" s="45">
        <f t="shared" si="10"/>
        <v>1</v>
      </c>
      <c r="CN51" s="45">
        <f t="shared" si="10"/>
        <v>1</v>
      </c>
      <c r="CO51" s="45">
        <f t="shared" si="10"/>
        <v>1</v>
      </c>
      <c r="CP51" s="45">
        <f t="shared" si="10"/>
        <v>1</v>
      </c>
      <c r="CQ51" s="45">
        <f t="shared" si="10"/>
        <v>1</v>
      </c>
      <c r="CR51" s="45">
        <f t="shared" si="10"/>
        <v>1</v>
      </c>
      <c r="CS51" s="45">
        <f t="shared" si="10"/>
        <v>1</v>
      </c>
      <c r="CT51" s="45">
        <f t="shared" si="10"/>
        <v>1</v>
      </c>
      <c r="CU51" s="45">
        <f t="shared" si="10"/>
        <v>1</v>
      </c>
      <c r="CV51" s="45">
        <f t="shared" si="10"/>
        <v>1</v>
      </c>
      <c r="CW51" s="45">
        <f t="shared" si="10"/>
        <v>1</v>
      </c>
      <c r="CX51" s="45">
        <f t="shared" si="10"/>
        <v>0.96666666666666667</v>
      </c>
      <c r="CY51" s="45">
        <f t="shared" si="10"/>
        <v>1</v>
      </c>
      <c r="CZ51" s="45">
        <f t="shared" si="10"/>
        <v>1</v>
      </c>
      <c r="DA51" s="45">
        <f t="shared" si="10"/>
        <v>1</v>
      </c>
      <c r="DB51" s="45">
        <f t="shared" si="10"/>
        <v>1</v>
      </c>
      <c r="DC51" s="45">
        <f t="shared" si="10"/>
        <v>1</v>
      </c>
      <c r="DD51" s="45">
        <f t="shared" si="10"/>
        <v>0.70967741935483875</v>
      </c>
      <c r="DE51" s="45">
        <f t="shared" si="10"/>
        <v>1</v>
      </c>
      <c r="DF51" s="45">
        <f t="shared" si="10"/>
        <v>0.93548387096774188</v>
      </c>
      <c r="DG51" s="45">
        <f t="shared" si="10"/>
        <v>1</v>
      </c>
      <c r="DH51" s="45"/>
      <c r="DI51" s="45"/>
      <c r="DJ51" s="45"/>
      <c r="DK51" s="45"/>
      <c r="DL51" s="45">
        <f>AVERAGE(BS51:DG51)</f>
        <v>0.97437713086808275</v>
      </c>
    </row>
    <row r="52" spans="1:118" ht="15.75" x14ac:dyDescent="0.2">
      <c r="A52" s="40" t="s">
        <v>61</v>
      </c>
      <c r="B52" s="33" t="s">
        <v>57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3"/>
      <c r="P52" s="33"/>
      <c r="Q52" s="33"/>
      <c r="R52" s="40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40" t="s">
        <v>61</v>
      </c>
      <c r="BB52" s="33" t="s">
        <v>56</v>
      </c>
      <c r="BC52" s="34"/>
      <c r="BD52" s="45"/>
      <c r="BE52" s="45"/>
      <c r="BF52" s="45">
        <f t="shared" ref="BF52:DG52" si="11">BF31/BF$45</f>
        <v>0</v>
      </c>
      <c r="BG52" s="45">
        <f t="shared" si="11"/>
        <v>0</v>
      </c>
      <c r="BH52" s="45">
        <f t="shared" si="11"/>
        <v>0</v>
      </c>
      <c r="BI52" s="45">
        <f t="shared" si="11"/>
        <v>0</v>
      </c>
      <c r="BJ52" s="45">
        <f t="shared" si="11"/>
        <v>0</v>
      </c>
      <c r="BK52" s="45">
        <f t="shared" si="11"/>
        <v>0</v>
      </c>
      <c r="BL52" s="45">
        <f t="shared" si="11"/>
        <v>0</v>
      </c>
      <c r="BM52" s="45">
        <f t="shared" si="11"/>
        <v>0</v>
      </c>
      <c r="BN52" s="45">
        <f t="shared" si="11"/>
        <v>0</v>
      </c>
      <c r="BO52" s="45">
        <f t="shared" si="11"/>
        <v>0</v>
      </c>
      <c r="BP52" s="45">
        <f t="shared" si="11"/>
        <v>0</v>
      </c>
      <c r="BQ52" s="45">
        <f t="shared" si="11"/>
        <v>0</v>
      </c>
      <c r="BR52" s="45">
        <f t="shared" si="11"/>
        <v>0</v>
      </c>
      <c r="BS52" s="45">
        <f t="shared" si="11"/>
        <v>0</v>
      </c>
      <c r="BT52" s="45">
        <f t="shared" si="11"/>
        <v>0</v>
      </c>
      <c r="BU52" s="45">
        <f t="shared" si="11"/>
        <v>0</v>
      </c>
      <c r="BV52" s="45">
        <f t="shared" si="11"/>
        <v>0</v>
      </c>
      <c r="BW52" s="45">
        <f t="shared" si="11"/>
        <v>0</v>
      </c>
      <c r="BX52" s="45">
        <f t="shared" si="11"/>
        <v>0</v>
      </c>
      <c r="BY52" s="45">
        <f t="shared" si="11"/>
        <v>0</v>
      </c>
      <c r="BZ52" s="45">
        <f t="shared" si="11"/>
        <v>0</v>
      </c>
      <c r="CA52" s="45">
        <f t="shared" si="11"/>
        <v>0</v>
      </c>
      <c r="CB52" s="45">
        <f t="shared" si="11"/>
        <v>0</v>
      </c>
      <c r="CC52" s="45">
        <f t="shared" si="11"/>
        <v>0</v>
      </c>
      <c r="CD52" s="45">
        <f t="shared" si="11"/>
        <v>0</v>
      </c>
      <c r="CE52" s="45">
        <f t="shared" si="11"/>
        <v>0</v>
      </c>
      <c r="CF52" s="45">
        <f t="shared" si="11"/>
        <v>0</v>
      </c>
      <c r="CG52" s="45">
        <f t="shared" si="11"/>
        <v>0</v>
      </c>
      <c r="CH52" s="45">
        <f t="shared" si="11"/>
        <v>0</v>
      </c>
      <c r="CI52" s="45">
        <f t="shared" si="11"/>
        <v>0</v>
      </c>
      <c r="CJ52" s="45">
        <f t="shared" si="11"/>
        <v>0</v>
      </c>
      <c r="CK52" s="45">
        <f t="shared" si="11"/>
        <v>0</v>
      </c>
      <c r="CL52" s="45">
        <f t="shared" si="11"/>
        <v>0</v>
      </c>
      <c r="CM52" s="45">
        <f t="shared" si="11"/>
        <v>0</v>
      </c>
      <c r="CN52" s="45">
        <f t="shared" si="11"/>
        <v>0.93548387096774188</v>
      </c>
      <c r="CO52" s="45">
        <f t="shared" si="11"/>
        <v>1</v>
      </c>
      <c r="CP52" s="45">
        <f t="shared" si="11"/>
        <v>1</v>
      </c>
      <c r="CQ52" s="45">
        <f t="shared" si="11"/>
        <v>1</v>
      </c>
      <c r="CR52" s="45">
        <f t="shared" si="11"/>
        <v>1</v>
      </c>
      <c r="CS52" s="45">
        <f t="shared" si="11"/>
        <v>1</v>
      </c>
      <c r="CT52" s="45">
        <f t="shared" si="11"/>
        <v>1</v>
      </c>
      <c r="CU52" s="45">
        <f t="shared" si="11"/>
        <v>1</v>
      </c>
      <c r="CV52" s="45">
        <f t="shared" si="11"/>
        <v>1</v>
      </c>
      <c r="CW52" s="45">
        <f t="shared" si="11"/>
        <v>1</v>
      </c>
      <c r="CX52" s="45">
        <f t="shared" si="11"/>
        <v>0.96666666666666667</v>
      </c>
      <c r="CY52" s="45">
        <f t="shared" si="11"/>
        <v>1</v>
      </c>
      <c r="CZ52" s="45">
        <f t="shared" si="11"/>
        <v>1</v>
      </c>
      <c r="DA52" s="45">
        <f t="shared" si="11"/>
        <v>1</v>
      </c>
      <c r="DB52" s="45">
        <f t="shared" si="11"/>
        <v>1</v>
      </c>
      <c r="DC52" s="45">
        <f t="shared" si="11"/>
        <v>1</v>
      </c>
      <c r="DD52" s="45">
        <f t="shared" si="11"/>
        <v>0.70967741935483875</v>
      </c>
      <c r="DE52" s="45">
        <f t="shared" si="11"/>
        <v>1</v>
      </c>
      <c r="DF52" s="45">
        <f t="shared" si="11"/>
        <v>0.93548387096774188</v>
      </c>
      <c r="DG52" s="45">
        <f t="shared" si="11"/>
        <v>1</v>
      </c>
      <c r="DH52" s="45"/>
      <c r="DI52" s="45"/>
      <c r="DJ52" s="45"/>
      <c r="DK52" s="45"/>
      <c r="DL52" s="45">
        <f>AVERAGE(CN52:DG52)</f>
        <v>0.9773655913978494</v>
      </c>
    </row>
    <row r="53" spans="1:118" ht="15.75" x14ac:dyDescent="0.2">
      <c r="A53" s="40" t="s">
        <v>60</v>
      </c>
      <c r="B53" s="33" t="s">
        <v>52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/>
      <c r="O53" s="33"/>
      <c r="P53" s="33"/>
      <c r="Q53" s="33"/>
      <c r="R53" s="40" t="s">
        <v>61</v>
      </c>
      <c r="S53" s="33" t="s">
        <v>56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40" t="s">
        <v>61</v>
      </c>
      <c r="BB53" s="33" t="s">
        <v>63</v>
      </c>
      <c r="BC53" s="34"/>
      <c r="BD53" s="45"/>
      <c r="BE53" s="45"/>
      <c r="BF53" s="45">
        <f t="shared" ref="BF53:DG53" si="12">BF32/BF$45</f>
        <v>0</v>
      </c>
      <c r="BG53" s="45">
        <f t="shared" si="12"/>
        <v>0</v>
      </c>
      <c r="BH53" s="45">
        <f t="shared" si="12"/>
        <v>0</v>
      </c>
      <c r="BI53" s="45">
        <f t="shared" si="12"/>
        <v>0</v>
      </c>
      <c r="BJ53" s="45">
        <f t="shared" si="12"/>
        <v>0</v>
      </c>
      <c r="BK53" s="45">
        <f t="shared" si="12"/>
        <v>0</v>
      </c>
      <c r="BL53" s="45">
        <f t="shared" si="12"/>
        <v>0</v>
      </c>
      <c r="BM53" s="45">
        <f t="shared" si="12"/>
        <v>0</v>
      </c>
      <c r="BN53" s="45">
        <f t="shared" si="12"/>
        <v>0</v>
      </c>
      <c r="BO53" s="45">
        <f t="shared" si="12"/>
        <v>0</v>
      </c>
      <c r="BP53" s="45">
        <f t="shared" si="12"/>
        <v>0</v>
      </c>
      <c r="BQ53" s="45">
        <f t="shared" si="12"/>
        <v>0</v>
      </c>
      <c r="BR53" s="45">
        <f t="shared" si="12"/>
        <v>0</v>
      </c>
      <c r="BS53" s="45">
        <f t="shared" si="12"/>
        <v>0</v>
      </c>
      <c r="BT53" s="45">
        <f t="shared" si="12"/>
        <v>0</v>
      </c>
      <c r="BU53" s="45">
        <f t="shared" si="12"/>
        <v>0</v>
      </c>
      <c r="BV53" s="45">
        <f t="shared" si="12"/>
        <v>0</v>
      </c>
      <c r="BW53" s="45">
        <f t="shared" si="12"/>
        <v>0.16129032258064516</v>
      </c>
      <c r="BX53" s="45">
        <f t="shared" si="12"/>
        <v>1</v>
      </c>
      <c r="BY53" s="45">
        <f t="shared" si="12"/>
        <v>1</v>
      </c>
      <c r="BZ53" s="45">
        <f t="shared" si="12"/>
        <v>0.96666666666666667</v>
      </c>
      <c r="CA53" s="45">
        <f t="shared" si="12"/>
        <v>1</v>
      </c>
      <c r="CB53" s="45">
        <f t="shared" si="12"/>
        <v>1</v>
      </c>
      <c r="CC53" s="45">
        <f t="shared" si="12"/>
        <v>1</v>
      </c>
      <c r="CD53" s="45">
        <f t="shared" si="12"/>
        <v>1</v>
      </c>
      <c r="CE53" s="45">
        <f t="shared" si="12"/>
        <v>1</v>
      </c>
      <c r="CF53" s="45">
        <f t="shared" si="12"/>
        <v>1</v>
      </c>
      <c r="CG53" s="45">
        <f t="shared" si="12"/>
        <v>1</v>
      </c>
      <c r="CH53" s="45">
        <f t="shared" si="12"/>
        <v>1</v>
      </c>
      <c r="CI53" s="45">
        <f t="shared" si="12"/>
        <v>1</v>
      </c>
      <c r="CJ53" s="45">
        <f t="shared" si="12"/>
        <v>1</v>
      </c>
      <c r="CK53" s="45">
        <f t="shared" si="12"/>
        <v>0.90322580645161288</v>
      </c>
      <c r="CL53" s="45">
        <f t="shared" si="12"/>
        <v>1</v>
      </c>
      <c r="CM53" s="45">
        <f t="shared" si="12"/>
        <v>1</v>
      </c>
      <c r="CN53" s="45">
        <f t="shared" si="12"/>
        <v>1</v>
      </c>
      <c r="CO53" s="45">
        <f t="shared" si="12"/>
        <v>1</v>
      </c>
      <c r="CP53" s="45">
        <f t="shared" si="12"/>
        <v>1</v>
      </c>
      <c r="CQ53" s="45">
        <f t="shared" si="12"/>
        <v>1</v>
      </c>
      <c r="CR53" s="45">
        <f t="shared" si="12"/>
        <v>1</v>
      </c>
      <c r="CS53" s="45">
        <f t="shared" si="12"/>
        <v>1</v>
      </c>
      <c r="CT53" s="45">
        <f t="shared" si="12"/>
        <v>1</v>
      </c>
      <c r="CU53" s="45">
        <f t="shared" si="12"/>
        <v>1</v>
      </c>
      <c r="CV53" s="45">
        <f t="shared" si="12"/>
        <v>1</v>
      </c>
      <c r="CW53" s="45">
        <f t="shared" si="12"/>
        <v>1</v>
      </c>
      <c r="CX53" s="45">
        <f t="shared" si="12"/>
        <v>0.96666666666666667</v>
      </c>
      <c r="CY53" s="45">
        <f t="shared" si="12"/>
        <v>1</v>
      </c>
      <c r="CZ53" s="45">
        <f t="shared" si="12"/>
        <v>1</v>
      </c>
      <c r="DA53" s="45">
        <f t="shared" si="12"/>
        <v>1</v>
      </c>
      <c r="DB53" s="45">
        <f t="shared" si="12"/>
        <v>1</v>
      </c>
      <c r="DC53" s="45">
        <f t="shared" si="12"/>
        <v>1</v>
      </c>
      <c r="DD53" s="45">
        <f t="shared" si="12"/>
        <v>0.70967741935483875</v>
      </c>
      <c r="DE53" s="45">
        <f t="shared" si="12"/>
        <v>1</v>
      </c>
      <c r="DF53" s="45">
        <f t="shared" si="12"/>
        <v>0.93548387096774188</v>
      </c>
      <c r="DG53" s="45">
        <f t="shared" si="12"/>
        <v>1</v>
      </c>
      <c r="DH53" s="45"/>
      <c r="DI53" s="45"/>
      <c r="DJ53" s="45"/>
      <c r="DK53" s="45"/>
      <c r="DL53" s="45">
        <f>AVERAGE(BW53:DG53)</f>
        <v>0.96332461493751809</v>
      </c>
    </row>
    <row r="54" spans="1:118" ht="15.75" x14ac:dyDescent="0.2">
      <c r="A54" s="40" t="s">
        <v>60</v>
      </c>
      <c r="B54" s="33" t="s">
        <v>53</v>
      </c>
      <c r="C54" s="34">
        <f>334047/31</f>
        <v>10775.709677419354</v>
      </c>
      <c r="D54" s="34">
        <f>316179/29</f>
        <v>10902.724137931034</v>
      </c>
      <c r="E54" s="34">
        <f>348727/31</f>
        <v>11249.258064516129</v>
      </c>
      <c r="F54" s="34">
        <f>315896/30</f>
        <v>10529.866666666667</v>
      </c>
      <c r="G54" s="34">
        <f>258117/25</f>
        <v>10324.68</v>
      </c>
      <c r="H54" s="34">
        <f>328889/30</f>
        <v>10962.966666666667</v>
      </c>
      <c r="I54" s="34">
        <f>337527/31</f>
        <v>10887.967741935483</v>
      </c>
      <c r="J54" s="34">
        <f>341156/31</f>
        <v>11005.032258064517</v>
      </c>
      <c r="K54" s="34">
        <f>324011/30</f>
        <v>10800.366666666667</v>
      </c>
      <c r="L54" s="34">
        <f>328097/31</f>
        <v>10583.774193548386</v>
      </c>
      <c r="M54" s="34">
        <f>315126/30</f>
        <v>10504.2</v>
      </c>
      <c r="N54" s="34">
        <f>321251/31</f>
        <v>10362.935483870968</v>
      </c>
      <c r="O54" s="33"/>
      <c r="P54" s="33"/>
      <c r="Q54" s="33"/>
      <c r="R54" s="40" t="s">
        <v>61</v>
      </c>
      <c r="S54" s="33" t="s">
        <v>57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40" t="s">
        <v>61</v>
      </c>
      <c r="BB54" s="33" t="s">
        <v>57</v>
      </c>
      <c r="BC54" s="34"/>
      <c r="BD54" s="45"/>
      <c r="BE54" s="45"/>
      <c r="BF54" s="45">
        <f t="shared" ref="BF54:DG54" si="13">BF33/BF$45</f>
        <v>0</v>
      </c>
      <c r="BG54" s="45">
        <f t="shared" si="13"/>
        <v>0</v>
      </c>
      <c r="BH54" s="45">
        <f t="shared" si="13"/>
        <v>0</v>
      </c>
      <c r="BI54" s="45">
        <f t="shared" si="13"/>
        <v>0</v>
      </c>
      <c r="BJ54" s="45">
        <f t="shared" si="13"/>
        <v>0</v>
      </c>
      <c r="BK54" s="45">
        <f t="shared" si="13"/>
        <v>0</v>
      </c>
      <c r="BL54" s="45">
        <f t="shared" si="13"/>
        <v>0</v>
      </c>
      <c r="BM54" s="45">
        <f t="shared" si="13"/>
        <v>0</v>
      </c>
      <c r="BN54" s="45">
        <f t="shared" si="13"/>
        <v>0</v>
      </c>
      <c r="BO54" s="45">
        <f t="shared" si="13"/>
        <v>0</v>
      </c>
      <c r="BP54" s="45">
        <f t="shared" si="13"/>
        <v>0</v>
      </c>
      <c r="BQ54" s="45">
        <f t="shared" si="13"/>
        <v>0</v>
      </c>
      <c r="BR54" s="45">
        <f t="shared" si="13"/>
        <v>0</v>
      </c>
      <c r="BS54" s="45">
        <f t="shared" si="13"/>
        <v>0</v>
      </c>
      <c r="BT54" s="45">
        <f t="shared" si="13"/>
        <v>0</v>
      </c>
      <c r="BU54" s="45">
        <f t="shared" si="13"/>
        <v>0</v>
      </c>
      <c r="BV54" s="45">
        <f t="shared" si="13"/>
        <v>0</v>
      </c>
      <c r="BW54" s="45">
        <f t="shared" si="13"/>
        <v>0</v>
      </c>
      <c r="BX54" s="45">
        <f t="shared" si="13"/>
        <v>0</v>
      </c>
      <c r="BY54" s="45">
        <f t="shared" si="13"/>
        <v>0</v>
      </c>
      <c r="BZ54" s="45">
        <f t="shared" si="13"/>
        <v>0</v>
      </c>
      <c r="CA54" s="45">
        <f t="shared" si="13"/>
        <v>0</v>
      </c>
      <c r="CB54" s="45">
        <f t="shared" si="13"/>
        <v>0</v>
      </c>
      <c r="CC54" s="45">
        <f t="shared" si="13"/>
        <v>0</v>
      </c>
      <c r="CD54" s="45">
        <f t="shared" si="13"/>
        <v>0</v>
      </c>
      <c r="CE54" s="45">
        <f t="shared" si="13"/>
        <v>0</v>
      </c>
      <c r="CF54" s="45">
        <f t="shared" si="13"/>
        <v>0</v>
      </c>
      <c r="CG54" s="45">
        <f t="shared" si="13"/>
        <v>0</v>
      </c>
      <c r="CH54" s="45">
        <f t="shared" si="13"/>
        <v>0</v>
      </c>
      <c r="CI54" s="45">
        <f t="shared" si="13"/>
        <v>0</v>
      </c>
      <c r="CJ54" s="45">
        <f t="shared" si="13"/>
        <v>0</v>
      </c>
      <c r="CK54" s="45">
        <f t="shared" si="13"/>
        <v>0</v>
      </c>
      <c r="CL54" s="45">
        <f t="shared" si="13"/>
        <v>0</v>
      </c>
      <c r="CM54" s="45">
        <f t="shared" si="13"/>
        <v>0</v>
      </c>
      <c r="CN54" s="45">
        <f t="shared" si="13"/>
        <v>0</v>
      </c>
      <c r="CO54" s="45">
        <f t="shared" si="13"/>
        <v>0</v>
      </c>
      <c r="CP54" s="45">
        <f t="shared" si="13"/>
        <v>0</v>
      </c>
      <c r="CQ54" s="45">
        <f t="shared" si="13"/>
        <v>0</v>
      </c>
      <c r="CR54" s="45">
        <f t="shared" si="13"/>
        <v>0</v>
      </c>
      <c r="CS54" s="45">
        <f t="shared" si="13"/>
        <v>0.2</v>
      </c>
      <c r="CT54" s="45">
        <f t="shared" si="13"/>
        <v>1</v>
      </c>
      <c r="CU54" s="45">
        <f t="shared" si="13"/>
        <v>1</v>
      </c>
      <c r="CV54" s="45">
        <f t="shared" si="13"/>
        <v>1</v>
      </c>
      <c r="CW54" s="45">
        <f t="shared" si="13"/>
        <v>1</v>
      </c>
      <c r="CX54" s="45">
        <f t="shared" si="13"/>
        <v>0.96666666666666667</v>
      </c>
      <c r="CY54" s="45">
        <f t="shared" si="13"/>
        <v>1</v>
      </c>
      <c r="CZ54" s="45">
        <f t="shared" si="13"/>
        <v>1</v>
      </c>
      <c r="DA54" s="45">
        <f t="shared" si="13"/>
        <v>1</v>
      </c>
      <c r="DB54" s="45">
        <f t="shared" si="13"/>
        <v>1</v>
      </c>
      <c r="DC54" s="45">
        <f t="shared" si="13"/>
        <v>1</v>
      </c>
      <c r="DD54" s="45">
        <f t="shared" si="13"/>
        <v>0.70967741935483875</v>
      </c>
      <c r="DE54" s="45">
        <f t="shared" si="13"/>
        <v>1</v>
      </c>
      <c r="DF54" s="45">
        <f t="shared" si="13"/>
        <v>0.93548387096774188</v>
      </c>
      <c r="DG54" s="45">
        <f t="shared" si="13"/>
        <v>1</v>
      </c>
      <c r="DH54" s="45"/>
      <c r="DI54" s="45"/>
      <c r="DJ54" s="45"/>
      <c r="DK54" s="45"/>
      <c r="DL54" s="45">
        <f>AVERAGE(CS54:DG54)</f>
        <v>0.92078853046594988</v>
      </c>
    </row>
    <row r="55" spans="1:118" ht="15.75" x14ac:dyDescent="0.2">
      <c r="A55" s="40" t="s">
        <v>60</v>
      </c>
      <c r="B55" s="33" t="s">
        <v>55</v>
      </c>
      <c r="C55" s="34">
        <f>409607/31</f>
        <v>13213.129032258064</v>
      </c>
      <c r="D55" s="34">
        <f>393696/29</f>
        <v>13575.724137931034</v>
      </c>
      <c r="E55" s="34">
        <f>449809/31</f>
        <v>14509.967741935483</v>
      </c>
      <c r="F55" s="34">
        <f>425642/30</f>
        <v>14188.066666666668</v>
      </c>
      <c r="G55" s="34">
        <f>360956/25</f>
        <v>14438.24</v>
      </c>
      <c r="H55" s="34">
        <f>463963/30</f>
        <v>15465.433333333332</v>
      </c>
      <c r="I55" s="34">
        <f>474894/31</f>
        <v>15319.161290322581</v>
      </c>
      <c r="J55" s="34">
        <f>485304/31</f>
        <v>15654.967741935483</v>
      </c>
      <c r="K55" s="34">
        <f>463646/30</f>
        <v>15454.866666666667</v>
      </c>
      <c r="L55" s="34">
        <f>450756/31</f>
        <v>14540.516129032258</v>
      </c>
      <c r="M55" s="34">
        <f>471055/30</f>
        <v>15701.833333333334</v>
      </c>
      <c r="N55" s="34">
        <f>511580/31</f>
        <v>16502.580645161292</v>
      </c>
      <c r="O55" s="33"/>
      <c r="P55" s="33"/>
      <c r="Q55" s="33"/>
      <c r="R55" s="40" t="s">
        <v>60</v>
      </c>
      <c r="S55" s="33" t="s">
        <v>52</v>
      </c>
      <c r="T55" s="34"/>
      <c r="U55" s="34"/>
      <c r="V55" s="34"/>
      <c r="W55" s="34"/>
      <c r="X55" s="34"/>
      <c r="Y55" s="34"/>
      <c r="Z55" s="34">
        <v>0</v>
      </c>
      <c r="AA55" s="34">
        <v>0</v>
      </c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40" t="s">
        <v>60</v>
      </c>
      <c r="BB55" s="33" t="s">
        <v>52</v>
      </c>
      <c r="BC55" s="34"/>
      <c r="BD55" s="45"/>
      <c r="BE55" s="45"/>
      <c r="BF55" s="45">
        <f t="shared" ref="BF55:DG55" si="14">BF34/BF$45</f>
        <v>0</v>
      </c>
      <c r="BG55" s="45">
        <f t="shared" si="14"/>
        <v>0</v>
      </c>
      <c r="BH55" s="45">
        <f t="shared" si="14"/>
        <v>0</v>
      </c>
      <c r="BI55" s="45">
        <f t="shared" si="14"/>
        <v>0</v>
      </c>
      <c r="BJ55" s="45">
        <f t="shared" si="14"/>
        <v>0</v>
      </c>
      <c r="BK55" s="45">
        <f t="shared" si="14"/>
        <v>0</v>
      </c>
      <c r="BL55" s="45">
        <f t="shared" si="14"/>
        <v>0</v>
      </c>
      <c r="BM55" s="45">
        <f t="shared" si="14"/>
        <v>0</v>
      </c>
      <c r="BN55" s="45">
        <f t="shared" si="14"/>
        <v>0</v>
      </c>
      <c r="BO55" s="45">
        <f t="shared" si="14"/>
        <v>0</v>
      </c>
      <c r="BP55" s="45">
        <f t="shared" si="14"/>
        <v>0</v>
      </c>
      <c r="BQ55" s="45">
        <f t="shared" si="14"/>
        <v>0</v>
      </c>
      <c r="BR55" s="45">
        <f t="shared" si="14"/>
        <v>0</v>
      </c>
      <c r="BS55" s="45">
        <f t="shared" si="14"/>
        <v>0</v>
      </c>
      <c r="BT55" s="45">
        <f t="shared" si="14"/>
        <v>0</v>
      </c>
      <c r="BU55" s="45">
        <f t="shared" si="14"/>
        <v>0</v>
      </c>
      <c r="BV55" s="45">
        <f t="shared" si="14"/>
        <v>0</v>
      </c>
      <c r="BW55" s="45">
        <f t="shared" si="14"/>
        <v>0</v>
      </c>
      <c r="BX55" s="45">
        <f t="shared" si="14"/>
        <v>0</v>
      </c>
      <c r="BY55" s="45">
        <f t="shared" si="14"/>
        <v>0</v>
      </c>
      <c r="BZ55" s="45">
        <f t="shared" si="14"/>
        <v>0</v>
      </c>
      <c r="CA55" s="45">
        <f t="shared" si="14"/>
        <v>0</v>
      </c>
      <c r="CB55" s="45">
        <f t="shared" si="14"/>
        <v>0.4838709677419355</v>
      </c>
      <c r="CC55" s="45">
        <f t="shared" si="14"/>
        <v>3.5714285714285712E-2</v>
      </c>
      <c r="CD55" s="45">
        <f t="shared" si="14"/>
        <v>0.90322580645161288</v>
      </c>
      <c r="CE55" s="45">
        <f t="shared" si="14"/>
        <v>1</v>
      </c>
      <c r="CF55" s="45">
        <f t="shared" si="14"/>
        <v>1</v>
      </c>
      <c r="CG55" s="45">
        <f t="shared" si="14"/>
        <v>1</v>
      </c>
      <c r="CH55" s="45">
        <f t="shared" si="14"/>
        <v>1</v>
      </c>
      <c r="CI55" s="45">
        <f t="shared" si="14"/>
        <v>0.38709677419354838</v>
      </c>
      <c r="CJ55" s="45">
        <f t="shared" si="14"/>
        <v>0</v>
      </c>
      <c r="CK55" s="45">
        <f t="shared" si="14"/>
        <v>0</v>
      </c>
      <c r="CL55" s="45">
        <f t="shared" si="14"/>
        <v>0</v>
      </c>
      <c r="CM55" s="45">
        <f t="shared" si="14"/>
        <v>0</v>
      </c>
      <c r="CN55" s="45">
        <f t="shared" si="14"/>
        <v>0</v>
      </c>
      <c r="CO55" s="45">
        <f t="shared" si="14"/>
        <v>0</v>
      </c>
      <c r="CP55" s="45">
        <f t="shared" si="14"/>
        <v>0</v>
      </c>
      <c r="CQ55" s="45">
        <f t="shared" si="14"/>
        <v>0</v>
      </c>
      <c r="CR55" s="45">
        <f t="shared" si="14"/>
        <v>0</v>
      </c>
      <c r="CS55" s="45">
        <f t="shared" si="14"/>
        <v>0</v>
      </c>
      <c r="CT55" s="45">
        <f t="shared" si="14"/>
        <v>0</v>
      </c>
      <c r="CU55" s="45">
        <f t="shared" si="14"/>
        <v>0</v>
      </c>
      <c r="CV55" s="45">
        <f t="shared" si="14"/>
        <v>0</v>
      </c>
      <c r="CW55" s="45">
        <f t="shared" si="14"/>
        <v>0</v>
      </c>
      <c r="CX55" s="45">
        <f t="shared" si="14"/>
        <v>0</v>
      </c>
      <c r="CY55" s="45">
        <f t="shared" si="14"/>
        <v>0</v>
      </c>
      <c r="CZ55" s="45">
        <f t="shared" si="14"/>
        <v>0</v>
      </c>
      <c r="DA55" s="45">
        <f t="shared" si="14"/>
        <v>0</v>
      </c>
      <c r="DB55" s="45">
        <f t="shared" si="14"/>
        <v>0</v>
      </c>
      <c r="DC55" s="45">
        <f t="shared" si="14"/>
        <v>0</v>
      </c>
      <c r="DD55" s="45">
        <f t="shared" si="14"/>
        <v>0</v>
      </c>
      <c r="DE55" s="45">
        <f t="shared" si="14"/>
        <v>0</v>
      </c>
      <c r="DF55" s="45">
        <f t="shared" si="14"/>
        <v>0</v>
      </c>
      <c r="DG55" s="45">
        <f t="shared" si="14"/>
        <v>0</v>
      </c>
      <c r="DH55" s="45"/>
      <c r="DI55" s="45"/>
      <c r="DJ55" s="45"/>
      <c r="DK55" s="45"/>
      <c r="DL55" s="45">
        <f>AVERAGE(CB55:DG55)</f>
        <v>0.18155961981566821</v>
      </c>
    </row>
    <row r="56" spans="1:118" ht="15.75" x14ac:dyDescent="0.2">
      <c r="A56" s="40" t="s">
        <v>60</v>
      </c>
      <c r="B56" s="33" t="s">
        <v>56</v>
      </c>
      <c r="C56" s="34">
        <f>313046/31</f>
        <v>10098.258064516129</v>
      </c>
      <c r="D56" s="34">
        <f>292986/29</f>
        <v>10102.965517241379</v>
      </c>
      <c r="E56" s="34">
        <f>319255/31</f>
        <v>10298.548387096775</v>
      </c>
      <c r="F56" s="34">
        <f>319255/31</f>
        <v>10298.548387096775</v>
      </c>
      <c r="G56" s="34">
        <f>235741/25</f>
        <v>9429.64</v>
      </c>
      <c r="H56" s="34">
        <f>298741/30</f>
        <v>9958.0333333333328</v>
      </c>
      <c r="I56" s="34">
        <f>297188/31</f>
        <v>9586.7096774193542</v>
      </c>
      <c r="J56" s="34">
        <f>296820/31</f>
        <v>9574.8387096774186</v>
      </c>
      <c r="K56" s="34">
        <f>280410/30</f>
        <v>9347</v>
      </c>
      <c r="L56" s="34">
        <f>264041/31</f>
        <v>8517.4516129032254</v>
      </c>
      <c r="M56" s="34">
        <f>261711/30</f>
        <v>8723.7000000000007</v>
      </c>
      <c r="N56" s="34">
        <f>272063/31</f>
        <v>8776.2258064516136</v>
      </c>
      <c r="O56" s="33"/>
      <c r="P56" s="33"/>
      <c r="Q56" s="33"/>
      <c r="R56" s="40" t="s">
        <v>60</v>
      </c>
      <c r="S56" s="33" t="s">
        <v>53</v>
      </c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40" t="s">
        <v>60</v>
      </c>
      <c r="BB56" s="33" t="s">
        <v>53</v>
      </c>
      <c r="BC56" s="45">
        <f t="shared" ref="BC56:DG56" si="15">BC35/BC$45</f>
        <v>0.80645161290322576</v>
      </c>
      <c r="BD56" s="45">
        <f t="shared" si="15"/>
        <v>0.77419354838709675</v>
      </c>
      <c r="BE56" s="45">
        <f t="shared" si="15"/>
        <v>1</v>
      </c>
      <c r="BF56" s="45">
        <f t="shared" si="15"/>
        <v>1</v>
      </c>
      <c r="BG56" s="45">
        <f t="shared" si="15"/>
        <v>1</v>
      </c>
      <c r="BH56" s="45">
        <f t="shared" si="15"/>
        <v>0.93548387096774188</v>
      </c>
      <c r="BI56" s="45">
        <f t="shared" si="15"/>
        <v>1</v>
      </c>
      <c r="BJ56" s="45">
        <f t="shared" si="15"/>
        <v>0.74193548387096775</v>
      </c>
      <c r="BK56" s="45">
        <f t="shared" si="15"/>
        <v>1</v>
      </c>
      <c r="BL56" s="45">
        <f t="shared" si="15"/>
        <v>1</v>
      </c>
      <c r="BM56" s="45">
        <f t="shared" si="15"/>
        <v>1</v>
      </c>
      <c r="BN56" s="45">
        <f t="shared" si="15"/>
        <v>0.96666666666666667</v>
      </c>
      <c r="BO56" s="45">
        <f t="shared" si="15"/>
        <v>1</v>
      </c>
      <c r="BP56" s="45">
        <f t="shared" si="15"/>
        <v>1</v>
      </c>
      <c r="BQ56" s="45">
        <f t="shared" si="15"/>
        <v>1.0357142857142858</v>
      </c>
      <c r="BR56" s="45">
        <f t="shared" si="15"/>
        <v>1</v>
      </c>
      <c r="BS56" s="45">
        <f t="shared" si="15"/>
        <v>1</v>
      </c>
      <c r="BT56" s="45">
        <f t="shared" si="15"/>
        <v>0.80645161290322576</v>
      </c>
      <c r="BU56" s="45">
        <f t="shared" si="15"/>
        <v>1</v>
      </c>
      <c r="BV56" s="45">
        <f t="shared" si="15"/>
        <v>1</v>
      </c>
      <c r="BW56" s="45">
        <f t="shared" si="15"/>
        <v>1</v>
      </c>
      <c r="BX56" s="45">
        <f t="shared" si="15"/>
        <v>1</v>
      </c>
      <c r="BY56" s="45">
        <f t="shared" si="15"/>
        <v>1</v>
      </c>
      <c r="BZ56" s="45">
        <f t="shared" si="15"/>
        <v>1</v>
      </c>
      <c r="CA56" s="45">
        <f t="shared" si="15"/>
        <v>1</v>
      </c>
      <c r="CB56" s="45">
        <f t="shared" si="15"/>
        <v>1</v>
      </c>
      <c r="CC56" s="45">
        <f t="shared" si="15"/>
        <v>1</v>
      </c>
      <c r="CD56" s="45">
        <f t="shared" si="15"/>
        <v>1</v>
      </c>
      <c r="CE56" s="45">
        <f t="shared" si="15"/>
        <v>1</v>
      </c>
      <c r="CF56" s="45">
        <f t="shared" si="15"/>
        <v>1</v>
      </c>
      <c r="CG56" s="45">
        <f t="shared" si="15"/>
        <v>1</v>
      </c>
      <c r="CH56" s="45">
        <f t="shared" si="15"/>
        <v>1</v>
      </c>
      <c r="CI56" s="45">
        <f t="shared" si="15"/>
        <v>0.93548387096774188</v>
      </c>
      <c r="CJ56" s="45">
        <f t="shared" si="15"/>
        <v>1</v>
      </c>
      <c r="CK56" s="45">
        <f t="shared" si="15"/>
        <v>0.90322580645161288</v>
      </c>
      <c r="CL56" s="45">
        <f t="shared" si="15"/>
        <v>1</v>
      </c>
      <c r="CM56" s="45">
        <f t="shared" si="15"/>
        <v>1</v>
      </c>
      <c r="CN56" s="45">
        <f t="shared" si="15"/>
        <v>1</v>
      </c>
      <c r="CO56" s="45">
        <f t="shared" si="15"/>
        <v>1</v>
      </c>
      <c r="CP56" s="45">
        <f t="shared" si="15"/>
        <v>1</v>
      </c>
      <c r="CQ56" s="45">
        <f t="shared" si="15"/>
        <v>1</v>
      </c>
      <c r="CR56" s="45">
        <f t="shared" si="15"/>
        <v>1</v>
      </c>
      <c r="CS56" s="45">
        <f t="shared" si="15"/>
        <v>1</v>
      </c>
      <c r="CT56" s="45">
        <f t="shared" si="15"/>
        <v>1</v>
      </c>
      <c r="CU56" s="45">
        <f t="shared" si="15"/>
        <v>1</v>
      </c>
      <c r="CV56" s="45">
        <f t="shared" si="15"/>
        <v>1</v>
      </c>
      <c r="CW56" s="45">
        <f t="shared" si="15"/>
        <v>1</v>
      </c>
      <c r="CX56" s="45">
        <f t="shared" si="15"/>
        <v>1</v>
      </c>
      <c r="CY56" s="45">
        <f t="shared" si="15"/>
        <v>0.967741935483871</v>
      </c>
      <c r="CZ56" s="45">
        <f t="shared" si="15"/>
        <v>1</v>
      </c>
      <c r="DA56" s="45">
        <f t="shared" si="15"/>
        <v>1</v>
      </c>
      <c r="DB56" s="45">
        <f t="shared" si="15"/>
        <v>1</v>
      </c>
      <c r="DC56" s="45">
        <f t="shared" si="15"/>
        <v>1</v>
      </c>
      <c r="DD56" s="45">
        <f t="shared" si="15"/>
        <v>0.70967741935483875</v>
      </c>
      <c r="DE56" s="45">
        <f t="shared" si="15"/>
        <v>1</v>
      </c>
      <c r="DF56" s="45">
        <f t="shared" si="15"/>
        <v>0.93548387096774188</v>
      </c>
      <c r="DG56" s="45">
        <f t="shared" si="15"/>
        <v>0</v>
      </c>
      <c r="DH56" s="45"/>
      <c r="DI56" s="45"/>
      <c r="DJ56" s="45"/>
      <c r="DK56" s="45"/>
      <c r="DL56" s="45">
        <f>AVERAGE(BC56:DG56)</f>
        <v>0.95646508744980741</v>
      </c>
      <c r="DM56" s="33"/>
      <c r="DN56" s="35"/>
    </row>
    <row r="57" spans="1:118" ht="15.75" x14ac:dyDescent="0.2">
      <c r="A57" s="40" t="s">
        <v>60</v>
      </c>
      <c r="B57" s="33" t="s">
        <v>57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3"/>
      <c r="P57" s="33"/>
      <c r="Q57" s="33"/>
      <c r="R57" s="40" t="s">
        <v>60</v>
      </c>
      <c r="S57" s="33" t="s">
        <v>55</v>
      </c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0" t="s">
        <v>60</v>
      </c>
      <c r="BB57" s="33" t="s">
        <v>55</v>
      </c>
      <c r="BC57" s="34">
        <v>0</v>
      </c>
      <c r="BD57" s="45">
        <f t="shared" ref="BD57:DG57" si="16">BD36/BD$45</f>
        <v>0</v>
      </c>
      <c r="BE57" s="45">
        <f t="shared" si="16"/>
        <v>0</v>
      </c>
      <c r="BF57" s="45">
        <f t="shared" si="16"/>
        <v>0</v>
      </c>
      <c r="BG57" s="45">
        <f t="shared" si="16"/>
        <v>0</v>
      </c>
      <c r="BH57" s="45">
        <f t="shared" si="16"/>
        <v>0</v>
      </c>
      <c r="BI57" s="45">
        <f t="shared" si="16"/>
        <v>0</v>
      </c>
      <c r="BJ57" s="45">
        <f t="shared" si="16"/>
        <v>0.54838709677419351</v>
      </c>
      <c r="BK57" s="45">
        <f t="shared" si="16"/>
        <v>1</v>
      </c>
      <c r="BL57" s="45">
        <f t="shared" si="16"/>
        <v>1</v>
      </c>
      <c r="BM57" s="45">
        <f t="shared" si="16"/>
        <v>1</v>
      </c>
      <c r="BN57" s="45">
        <f t="shared" si="16"/>
        <v>0.96666666666666667</v>
      </c>
      <c r="BO57" s="45">
        <f t="shared" si="16"/>
        <v>1</v>
      </c>
      <c r="BP57" s="45">
        <f t="shared" si="16"/>
        <v>1</v>
      </c>
      <c r="BQ57" s="45">
        <f t="shared" si="16"/>
        <v>1.0357142857142858</v>
      </c>
      <c r="BR57" s="45">
        <f t="shared" si="16"/>
        <v>1</v>
      </c>
      <c r="BS57" s="45">
        <f t="shared" si="16"/>
        <v>1</v>
      </c>
      <c r="BT57" s="45">
        <f t="shared" si="16"/>
        <v>0.80645161290322576</v>
      </c>
      <c r="BU57" s="45">
        <f t="shared" si="16"/>
        <v>1</v>
      </c>
      <c r="BV57" s="45">
        <f t="shared" si="16"/>
        <v>1</v>
      </c>
      <c r="BW57" s="45">
        <f t="shared" si="16"/>
        <v>1</v>
      </c>
      <c r="BX57" s="45">
        <f t="shared" si="16"/>
        <v>1</v>
      </c>
      <c r="BY57" s="45">
        <f t="shared" si="16"/>
        <v>1</v>
      </c>
      <c r="BZ57" s="45">
        <f t="shared" si="16"/>
        <v>1</v>
      </c>
      <c r="CA57" s="45">
        <f t="shared" si="16"/>
        <v>1</v>
      </c>
      <c r="CB57" s="45">
        <f t="shared" si="16"/>
        <v>1</v>
      </c>
      <c r="CC57" s="45">
        <f t="shared" si="16"/>
        <v>1</v>
      </c>
      <c r="CD57" s="45">
        <f t="shared" si="16"/>
        <v>1</v>
      </c>
      <c r="CE57" s="45">
        <f t="shared" si="16"/>
        <v>1</v>
      </c>
      <c r="CF57" s="45">
        <f t="shared" si="16"/>
        <v>1</v>
      </c>
      <c r="CG57" s="45">
        <f t="shared" si="16"/>
        <v>1</v>
      </c>
      <c r="CH57" s="45">
        <f t="shared" si="16"/>
        <v>0.93548387096774188</v>
      </c>
      <c r="CI57" s="45">
        <f t="shared" si="16"/>
        <v>0.16129032258064516</v>
      </c>
      <c r="CJ57" s="45">
        <f t="shared" si="16"/>
        <v>0.33333333333333331</v>
      </c>
      <c r="CK57" s="45">
        <f t="shared" si="16"/>
        <v>0.38709677419354838</v>
      </c>
      <c r="CL57" s="45">
        <f t="shared" si="16"/>
        <v>0.46666666666666667</v>
      </c>
      <c r="CM57" s="45">
        <f t="shared" si="16"/>
        <v>1</v>
      </c>
      <c r="CN57" s="45">
        <f t="shared" si="16"/>
        <v>1</v>
      </c>
      <c r="CO57" s="45">
        <f t="shared" si="16"/>
        <v>1</v>
      </c>
      <c r="CP57" s="45">
        <f t="shared" si="16"/>
        <v>1</v>
      </c>
      <c r="CQ57" s="45">
        <f t="shared" si="16"/>
        <v>1</v>
      </c>
      <c r="CR57" s="45">
        <f t="shared" si="16"/>
        <v>1</v>
      </c>
      <c r="CS57" s="45">
        <f t="shared" si="16"/>
        <v>1</v>
      </c>
      <c r="CT57" s="45">
        <f t="shared" si="16"/>
        <v>1</v>
      </c>
      <c r="CU57" s="45">
        <f t="shared" si="16"/>
        <v>1</v>
      </c>
      <c r="CV57" s="45">
        <f t="shared" si="16"/>
        <v>1</v>
      </c>
      <c r="CW57" s="45">
        <f t="shared" si="16"/>
        <v>1</v>
      </c>
      <c r="CX57" s="45">
        <f t="shared" si="16"/>
        <v>1</v>
      </c>
      <c r="CY57" s="45">
        <f t="shared" si="16"/>
        <v>0.93548387096774188</v>
      </c>
      <c r="CZ57" s="45">
        <f t="shared" si="16"/>
        <v>1</v>
      </c>
      <c r="DA57" s="45">
        <f t="shared" si="16"/>
        <v>1</v>
      </c>
      <c r="DB57" s="45">
        <f t="shared" si="16"/>
        <v>1</v>
      </c>
      <c r="DC57" s="45">
        <f t="shared" si="16"/>
        <v>1</v>
      </c>
      <c r="DD57" s="45">
        <f t="shared" si="16"/>
        <v>0.74193548387096775</v>
      </c>
      <c r="DE57" s="45">
        <f t="shared" si="16"/>
        <v>1</v>
      </c>
      <c r="DF57" s="45">
        <f t="shared" si="16"/>
        <v>0.93548387096774188</v>
      </c>
      <c r="DG57" s="45">
        <f t="shared" si="16"/>
        <v>0</v>
      </c>
      <c r="DH57" s="45"/>
      <c r="DI57" s="45"/>
      <c r="DJ57" s="45"/>
      <c r="DK57" s="45"/>
      <c r="DL57" s="45">
        <f>AVERAGE(BJ57:DG57)</f>
        <v>0.90507987711213511</v>
      </c>
      <c r="DM57" s="33"/>
      <c r="DN57" s="35"/>
    </row>
    <row r="58" spans="1:118" ht="15.75" x14ac:dyDescent="0.2">
      <c r="A58" s="40" t="s">
        <v>60</v>
      </c>
      <c r="B58" s="33" t="s">
        <v>59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3"/>
      <c r="P58" s="33"/>
      <c r="Q58" s="33"/>
      <c r="R58" s="40" t="s">
        <v>60</v>
      </c>
      <c r="S58" s="33" t="s">
        <v>56</v>
      </c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40" t="s">
        <v>60</v>
      </c>
      <c r="BB58" s="33" t="s">
        <v>56</v>
      </c>
      <c r="BC58" s="45">
        <f>BC37/BC$45</f>
        <v>0.12903225806451613</v>
      </c>
      <c r="BD58" s="45">
        <f t="shared" ref="BD58:DG58" si="17">BD37/BD$45</f>
        <v>6.4516129032258063E-2</v>
      </c>
      <c r="BE58" s="45">
        <f t="shared" si="17"/>
        <v>0.17857142857142858</v>
      </c>
      <c r="BF58" s="45">
        <f t="shared" si="17"/>
        <v>0</v>
      </c>
      <c r="BG58" s="45">
        <f t="shared" si="17"/>
        <v>0.6</v>
      </c>
      <c r="BH58" s="45">
        <f t="shared" si="17"/>
        <v>0.93548387096774188</v>
      </c>
      <c r="BI58" s="45">
        <f t="shared" si="17"/>
        <v>1</v>
      </c>
      <c r="BJ58" s="45">
        <f t="shared" si="17"/>
        <v>0.74193548387096775</v>
      </c>
      <c r="BK58" s="45">
        <f t="shared" si="17"/>
        <v>1</v>
      </c>
      <c r="BL58" s="45">
        <f t="shared" si="17"/>
        <v>1</v>
      </c>
      <c r="BM58" s="45">
        <f t="shared" si="17"/>
        <v>1</v>
      </c>
      <c r="BN58" s="45">
        <f t="shared" si="17"/>
        <v>0.96666666666666667</v>
      </c>
      <c r="BO58" s="45">
        <f t="shared" si="17"/>
        <v>1</v>
      </c>
      <c r="BP58" s="45">
        <f t="shared" si="17"/>
        <v>1</v>
      </c>
      <c r="BQ58" s="45">
        <f t="shared" si="17"/>
        <v>1.0357142857142858</v>
      </c>
      <c r="BR58" s="45">
        <f t="shared" si="17"/>
        <v>1</v>
      </c>
      <c r="BS58" s="45">
        <f t="shared" si="17"/>
        <v>1.0333333333333334</v>
      </c>
      <c r="BT58" s="45">
        <f t="shared" si="17"/>
        <v>0.80645161290322576</v>
      </c>
      <c r="BU58" s="45">
        <f t="shared" si="17"/>
        <v>1</v>
      </c>
      <c r="BV58" s="45">
        <f t="shared" si="17"/>
        <v>1</v>
      </c>
      <c r="BW58" s="45">
        <f t="shared" si="17"/>
        <v>1</v>
      </c>
      <c r="BX58" s="45">
        <f t="shared" si="17"/>
        <v>1</v>
      </c>
      <c r="BY58" s="45">
        <f t="shared" si="17"/>
        <v>1</v>
      </c>
      <c r="BZ58" s="45">
        <f t="shared" si="17"/>
        <v>1</v>
      </c>
      <c r="CA58" s="45">
        <f t="shared" si="17"/>
        <v>1</v>
      </c>
      <c r="CB58" s="45">
        <f t="shared" si="17"/>
        <v>1</v>
      </c>
      <c r="CC58" s="45">
        <f t="shared" si="17"/>
        <v>1</v>
      </c>
      <c r="CD58" s="45">
        <f t="shared" si="17"/>
        <v>1</v>
      </c>
      <c r="CE58" s="45">
        <f t="shared" si="17"/>
        <v>1</v>
      </c>
      <c r="CF58" s="45">
        <f t="shared" si="17"/>
        <v>1</v>
      </c>
      <c r="CG58" s="45">
        <f t="shared" si="17"/>
        <v>1</v>
      </c>
      <c r="CH58" s="45">
        <f t="shared" si="17"/>
        <v>1</v>
      </c>
      <c r="CI58" s="45">
        <f t="shared" si="17"/>
        <v>0.64516129032258063</v>
      </c>
      <c r="CJ58" s="45">
        <f t="shared" si="17"/>
        <v>1</v>
      </c>
      <c r="CK58" s="45">
        <f t="shared" si="17"/>
        <v>0.90322580645161288</v>
      </c>
      <c r="CL58" s="45">
        <f t="shared" si="17"/>
        <v>1</v>
      </c>
      <c r="CM58" s="45">
        <f t="shared" si="17"/>
        <v>1</v>
      </c>
      <c r="CN58" s="45">
        <f t="shared" si="17"/>
        <v>1</v>
      </c>
      <c r="CO58" s="45">
        <f t="shared" si="17"/>
        <v>1</v>
      </c>
      <c r="CP58" s="45">
        <f t="shared" si="17"/>
        <v>1</v>
      </c>
      <c r="CQ58" s="45">
        <f t="shared" si="17"/>
        <v>1</v>
      </c>
      <c r="CR58" s="45">
        <f t="shared" si="17"/>
        <v>1</v>
      </c>
      <c r="CS58" s="45">
        <f t="shared" si="17"/>
        <v>1</v>
      </c>
      <c r="CT58" s="45">
        <f t="shared" si="17"/>
        <v>1</v>
      </c>
      <c r="CU58" s="45">
        <f t="shared" si="17"/>
        <v>1</v>
      </c>
      <c r="CV58" s="45">
        <f t="shared" si="17"/>
        <v>1</v>
      </c>
      <c r="CW58" s="45">
        <f t="shared" si="17"/>
        <v>1</v>
      </c>
      <c r="CX58" s="45">
        <f t="shared" si="17"/>
        <v>1</v>
      </c>
      <c r="CY58" s="45">
        <f t="shared" si="17"/>
        <v>0.967741935483871</v>
      </c>
      <c r="CZ58" s="45">
        <f t="shared" si="17"/>
        <v>1</v>
      </c>
      <c r="DA58" s="45">
        <f t="shared" si="17"/>
        <v>1</v>
      </c>
      <c r="DB58" s="45">
        <f t="shared" si="17"/>
        <v>0.967741935483871</v>
      </c>
      <c r="DC58" s="45">
        <f t="shared" si="17"/>
        <v>1</v>
      </c>
      <c r="DD58" s="45">
        <f t="shared" si="17"/>
        <v>0.70967741935483875</v>
      </c>
      <c r="DE58" s="45">
        <f t="shared" si="17"/>
        <v>1</v>
      </c>
      <c r="DF58" s="45">
        <f t="shared" si="17"/>
        <v>0.967741935483871</v>
      </c>
      <c r="DG58" s="45">
        <f t="shared" si="17"/>
        <v>0</v>
      </c>
      <c r="DH58" s="45"/>
      <c r="DI58" s="45"/>
      <c r="DJ58" s="45"/>
      <c r="DK58" s="45"/>
      <c r="DL58" s="45">
        <f>AVERAGE(BC58:DG58)</f>
        <v>0.88864904195973804</v>
      </c>
      <c r="DM58" s="33"/>
      <c r="DN58" s="35"/>
    </row>
    <row r="59" spans="1:118" ht="15.75" x14ac:dyDescent="0.2">
      <c r="B59" s="42" t="s">
        <v>49</v>
      </c>
      <c r="C59" s="43">
        <f>SUM(C43:C58)</f>
        <v>70901.903225806454</v>
      </c>
      <c r="D59" s="43">
        <f t="shared" ref="D59:N59" si="18">SUM(D43:D58)</f>
        <v>71220.206896551725</v>
      </c>
      <c r="E59" s="43">
        <f t="shared" si="18"/>
        <v>73120.161290322591</v>
      </c>
      <c r="F59" s="43">
        <f t="shared" si="18"/>
        <v>78885.648387096779</v>
      </c>
      <c r="G59" s="43">
        <f t="shared" si="18"/>
        <v>83972.067526881714</v>
      </c>
      <c r="H59" s="43">
        <f t="shared" si="18"/>
        <v>97048.048484848492</v>
      </c>
      <c r="I59" s="43">
        <f t="shared" si="18"/>
        <v>94708.322580645152</v>
      </c>
      <c r="J59" s="43">
        <f t="shared" si="18"/>
        <v>100279.21658986175</v>
      </c>
      <c r="K59" s="43">
        <f t="shared" si="18"/>
        <v>103212.93333333333</v>
      </c>
      <c r="L59" s="43">
        <f t="shared" si="18"/>
        <v>103691.93548387097</v>
      </c>
      <c r="M59" s="43">
        <f t="shared" si="18"/>
        <v>100183.22471264367</v>
      </c>
      <c r="N59" s="43">
        <f t="shared" si="18"/>
        <v>108436.4193548387</v>
      </c>
      <c r="O59" s="33"/>
      <c r="P59" s="33"/>
      <c r="Q59" s="33"/>
      <c r="R59" s="40" t="s">
        <v>60</v>
      </c>
      <c r="S59" s="33" t="s">
        <v>57</v>
      </c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40" t="s">
        <v>60</v>
      </c>
      <c r="BB59" s="33" t="s">
        <v>57</v>
      </c>
      <c r="BC59" s="34"/>
      <c r="BD59" s="45"/>
      <c r="BE59" s="45"/>
      <c r="BF59" s="45">
        <f t="shared" ref="BF59:DG59" si="19">BF38/BF$45</f>
        <v>0</v>
      </c>
      <c r="BG59" s="45">
        <f t="shared" si="19"/>
        <v>0</v>
      </c>
      <c r="BH59" s="45">
        <f t="shared" si="19"/>
        <v>0</v>
      </c>
      <c r="BI59" s="45">
        <f t="shared" si="19"/>
        <v>0</v>
      </c>
      <c r="BJ59" s="45">
        <f t="shared" si="19"/>
        <v>0</v>
      </c>
      <c r="BK59" s="45">
        <f t="shared" si="19"/>
        <v>0</v>
      </c>
      <c r="BL59" s="45">
        <f t="shared" si="19"/>
        <v>0</v>
      </c>
      <c r="BM59" s="45">
        <f t="shared" si="19"/>
        <v>0</v>
      </c>
      <c r="BN59" s="45">
        <f t="shared" si="19"/>
        <v>0</v>
      </c>
      <c r="BO59" s="45">
        <f t="shared" si="19"/>
        <v>0</v>
      </c>
      <c r="BP59" s="45">
        <f t="shared" si="19"/>
        <v>0</v>
      </c>
      <c r="BQ59" s="45">
        <f t="shared" si="19"/>
        <v>0</v>
      </c>
      <c r="BR59" s="45">
        <f t="shared" si="19"/>
        <v>0</v>
      </c>
      <c r="BS59" s="45">
        <f t="shared" si="19"/>
        <v>0</v>
      </c>
      <c r="BT59" s="45">
        <f t="shared" si="19"/>
        <v>0</v>
      </c>
      <c r="BU59" s="45">
        <f t="shared" si="19"/>
        <v>0</v>
      </c>
      <c r="BV59" s="45">
        <f t="shared" si="19"/>
        <v>0</v>
      </c>
      <c r="BW59" s="45">
        <f t="shared" si="19"/>
        <v>0</v>
      </c>
      <c r="BX59" s="45">
        <f t="shared" si="19"/>
        <v>0</v>
      </c>
      <c r="BY59" s="45">
        <f t="shared" si="19"/>
        <v>0</v>
      </c>
      <c r="BZ59" s="45">
        <f t="shared" si="19"/>
        <v>0</v>
      </c>
      <c r="CA59" s="45">
        <f t="shared" si="19"/>
        <v>0</v>
      </c>
      <c r="CB59" s="45">
        <f t="shared" si="19"/>
        <v>0</v>
      </c>
      <c r="CC59" s="45">
        <f t="shared" si="19"/>
        <v>0</v>
      </c>
      <c r="CD59" s="45">
        <f t="shared" si="19"/>
        <v>0</v>
      </c>
      <c r="CE59" s="45">
        <f t="shared" si="19"/>
        <v>0</v>
      </c>
      <c r="CF59" s="45">
        <f t="shared" si="19"/>
        <v>0</v>
      </c>
      <c r="CG59" s="45">
        <f t="shared" si="19"/>
        <v>0</v>
      </c>
      <c r="CH59" s="45">
        <f t="shared" si="19"/>
        <v>0</v>
      </c>
      <c r="CI59" s="45">
        <f t="shared" si="19"/>
        <v>0</v>
      </c>
      <c r="CJ59" s="45">
        <f t="shared" si="19"/>
        <v>0</v>
      </c>
      <c r="CK59" s="45">
        <f t="shared" si="19"/>
        <v>0</v>
      </c>
      <c r="CL59" s="45">
        <f t="shared" si="19"/>
        <v>0.43333333333333335</v>
      </c>
      <c r="CM59" s="45">
        <f t="shared" si="19"/>
        <v>0</v>
      </c>
      <c r="CN59" s="45">
        <f t="shared" si="19"/>
        <v>0</v>
      </c>
      <c r="CO59" s="45">
        <f t="shared" si="19"/>
        <v>0</v>
      </c>
      <c r="CP59" s="45">
        <f t="shared" si="19"/>
        <v>0</v>
      </c>
      <c r="CQ59" s="45">
        <f t="shared" si="19"/>
        <v>0.93333333333333335</v>
      </c>
      <c r="CR59" s="45">
        <f t="shared" si="19"/>
        <v>1</v>
      </c>
      <c r="CS59" s="45">
        <f t="shared" si="19"/>
        <v>1</v>
      </c>
      <c r="CT59" s="45">
        <f t="shared" si="19"/>
        <v>1</v>
      </c>
      <c r="CU59" s="45">
        <f t="shared" si="19"/>
        <v>1</v>
      </c>
      <c r="CV59" s="45">
        <f t="shared" si="19"/>
        <v>1</v>
      </c>
      <c r="CW59" s="45">
        <f t="shared" si="19"/>
        <v>1</v>
      </c>
      <c r="CX59" s="45">
        <f t="shared" si="19"/>
        <v>1</v>
      </c>
      <c r="CY59" s="45">
        <f t="shared" si="19"/>
        <v>0.967741935483871</v>
      </c>
      <c r="CZ59" s="45">
        <f t="shared" si="19"/>
        <v>1</v>
      </c>
      <c r="DA59" s="45">
        <f t="shared" si="19"/>
        <v>1</v>
      </c>
      <c r="DB59" s="45">
        <f t="shared" si="19"/>
        <v>1</v>
      </c>
      <c r="DC59" s="45">
        <f t="shared" si="19"/>
        <v>1</v>
      </c>
      <c r="DD59" s="45">
        <f t="shared" si="19"/>
        <v>0.74193548387096775</v>
      </c>
      <c r="DE59" s="45">
        <f t="shared" si="19"/>
        <v>1</v>
      </c>
      <c r="DF59" s="45">
        <f t="shared" si="19"/>
        <v>0.80645161290322576</v>
      </c>
      <c r="DG59" s="45">
        <f t="shared" si="19"/>
        <v>0</v>
      </c>
      <c r="DH59" s="45"/>
      <c r="DI59" s="45"/>
      <c r="DJ59" s="45"/>
      <c r="DK59" s="45"/>
      <c r="DL59" s="45">
        <f>AVERAGE(CQ59:DG59)</f>
        <v>0.90879190385831765</v>
      </c>
      <c r="DM59" s="33"/>
      <c r="DN59" s="35"/>
    </row>
    <row r="60" spans="1:118" ht="15.75" x14ac:dyDescent="0.2">
      <c r="A60" s="40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3"/>
      <c r="P60" s="33"/>
      <c r="Q60" s="33"/>
      <c r="R60" s="40" t="s">
        <v>60</v>
      </c>
      <c r="S60" s="33" t="s">
        <v>59</v>
      </c>
      <c r="AR60" s="34"/>
      <c r="AS60" s="34"/>
      <c r="AT60" s="34"/>
      <c r="AU60" s="34"/>
      <c r="AV60" s="34"/>
      <c r="AW60" s="34"/>
      <c r="AX60" s="34"/>
      <c r="AY60" s="34"/>
      <c r="AZ60" s="34"/>
      <c r="BA60" s="40" t="s">
        <v>60</v>
      </c>
      <c r="BB60" s="33" t="s">
        <v>59</v>
      </c>
      <c r="BC60" s="33"/>
      <c r="BD60" s="45"/>
      <c r="BE60" s="45"/>
      <c r="BF60" s="45">
        <f t="shared" ref="BF60:DG60" si="20">BF39/BF$45</f>
        <v>0</v>
      </c>
      <c r="BG60" s="45">
        <f t="shared" si="20"/>
        <v>0</v>
      </c>
      <c r="BH60" s="45">
        <f t="shared" si="20"/>
        <v>0</v>
      </c>
      <c r="BI60" s="45">
        <f t="shared" si="20"/>
        <v>0</v>
      </c>
      <c r="BJ60" s="45">
        <f t="shared" si="20"/>
        <v>0</v>
      </c>
      <c r="BK60" s="45">
        <f t="shared" si="20"/>
        <v>0</v>
      </c>
      <c r="BL60" s="45">
        <f t="shared" si="20"/>
        <v>0</v>
      </c>
      <c r="BM60" s="45">
        <f t="shared" si="20"/>
        <v>0</v>
      </c>
      <c r="BN60" s="45">
        <f t="shared" si="20"/>
        <v>0</v>
      </c>
      <c r="BO60" s="45">
        <f t="shared" si="20"/>
        <v>0</v>
      </c>
      <c r="BP60" s="45">
        <f t="shared" si="20"/>
        <v>0</v>
      </c>
      <c r="BQ60" s="45">
        <f t="shared" si="20"/>
        <v>0</v>
      </c>
      <c r="BR60" s="45">
        <f t="shared" si="20"/>
        <v>0</v>
      </c>
      <c r="BS60" s="45">
        <f t="shared" si="20"/>
        <v>0</v>
      </c>
      <c r="BT60" s="45">
        <f t="shared" si="20"/>
        <v>0</v>
      </c>
      <c r="BU60" s="45">
        <f t="shared" si="20"/>
        <v>0</v>
      </c>
      <c r="BV60" s="45">
        <f t="shared" si="20"/>
        <v>0</v>
      </c>
      <c r="BW60" s="45">
        <f t="shared" si="20"/>
        <v>0</v>
      </c>
      <c r="BX60" s="45">
        <f t="shared" si="20"/>
        <v>0</v>
      </c>
      <c r="BY60" s="45">
        <f t="shared" si="20"/>
        <v>0</v>
      </c>
      <c r="BZ60" s="45">
        <f t="shared" si="20"/>
        <v>0</v>
      </c>
      <c r="CA60" s="45">
        <f t="shared" si="20"/>
        <v>0</v>
      </c>
      <c r="CB60" s="45">
        <f t="shared" si="20"/>
        <v>0</v>
      </c>
      <c r="CC60" s="45">
        <f t="shared" si="20"/>
        <v>0</v>
      </c>
      <c r="CD60" s="45">
        <f t="shared" si="20"/>
        <v>0</v>
      </c>
      <c r="CE60" s="45">
        <f t="shared" si="20"/>
        <v>0</v>
      </c>
      <c r="CF60" s="45">
        <f t="shared" si="20"/>
        <v>0</v>
      </c>
      <c r="CG60" s="45">
        <f t="shared" si="20"/>
        <v>0</v>
      </c>
      <c r="CH60" s="45">
        <f t="shared" si="20"/>
        <v>0</v>
      </c>
      <c r="CI60" s="45">
        <f t="shared" si="20"/>
        <v>0</v>
      </c>
      <c r="CJ60" s="45">
        <f t="shared" si="20"/>
        <v>0</v>
      </c>
      <c r="CK60" s="45">
        <f t="shared" si="20"/>
        <v>0</v>
      </c>
      <c r="CL60" s="45">
        <f t="shared" si="20"/>
        <v>0</v>
      </c>
      <c r="CM60" s="45">
        <f t="shared" si="20"/>
        <v>0</v>
      </c>
      <c r="CN60" s="45">
        <f t="shared" si="20"/>
        <v>0</v>
      </c>
      <c r="CO60" s="45">
        <f t="shared" si="20"/>
        <v>0</v>
      </c>
      <c r="CP60" s="45">
        <f t="shared" si="20"/>
        <v>0</v>
      </c>
      <c r="CQ60" s="45">
        <f t="shared" si="20"/>
        <v>0</v>
      </c>
      <c r="CR60" s="45">
        <f t="shared" si="20"/>
        <v>0</v>
      </c>
      <c r="CS60" s="45">
        <f t="shared" si="20"/>
        <v>0</v>
      </c>
      <c r="CT60" s="45">
        <f t="shared" si="20"/>
        <v>0</v>
      </c>
      <c r="CU60" s="45">
        <f t="shared" si="20"/>
        <v>0</v>
      </c>
      <c r="CV60" s="45">
        <f t="shared" si="20"/>
        <v>0</v>
      </c>
      <c r="CW60" s="45">
        <f t="shared" si="20"/>
        <v>0</v>
      </c>
      <c r="CX60" s="45">
        <f t="shared" si="20"/>
        <v>0</v>
      </c>
      <c r="CY60" s="45">
        <f t="shared" si="20"/>
        <v>0.58064516129032262</v>
      </c>
      <c r="CZ60" s="45">
        <f t="shared" si="20"/>
        <v>1</v>
      </c>
      <c r="DA60" s="45">
        <f t="shared" si="20"/>
        <v>1</v>
      </c>
      <c r="DB60" s="45">
        <f t="shared" si="20"/>
        <v>1</v>
      </c>
      <c r="DC60" s="45">
        <f t="shared" si="20"/>
        <v>1</v>
      </c>
      <c r="DD60" s="45">
        <f t="shared" si="20"/>
        <v>0.74193548387096775</v>
      </c>
      <c r="DE60" s="45">
        <f t="shared" si="20"/>
        <v>1</v>
      </c>
      <c r="DF60" s="45">
        <f t="shared" si="20"/>
        <v>0.80645161290322576</v>
      </c>
      <c r="DG60" s="45">
        <f t="shared" si="20"/>
        <v>0</v>
      </c>
      <c r="DH60" s="45"/>
      <c r="DI60" s="45"/>
      <c r="DJ60" s="45"/>
      <c r="DK60" s="45"/>
      <c r="DL60" s="45">
        <f>AVERAGE(CY60:DG60)</f>
        <v>0.79211469534050183</v>
      </c>
      <c r="DM60" s="33"/>
      <c r="DN60" s="35"/>
    </row>
    <row r="61" spans="1:118" ht="15.75" x14ac:dyDescent="0.2">
      <c r="A61" s="33"/>
      <c r="B61" s="33"/>
      <c r="C61" s="33" t="s">
        <v>37</v>
      </c>
      <c r="D61" s="33" t="s">
        <v>38</v>
      </c>
      <c r="E61" s="33" t="s">
        <v>39</v>
      </c>
      <c r="F61" s="33" t="s">
        <v>40</v>
      </c>
      <c r="G61" s="33" t="s">
        <v>41</v>
      </c>
      <c r="H61" s="33" t="s">
        <v>42</v>
      </c>
      <c r="I61" s="33" t="s">
        <v>43</v>
      </c>
      <c r="J61" s="33" t="s">
        <v>44</v>
      </c>
      <c r="K61" s="33" t="s">
        <v>45</v>
      </c>
      <c r="L61" s="33" t="s">
        <v>46</v>
      </c>
      <c r="M61" s="33" t="s">
        <v>47</v>
      </c>
      <c r="N61" s="33" t="s">
        <v>48</v>
      </c>
      <c r="O61" s="33"/>
      <c r="P61" s="33"/>
      <c r="Q61" s="33"/>
      <c r="S61" s="33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3"/>
      <c r="DN61" s="35"/>
    </row>
    <row r="62" spans="1:118" ht="15.75" x14ac:dyDescent="0.2">
      <c r="A62" s="33"/>
      <c r="B62" s="33" t="s">
        <v>50</v>
      </c>
      <c r="C62" s="33">
        <v>31</v>
      </c>
      <c r="D62" s="33">
        <v>28</v>
      </c>
      <c r="E62" s="33">
        <v>31</v>
      </c>
      <c r="F62" s="33">
        <v>30</v>
      </c>
      <c r="G62" s="33">
        <v>31</v>
      </c>
      <c r="H62" s="33">
        <v>30</v>
      </c>
      <c r="I62" s="33">
        <v>31</v>
      </c>
      <c r="J62" s="33">
        <v>31</v>
      </c>
      <c r="K62" s="33">
        <v>30</v>
      </c>
      <c r="L62" s="33">
        <v>31</v>
      </c>
      <c r="M62" s="33">
        <v>30</v>
      </c>
      <c r="N62" s="33">
        <v>31</v>
      </c>
      <c r="O62" s="33"/>
      <c r="P62" s="33"/>
      <c r="Q62" s="33"/>
      <c r="S62" s="33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3"/>
      <c r="DN62" s="35"/>
    </row>
    <row r="63" spans="1:118" ht="15.75" x14ac:dyDescent="0.2">
      <c r="A63" s="33">
        <v>2017</v>
      </c>
      <c r="B63" s="33">
        <v>2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3"/>
      <c r="P63" s="33"/>
      <c r="Q63" s="33"/>
      <c r="S63" s="33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45">
        <f>AVERAGE(DL46:DL60)</f>
        <v>0.88908313583856802</v>
      </c>
      <c r="DM63" s="33"/>
      <c r="DN63" s="35"/>
    </row>
    <row r="64" spans="1:118" ht="15.75" x14ac:dyDescent="0.2">
      <c r="A64" s="40" t="s">
        <v>61</v>
      </c>
      <c r="B64" s="33" t="s">
        <v>58</v>
      </c>
      <c r="C64" s="34">
        <f>187181/31</f>
        <v>6038.0967741935483</v>
      </c>
      <c r="D64" s="34">
        <f>165969/28</f>
        <v>5927.4642857142853</v>
      </c>
      <c r="E64" s="34">
        <f>186369/31</f>
        <v>6011.9032258064517</v>
      </c>
      <c r="F64" s="34">
        <f>180402/30</f>
        <v>6013.4</v>
      </c>
      <c r="G64" s="34">
        <f>175063/31</f>
        <v>5647.1935483870966</v>
      </c>
      <c r="H64" s="34">
        <f>178065/30</f>
        <v>5935.5</v>
      </c>
      <c r="I64" s="34">
        <f>189530/31</f>
        <v>6113.8709677419356</v>
      </c>
      <c r="J64" s="34">
        <f>174580/31</f>
        <v>5631.6129032258068</v>
      </c>
      <c r="K64" s="34">
        <f>186721/30</f>
        <v>6224.0333333333338</v>
      </c>
      <c r="L64" s="34">
        <f>159129/28</f>
        <v>5683.1785714285716</v>
      </c>
      <c r="M64" s="34">
        <f>179619/30</f>
        <v>5987.3</v>
      </c>
      <c r="N64" s="34">
        <f>188870/31</f>
        <v>6092.5806451612907</v>
      </c>
      <c r="O64" s="33"/>
      <c r="P64" s="33"/>
      <c r="Q64" s="33"/>
      <c r="S64" s="33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3"/>
      <c r="DN64" s="35"/>
    </row>
    <row r="65" spans="1:118" ht="15.75" x14ac:dyDescent="0.2">
      <c r="A65" s="40" t="s">
        <v>61</v>
      </c>
      <c r="B65" s="33" t="s">
        <v>51</v>
      </c>
      <c r="C65" s="34">
        <f>426204/31</f>
        <v>13748.516129032258</v>
      </c>
      <c r="D65" s="34">
        <f>376617/28</f>
        <v>13450.607142857143</v>
      </c>
      <c r="E65" s="34">
        <f>419946/31</f>
        <v>13546.645161290322</v>
      </c>
      <c r="F65" s="34">
        <f>413698/30</f>
        <v>13789.933333333332</v>
      </c>
      <c r="G65" s="34">
        <f>434409/31</f>
        <v>14013.193548387097</v>
      </c>
      <c r="H65" s="34">
        <f>391412/30</f>
        <v>13047.066666666668</v>
      </c>
      <c r="I65" s="34">
        <f>373601/29</f>
        <v>12882.793103448275</v>
      </c>
      <c r="J65" s="34">
        <f>427161/31</f>
        <v>13779.387096774193</v>
      </c>
      <c r="K65" s="34">
        <f>422568/30</f>
        <v>14085.6</v>
      </c>
      <c r="L65" s="34">
        <f>361731/28</f>
        <v>12918.964285714286</v>
      </c>
      <c r="M65" s="34">
        <f>373992/30</f>
        <v>12466.4</v>
      </c>
      <c r="N65" s="34">
        <f>381300/31</f>
        <v>12300</v>
      </c>
      <c r="O65" s="33"/>
      <c r="P65" s="33"/>
      <c r="Q65" s="33"/>
      <c r="S65" s="33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3"/>
      <c r="DN65" s="35"/>
    </row>
    <row r="66" spans="1:118" ht="15.75" x14ac:dyDescent="0.2">
      <c r="A66" s="40" t="s">
        <v>61</v>
      </c>
      <c r="B66" s="33" t="s">
        <v>52</v>
      </c>
      <c r="C66" s="34">
        <f>390087/31</f>
        <v>12583.451612903225</v>
      </c>
      <c r="D66" s="34">
        <f>354067/28</f>
        <v>12645.25</v>
      </c>
      <c r="E66" s="34">
        <f>383701/31</f>
        <v>12377.451612903225</v>
      </c>
      <c r="F66" s="34">
        <f>381440/30</f>
        <v>12714.666666666666</v>
      </c>
      <c r="G66" s="34">
        <f>364763/31</f>
        <v>11766.548387096775</v>
      </c>
      <c r="H66" s="34">
        <f>360219/30</f>
        <v>12007.3</v>
      </c>
      <c r="I66" s="34">
        <f>367931/31</f>
        <v>11868.741935483871</v>
      </c>
      <c r="J66" s="34">
        <f>333865/31</f>
        <v>10769.838709677419</v>
      </c>
      <c r="K66" s="34">
        <f>342066/30</f>
        <v>11402.2</v>
      </c>
      <c r="L66" s="34">
        <f>302637/28</f>
        <v>10808.464285714286</v>
      </c>
      <c r="M66" s="34">
        <f>338573/30</f>
        <v>11285.766666666666</v>
      </c>
      <c r="N66" s="34">
        <f>351050/31</f>
        <v>11324.193548387097</v>
      </c>
      <c r="O66" s="33"/>
      <c r="P66" s="33"/>
      <c r="Q66" s="33"/>
      <c r="S66" s="47"/>
      <c r="T66" s="44" t="s">
        <v>37</v>
      </c>
      <c r="U66" s="44" t="s">
        <v>38</v>
      </c>
      <c r="V66" s="44" t="s">
        <v>39</v>
      </c>
      <c r="W66" s="44" t="s">
        <v>40</v>
      </c>
      <c r="X66" s="44" t="s">
        <v>41</v>
      </c>
      <c r="Y66" s="44" t="s">
        <v>42</v>
      </c>
      <c r="Z66" s="44" t="s">
        <v>43</v>
      </c>
      <c r="AA66" s="44" t="s">
        <v>44</v>
      </c>
      <c r="AB66" s="44" t="s">
        <v>45</v>
      </c>
      <c r="AC66" s="44" t="s">
        <v>46</v>
      </c>
      <c r="AD66" s="44" t="s">
        <v>47</v>
      </c>
      <c r="AE66" s="44" t="s">
        <v>48</v>
      </c>
      <c r="AF66" s="44" t="s">
        <v>37</v>
      </c>
      <c r="AG66" s="44" t="s">
        <v>38</v>
      </c>
      <c r="AH66" s="44" t="s">
        <v>39</v>
      </c>
      <c r="AI66" s="44" t="s">
        <v>40</v>
      </c>
      <c r="AJ66" s="44" t="s">
        <v>41</v>
      </c>
      <c r="AK66" s="44" t="s">
        <v>42</v>
      </c>
      <c r="AL66" s="44" t="s">
        <v>43</v>
      </c>
      <c r="AM66" s="44" t="s">
        <v>44</v>
      </c>
      <c r="AN66" s="44" t="s">
        <v>45</v>
      </c>
      <c r="AO66" s="44" t="s">
        <v>46</v>
      </c>
      <c r="AP66" s="44" t="s">
        <v>47</v>
      </c>
      <c r="AQ66" s="44" t="s">
        <v>48</v>
      </c>
      <c r="AR66" s="44" t="s">
        <v>37</v>
      </c>
      <c r="AS66" s="44" t="s">
        <v>38</v>
      </c>
      <c r="AT66" s="44" t="s">
        <v>39</v>
      </c>
      <c r="AU66" s="44" t="s">
        <v>40</v>
      </c>
      <c r="AV66" s="44" t="s">
        <v>41</v>
      </c>
      <c r="AW66" s="44" t="s">
        <v>42</v>
      </c>
      <c r="AX66" s="44" t="s">
        <v>43</v>
      </c>
      <c r="AY66" s="44" t="s">
        <v>44</v>
      </c>
      <c r="AZ66" s="44" t="s">
        <v>45</v>
      </c>
      <c r="BA66" s="44" t="s">
        <v>46</v>
      </c>
      <c r="BB66" s="44" t="s">
        <v>47</v>
      </c>
      <c r="BC66" s="44" t="s">
        <v>48</v>
      </c>
      <c r="BD66" s="44" t="s">
        <v>37</v>
      </c>
      <c r="BE66" s="44" t="s">
        <v>38</v>
      </c>
      <c r="BF66" s="44" t="s">
        <v>39</v>
      </c>
      <c r="BG66" s="44" t="s">
        <v>40</v>
      </c>
      <c r="BH66" s="44" t="s">
        <v>41</v>
      </c>
      <c r="BI66" s="44" t="s">
        <v>42</v>
      </c>
      <c r="BJ66" s="44" t="s">
        <v>43</v>
      </c>
      <c r="BK66" s="44" t="s">
        <v>44</v>
      </c>
      <c r="BL66" s="44" t="s">
        <v>45</v>
      </c>
      <c r="BM66" s="44" t="s">
        <v>46</v>
      </c>
      <c r="BN66" s="44" t="s">
        <v>47</v>
      </c>
      <c r="BO66" s="44" t="s">
        <v>48</v>
      </c>
      <c r="BP66" s="44" t="s">
        <v>37</v>
      </c>
      <c r="BQ66" s="44" t="s">
        <v>38</v>
      </c>
      <c r="BR66" s="44" t="s">
        <v>39</v>
      </c>
      <c r="BS66" s="44" t="s">
        <v>40</v>
      </c>
      <c r="BT66" s="44" t="s">
        <v>41</v>
      </c>
      <c r="BU66" s="44" t="s">
        <v>42</v>
      </c>
      <c r="BV66" s="44" t="s">
        <v>43</v>
      </c>
      <c r="BW66" s="44" t="s">
        <v>44</v>
      </c>
      <c r="BX66" s="44" t="s">
        <v>45</v>
      </c>
      <c r="BY66" s="44" t="s">
        <v>46</v>
      </c>
      <c r="BZ66" s="44" t="s">
        <v>47</v>
      </c>
      <c r="CA66" s="44" t="s">
        <v>48</v>
      </c>
      <c r="CB66" s="44" t="s">
        <v>37</v>
      </c>
      <c r="CC66" s="44" t="s">
        <v>38</v>
      </c>
      <c r="CD66" s="44" t="s">
        <v>39</v>
      </c>
      <c r="CE66" s="44" t="s">
        <v>40</v>
      </c>
      <c r="CF66" s="44" t="s">
        <v>41</v>
      </c>
      <c r="CG66" s="44" t="s">
        <v>42</v>
      </c>
      <c r="CH66" s="44" t="s">
        <v>43</v>
      </c>
      <c r="CI66" s="44" t="s">
        <v>44</v>
      </c>
      <c r="CJ66" s="44" t="s">
        <v>45</v>
      </c>
      <c r="CK66" s="44" t="s">
        <v>46</v>
      </c>
      <c r="CL66" s="44" t="s">
        <v>47</v>
      </c>
      <c r="CM66" s="44" t="s">
        <v>48</v>
      </c>
      <c r="CN66" s="44" t="s">
        <v>37</v>
      </c>
      <c r="CO66" s="44" t="s">
        <v>38</v>
      </c>
      <c r="CP66" s="44" t="s">
        <v>39</v>
      </c>
      <c r="CQ66" s="44" t="s">
        <v>40</v>
      </c>
      <c r="CR66" s="44" t="s">
        <v>41</v>
      </c>
      <c r="CS66" s="44" t="s">
        <v>42</v>
      </c>
      <c r="CT66" s="44" t="s">
        <v>43</v>
      </c>
      <c r="CU66" s="44" t="s">
        <v>44</v>
      </c>
      <c r="CV66" s="44" t="s">
        <v>45</v>
      </c>
      <c r="CW66" s="44" t="s">
        <v>46</v>
      </c>
      <c r="CX66" s="44" t="s">
        <v>47</v>
      </c>
      <c r="CY66" s="44" t="s">
        <v>48</v>
      </c>
      <c r="CZ66" s="44" t="s">
        <v>37</v>
      </c>
      <c r="DA66" s="44" t="s">
        <v>38</v>
      </c>
      <c r="DB66" s="44" t="s">
        <v>39</v>
      </c>
      <c r="DC66" s="44" t="s">
        <v>40</v>
      </c>
      <c r="DD66" s="44" t="s">
        <v>41</v>
      </c>
      <c r="DE66" s="44" t="s">
        <v>42</v>
      </c>
      <c r="DF66" s="44" t="s">
        <v>43</v>
      </c>
      <c r="DG66" s="44" t="s">
        <v>44</v>
      </c>
      <c r="DH66" s="44" t="s">
        <v>45</v>
      </c>
      <c r="DI66" s="44" t="s">
        <v>46</v>
      </c>
      <c r="DJ66" s="44" t="s">
        <v>47</v>
      </c>
      <c r="DK66" s="44" t="s">
        <v>48</v>
      </c>
      <c r="DL66" s="35"/>
      <c r="DM66" s="33"/>
      <c r="DN66" s="35"/>
    </row>
    <row r="67" spans="1:118" ht="15.75" x14ac:dyDescent="0.2">
      <c r="A67" s="40" t="s">
        <v>61</v>
      </c>
      <c r="B67" s="33" t="s">
        <v>53</v>
      </c>
      <c r="C67" s="34">
        <v>0</v>
      </c>
      <c r="D67" s="34">
        <v>0</v>
      </c>
      <c r="E67" s="34">
        <v>0</v>
      </c>
      <c r="F67" s="34">
        <v>0</v>
      </c>
      <c r="G67" s="34">
        <f>199115/19</f>
        <v>10479.736842105263</v>
      </c>
      <c r="H67" s="34">
        <f>375938/30</f>
        <v>12531.266666666666</v>
      </c>
      <c r="I67" s="34">
        <f>400172/31</f>
        <v>12908.774193548386</v>
      </c>
      <c r="J67" s="34">
        <f>443876/31</f>
        <v>14318.58064516129</v>
      </c>
      <c r="K67" s="34">
        <f>490933/30</f>
        <v>16364.433333333332</v>
      </c>
      <c r="L67" s="34">
        <f>433900/28</f>
        <v>15496.428571428571</v>
      </c>
      <c r="M67" s="34">
        <f>514700/30</f>
        <v>17156.666666666668</v>
      </c>
      <c r="N67" s="34">
        <f>529452/31</f>
        <v>17079.096774193549</v>
      </c>
      <c r="O67" s="33"/>
      <c r="P67" s="33"/>
      <c r="Q67" s="33"/>
      <c r="S67" s="50" t="s">
        <v>94</v>
      </c>
      <c r="T67" s="51">
        <f>-$DP17/36*1000000</f>
        <v>-218055555.55555555</v>
      </c>
      <c r="U67" s="51">
        <f t="shared" ref="U67:BA67" si="21">T67-$DP17/35*1000000</f>
        <v>-442341269.84126985</v>
      </c>
      <c r="V67" s="51">
        <f t="shared" si="21"/>
        <v>-666626984.12698412</v>
      </c>
      <c r="W67" s="51">
        <f t="shared" si="21"/>
        <v>-890912698.41269839</v>
      </c>
      <c r="X67" s="51">
        <f t="shared" si="21"/>
        <v>-1115198412.6984127</v>
      </c>
      <c r="Y67" s="51">
        <f t="shared" si="21"/>
        <v>-1339484126.984127</v>
      </c>
      <c r="Z67" s="51">
        <f t="shared" si="21"/>
        <v>-1563769841.2698412</v>
      </c>
      <c r="AA67" s="51">
        <f t="shared" si="21"/>
        <v>-1788055555.5555553</v>
      </c>
      <c r="AB67" s="51">
        <f t="shared" si="21"/>
        <v>-2012341269.8412695</v>
      </c>
      <c r="AC67" s="51">
        <f t="shared" si="21"/>
        <v>-2236626984.1269836</v>
      </c>
      <c r="AD67" s="51">
        <f t="shared" si="21"/>
        <v>-2460912698.4126978</v>
      </c>
      <c r="AE67" s="51">
        <f t="shared" si="21"/>
        <v>-2685198412.6984119</v>
      </c>
      <c r="AF67" s="51">
        <f t="shared" si="21"/>
        <v>-2909484126.9841261</v>
      </c>
      <c r="AG67" s="51">
        <f t="shared" si="21"/>
        <v>-3133769841.2698402</v>
      </c>
      <c r="AH67" s="51">
        <f t="shared" si="21"/>
        <v>-3358055555.5555544</v>
      </c>
      <c r="AI67" s="51">
        <f t="shared" si="21"/>
        <v>-3582341269.8412685</v>
      </c>
      <c r="AJ67" s="51">
        <f t="shared" si="21"/>
        <v>-3806626984.1269827</v>
      </c>
      <c r="AK67" s="51">
        <f t="shared" si="21"/>
        <v>-4030912698.4126968</v>
      </c>
      <c r="AL67" s="51">
        <f t="shared" si="21"/>
        <v>-4255198412.698411</v>
      </c>
      <c r="AM67" s="51">
        <f t="shared" si="21"/>
        <v>-4479484126.9841251</v>
      </c>
      <c r="AN67" s="51">
        <f t="shared" si="21"/>
        <v>-4703769841.2698393</v>
      </c>
      <c r="AO67" s="51">
        <f t="shared" si="21"/>
        <v>-4928055555.5555534</v>
      </c>
      <c r="AP67" s="51">
        <f t="shared" si="21"/>
        <v>-5152341269.8412676</v>
      </c>
      <c r="AQ67" s="51">
        <f t="shared" si="21"/>
        <v>-5376626984.1269817</v>
      </c>
      <c r="AR67" s="51">
        <f t="shared" si="21"/>
        <v>-5600912698.4126959</v>
      </c>
      <c r="AS67" s="51">
        <f t="shared" si="21"/>
        <v>-5825198412.69841</v>
      </c>
      <c r="AT67" s="51">
        <f t="shared" si="21"/>
        <v>-6049484126.9841242</v>
      </c>
      <c r="AU67" s="51">
        <f t="shared" si="21"/>
        <v>-6273769841.2698383</v>
      </c>
      <c r="AV67" s="51">
        <f t="shared" si="21"/>
        <v>-6498055555.5555525</v>
      </c>
      <c r="AW67" s="51">
        <f t="shared" si="21"/>
        <v>-6722341269.8412666</v>
      </c>
      <c r="AX67" s="51">
        <f t="shared" si="21"/>
        <v>-6946626984.1269808</v>
      </c>
      <c r="AY67" s="51">
        <f t="shared" si="21"/>
        <v>-7170912698.4126949</v>
      </c>
      <c r="AZ67" s="51">
        <f t="shared" si="21"/>
        <v>-7395198412.6984091</v>
      </c>
      <c r="BA67" s="51">
        <f t="shared" si="21"/>
        <v>-7619484126.9841232</v>
      </c>
      <c r="BB67" s="51">
        <f>BA67-$DP17/35*1000000</f>
        <v>-7843769841.2698374</v>
      </c>
      <c r="BC67" s="51">
        <f>BB67+BC$20*$DP$8*0.8125</f>
        <v>-7834743668.2698374</v>
      </c>
      <c r="BD67" s="51">
        <f t="shared" ref="BD67:DG67" si="22">BC67+BD$20*$DP$8*0.8125</f>
        <v>-7807604951.9573374</v>
      </c>
      <c r="BE67" s="51">
        <f t="shared" si="22"/>
        <v>-7769850301.5823374</v>
      </c>
      <c r="BF67" s="51">
        <f t="shared" si="22"/>
        <v>-7717337142.8323374</v>
      </c>
      <c r="BG67" s="51">
        <f t="shared" si="22"/>
        <v>-7655894867.4573374</v>
      </c>
      <c r="BH67" s="51">
        <f t="shared" si="22"/>
        <v>-7588969815.2698374</v>
      </c>
      <c r="BI67" s="51">
        <f t="shared" si="22"/>
        <v>-7520681431.9573374</v>
      </c>
      <c r="BJ67" s="51">
        <f t="shared" si="22"/>
        <v>-7467120951.7698374</v>
      </c>
      <c r="BK67" s="51">
        <f t="shared" si="22"/>
        <v>-7386760439.3948374</v>
      </c>
      <c r="BL67" s="51">
        <f t="shared" si="22"/>
        <v>-7313036934.0198374</v>
      </c>
      <c r="BM67" s="51">
        <f t="shared" si="22"/>
        <v>-7237355915.4573374</v>
      </c>
      <c r="BN67" s="51">
        <f t="shared" si="22"/>
        <v>-7173357158.3948374</v>
      </c>
      <c r="BO67" s="51">
        <f t="shared" si="22"/>
        <v>-7096159398.1448374</v>
      </c>
      <c r="BP67" s="51">
        <f t="shared" si="22"/>
        <v>-7019368205.5823374</v>
      </c>
      <c r="BQ67" s="51">
        <f t="shared" si="22"/>
        <v>-6947208782.2073374</v>
      </c>
      <c r="BR67" s="51">
        <f t="shared" si="22"/>
        <v>-6868015077.5198374</v>
      </c>
      <c r="BS67" s="51">
        <f t="shared" si="22"/>
        <v>-6789648902.4573374</v>
      </c>
      <c r="BT67" s="51">
        <f t="shared" si="22"/>
        <v>-6706345255.0823374</v>
      </c>
      <c r="BU67" s="51">
        <f t="shared" si="22"/>
        <v>-6607627252.5823374</v>
      </c>
      <c r="BV67" s="51">
        <f t="shared" si="22"/>
        <v>-6505052219.9573374</v>
      </c>
      <c r="BW67" s="51">
        <f t="shared" si="22"/>
        <v>-6404991429.5823374</v>
      </c>
      <c r="BX67" s="51">
        <f t="shared" si="22"/>
        <v>-6296811373.8323374</v>
      </c>
      <c r="BY67" s="51">
        <f t="shared" si="22"/>
        <v>-6184506526.9573374</v>
      </c>
      <c r="BZ67" s="51">
        <f t="shared" si="22"/>
        <v>-6082378240.1448374</v>
      </c>
      <c r="CA67" s="51">
        <f t="shared" si="22"/>
        <v>-5964934820.7073374</v>
      </c>
      <c r="CB67" s="51">
        <f t="shared" si="22"/>
        <v>-5848305759.4573374</v>
      </c>
      <c r="CC67" s="51">
        <f t="shared" si="22"/>
        <v>-5744064382.7698374</v>
      </c>
      <c r="CD67" s="51">
        <f t="shared" si="22"/>
        <v>-5624585819.0198374</v>
      </c>
      <c r="CE67" s="51">
        <f t="shared" si="22"/>
        <v>-5505243965.7073374</v>
      </c>
      <c r="CF67" s="51">
        <f t="shared" si="22"/>
        <v>-5376926948.1448374</v>
      </c>
      <c r="CG67" s="51">
        <f t="shared" si="22"/>
        <v>-5247671649.0823374</v>
      </c>
      <c r="CH67" s="51">
        <f t="shared" si="22"/>
        <v>-5116170497.6448374</v>
      </c>
      <c r="CI67" s="51">
        <f t="shared" si="22"/>
        <v>-5009611812.961648</v>
      </c>
      <c r="CJ67" s="51">
        <f t="shared" si="22"/>
        <v>-4897622381.836648</v>
      </c>
      <c r="CK67" s="51">
        <f t="shared" si="22"/>
        <v>-4798161992.399148</v>
      </c>
      <c r="CL67" s="51">
        <f t="shared" si="22"/>
        <v>-4684787813.461648</v>
      </c>
      <c r="CM67" s="51">
        <f t="shared" si="22"/>
        <v>-4564522107.836648</v>
      </c>
      <c r="CN67" s="51">
        <f t="shared" si="22"/>
        <v>-4443404660.899148</v>
      </c>
      <c r="CO67" s="51">
        <f t="shared" si="22"/>
        <v>-4329624717.836648</v>
      </c>
      <c r="CP67" s="51">
        <f t="shared" si="22"/>
        <v>-4200622296.399148</v>
      </c>
      <c r="CQ67" s="51">
        <f t="shared" si="22"/>
        <v>-4077977102.461648</v>
      </c>
      <c r="CR67" s="51">
        <f t="shared" si="22"/>
        <v>-3936362138.711648</v>
      </c>
      <c r="CS67" s="51">
        <f t="shared" si="22"/>
        <v>-3796318419.149148</v>
      </c>
      <c r="CT67" s="51">
        <f t="shared" si="22"/>
        <v>-3640048117.461648</v>
      </c>
      <c r="CU67" s="51">
        <f t="shared" si="22"/>
        <v>-3477957927.024148</v>
      </c>
      <c r="CV67" s="51">
        <f t="shared" si="22"/>
        <v>-3323660545.961648</v>
      </c>
      <c r="CW67" s="51">
        <f t="shared" si="22"/>
        <v>-3169294792.211648</v>
      </c>
      <c r="CX67" s="51">
        <f t="shared" si="22"/>
        <v>-3024041961.274148</v>
      </c>
      <c r="CY67" s="51">
        <f t="shared" si="22"/>
        <v>-2868433410.774148</v>
      </c>
      <c r="CZ67" s="51">
        <f t="shared" si="22"/>
        <v>-2701870032.461648</v>
      </c>
      <c r="DA67" s="51">
        <f t="shared" si="22"/>
        <v>-2553947382.586648</v>
      </c>
      <c r="DB67" s="51">
        <f t="shared" si="22"/>
        <v>-2393681104.336648</v>
      </c>
      <c r="DC67" s="51">
        <f t="shared" si="22"/>
        <v>-2238029440.961648</v>
      </c>
      <c r="DD67" s="51">
        <f t="shared" si="22"/>
        <v>-2125584739.274148</v>
      </c>
      <c r="DE67" s="51">
        <f t="shared" si="22"/>
        <v>-1970983646.524148</v>
      </c>
      <c r="DF67" s="51">
        <f t="shared" si="22"/>
        <v>-1835662638.461648</v>
      </c>
      <c r="DG67" s="51">
        <f t="shared" si="22"/>
        <v>-1735673085.649148</v>
      </c>
      <c r="DH67" s="51"/>
      <c r="DI67" s="51"/>
      <c r="DJ67" s="51"/>
      <c r="DK67" s="51"/>
      <c r="DL67" s="35"/>
      <c r="DM67" s="37"/>
    </row>
    <row r="68" spans="1:118" ht="15.75" x14ac:dyDescent="0.2">
      <c r="A68" s="40" t="s">
        <v>61</v>
      </c>
      <c r="B68" s="33" t="s">
        <v>54</v>
      </c>
      <c r="C68" s="34">
        <f>319015/31</f>
        <v>10290.806451612903</v>
      </c>
      <c r="D68" s="34">
        <f>277831/28</f>
        <v>9922.5357142857138</v>
      </c>
      <c r="E68" s="34">
        <f>304470/31</f>
        <v>9821.6129032258068</v>
      </c>
      <c r="F68" s="34">
        <f>292339/30</f>
        <v>9744.6333333333332</v>
      </c>
      <c r="G68" s="34">
        <f>278535/31</f>
        <v>8985</v>
      </c>
      <c r="H68" s="34">
        <f>273085/30</f>
        <v>9102.8333333333339</v>
      </c>
      <c r="I68" s="34">
        <f>269870/31</f>
        <v>8705.4838709677424</v>
      </c>
      <c r="J68" s="34">
        <f>244395/31</f>
        <v>7883.7096774193551</v>
      </c>
      <c r="K68" s="34">
        <f>252601/30</f>
        <v>8420.0333333333328</v>
      </c>
      <c r="L68" s="34">
        <f>219844/28</f>
        <v>7851.5714285714284</v>
      </c>
      <c r="M68" s="34">
        <f>246745/30</f>
        <v>8224.8333333333339</v>
      </c>
      <c r="N68" s="34">
        <f>256367/31</f>
        <v>8269.9032258064508</v>
      </c>
      <c r="O68" s="33"/>
      <c r="P68" s="33"/>
      <c r="Q68" s="33"/>
      <c r="S68" s="50" t="s">
        <v>95</v>
      </c>
      <c r="T68" s="51">
        <f>-3500000000/36</f>
        <v>-97222222.222222224</v>
      </c>
      <c r="U68" s="51">
        <f t="shared" ref="U68:BA68" si="23">T68-3500000000/35</f>
        <v>-197222222.22222221</v>
      </c>
      <c r="V68" s="51">
        <f t="shared" si="23"/>
        <v>-297222222.22222221</v>
      </c>
      <c r="W68" s="51">
        <f t="shared" si="23"/>
        <v>-397222222.22222221</v>
      </c>
      <c r="X68" s="51">
        <f t="shared" si="23"/>
        <v>-497222222.22222221</v>
      </c>
      <c r="Y68" s="51">
        <f t="shared" si="23"/>
        <v>-597222222.22222221</v>
      </c>
      <c r="Z68" s="51">
        <f t="shared" si="23"/>
        <v>-697222222.22222221</v>
      </c>
      <c r="AA68" s="51">
        <f t="shared" si="23"/>
        <v>-797222222.22222221</v>
      </c>
      <c r="AB68" s="51">
        <f t="shared" si="23"/>
        <v>-897222222.22222221</v>
      </c>
      <c r="AC68" s="51">
        <f t="shared" si="23"/>
        <v>-997222222.22222221</v>
      </c>
      <c r="AD68" s="51">
        <f t="shared" si="23"/>
        <v>-1097222222.2222223</v>
      </c>
      <c r="AE68" s="51">
        <f t="shared" si="23"/>
        <v>-1197222222.2222223</v>
      </c>
      <c r="AF68" s="51">
        <f t="shared" si="23"/>
        <v>-1297222222.2222223</v>
      </c>
      <c r="AG68" s="51">
        <f t="shared" si="23"/>
        <v>-1397222222.2222223</v>
      </c>
      <c r="AH68" s="51">
        <f t="shared" si="23"/>
        <v>-1497222222.2222223</v>
      </c>
      <c r="AI68" s="51">
        <f t="shared" si="23"/>
        <v>-1597222222.2222223</v>
      </c>
      <c r="AJ68" s="51">
        <f t="shared" si="23"/>
        <v>-1697222222.2222223</v>
      </c>
      <c r="AK68" s="51">
        <f t="shared" si="23"/>
        <v>-1797222222.2222223</v>
      </c>
      <c r="AL68" s="51">
        <f t="shared" si="23"/>
        <v>-1897222222.2222223</v>
      </c>
      <c r="AM68" s="51">
        <f t="shared" si="23"/>
        <v>-1997222222.2222223</v>
      </c>
      <c r="AN68" s="51">
        <f t="shared" si="23"/>
        <v>-2097222222.2222223</v>
      </c>
      <c r="AO68" s="51">
        <f t="shared" si="23"/>
        <v>-2197222222.2222223</v>
      </c>
      <c r="AP68" s="51">
        <f t="shared" si="23"/>
        <v>-2297222222.2222223</v>
      </c>
      <c r="AQ68" s="51">
        <f t="shared" si="23"/>
        <v>-2397222222.2222223</v>
      </c>
      <c r="AR68" s="51">
        <f t="shared" si="23"/>
        <v>-2497222222.2222223</v>
      </c>
      <c r="AS68" s="51">
        <f t="shared" si="23"/>
        <v>-2597222222.2222223</v>
      </c>
      <c r="AT68" s="51">
        <f t="shared" si="23"/>
        <v>-2697222222.2222223</v>
      </c>
      <c r="AU68" s="51">
        <f t="shared" si="23"/>
        <v>-2797222222.2222223</v>
      </c>
      <c r="AV68" s="51">
        <f t="shared" si="23"/>
        <v>-2897222222.2222223</v>
      </c>
      <c r="AW68" s="51">
        <f t="shared" si="23"/>
        <v>-2997222222.2222223</v>
      </c>
      <c r="AX68" s="51">
        <f t="shared" si="23"/>
        <v>-3097222222.2222223</v>
      </c>
      <c r="AY68" s="51">
        <f t="shared" si="23"/>
        <v>-3197222222.2222223</v>
      </c>
      <c r="AZ68" s="51">
        <f t="shared" si="23"/>
        <v>-3297222222.2222223</v>
      </c>
      <c r="BA68" s="51">
        <f t="shared" si="23"/>
        <v>-3397222222.2222223</v>
      </c>
      <c r="BB68" s="51">
        <f>BA68-3500000000/35</f>
        <v>-3497222222.2222223</v>
      </c>
      <c r="BC68" s="51">
        <f>BB68+BC$20*$DP$9*0.8125</f>
        <v>-3486936583.2222223</v>
      </c>
      <c r="BD68" s="51">
        <f t="shared" ref="BD68:DG68" si="24">BC68+BD$20*$DP$9*0.8125</f>
        <v>-3456011069.2847223</v>
      </c>
      <c r="BE68" s="51">
        <f t="shared" si="24"/>
        <v>-3412988328.1597223</v>
      </c>
      <c r="BF68" s="51">
        <f t="shared" si="24"/>
        <v>-3353147751.9097223</v>
      </c>
      <c r="BG68" s="51">
        <f t="shared" si="24"/>
        <v>-3283132135.7847223</v>
      </c>
      <c r="BH68" s="51">
        <f t="shared" si="24"/>
        <v>-3206868704.2222223</v>
      </c>
      <c r="BI68" s="51">
        <f t="shared" si="24"/>
        <v>-3129051709.2847223</v>
      </c>
      <c r="BJ68" s="51">
        <f t="shared" si="24"/>
        <v>-3068017673.7222223</v>
      </c>
      <c r="BK68" s="51">
        <f t="shared" si="24"/>
        <v>-2976444066.5972223</v>
      </c>
      <c r="BL68" s="51">
        <f t="shared" si="24"/>
        <v>-2892433560.4722223</v>
      </c>
      <c r="BM68" s="51">
        <f t="shared" si="24"/>
        <v>-2806192399.7847223</v>
      </c>
      <c r="BN68" s="51">
        <f t="shared" si="24"/>
        <v>-2733263583.5972223</v>
      </c>
      <c r="BO68" s="51">
        <f t="shared" si="24"/>
        <v>-2645294042.8472223</v>
      </c>
      <c r="BP68" s="51">
        <f t="shared" si="24"/>
        <v>-2557787800.1597223</v>
      </c>
      <c r="BQ68" s="51">
        <f t="shared" si="24"/>
        <v>-2475559620.0347223</v>
      </c>
      <c r="BR68" s="51">
        <f t="shared" si="24"/>
        <v>-2385315630.9722223</v>
      </c>
      <c r="BS68" s="51">
        <f t="shared" si="24"/>
        <v>-2296014640.7847223</v>
      </c>
      <c r="BT68" s="51">
        <f t="shared" si="24"/>
        <v>-2201087228.6597223</v>
      </c>
      <c r="BU68" s="51">
        <f t="shared" si="24"/>
        <v>-2088594621.1597223</v>
      </c>
      <c r="BV68" s="51">
        <f t="shared" si="24"/>
        <v>-1971706793.2847223</v>
      </c>
      <c r="BW68" s="51">
        <f t="shared" si="24"/>
        <v>-1857684032.1597223</v>
      </c>
      <c r="BX68" s="51">
        <f t="shared" si="24"/>
        <v>-1734409084.9097223</v>
      </c>
      <c r="BY68" s="51">
        <f t="shared" si="24"/>
        <v>-1606433794.2847223</v>
      </c>
      <c r="BZ68" s="51">
        <f t="shared" si="24"/>
        <v>-1490055048.8472223</v>
      </c>
      <c r="CA68" s="51">
        <f t="shared" si="24"/>
        <v>-1356224175.5347223</v>
      </c>
      <c r="CB68" s="51">
        <f t="shared" si="24"/>
        <v>-1223321291.7847223</v>
      </c>
      <c r="CC68" s="51">
        <f t="shared" si="24"/>
        <v>-1104534606.7222223</v>
      </c>
      <c r="CD68" s="51">
        <f t="shared" si="24"/>
        <v>-968384615.47222233</v>
      </c>
      <c r="CE68" s="51">
        <f t="shared" si="24"/>
        <v>-832390410.53472233</v>
      </c>
      <c r="CF68" s="51">
        <f t="shared" si="24"/>
        <v>-686168692.84722233</v>
      </c>
      <c r="CG68" s="51">
        <f t="shared" si="24"/>
        <v>-538877770.65972233</v>
      </c>
      <c r="CH68" s="51">
        <f t="shared" si="24"/>
        <v>-389027621.34722233</v>
      </c>
      <c r="CI68" s="51">
        <f t="shared" si="24"/>
        <v>-267600282.98730853</v>
      </c>
      <c r="CJ68" s="51">
        <f t="shared" si="24"/>
        <v>-139984419.61230853</v>
      </c>
      <c r="CK68" s="51">
        <f t="shared" si="24"/>
        <v>-26645836.299808532</v>
      </c>
      <c r="CL68" s="51">
        <f t="shared" si="24"/>
        <v>102547995.51269147</v>
      </c>
      <c r="CM68" s="51">
        <f t="shared" si="24"/>
        <v>239594962.38769147</v>
      </c>
      <c r="CN68" s="51">
        <f t="shared" si="24"/>
        <v>377612518.2001915</v>
      </c>
      <c r="CO68" s="51">
        <f t="shared" si="24"/>
        <v>507268732.3876915</v>
      </c>
      <c r="CP68" s="51">
        <f t="shared" si="24"/>
        <v>654271491.7001915</v>
      </c>
      <c r="CQ68" s="51">
        <f t="shared" si="24"/>
        <v>794029968.5126915</v>
      </c>
      <c r="CR68" s="51">
        <f t="shared" si="24"/>
        <v>955405159.7626915</v>
      </c>
      <c r="CS68" s="51">
        <f t="shared" si="24"/>
        <v>1114989863.4501915</v>
      </c>
      <c r="CT68" s="51">
        <f t="shared" si="24"/>
        <v>1293065323.5126915</v>
      </c>
      <c r="CU68" s="51">
        <f t="shared" si="24"/>
        <v>1477772749.8251915</v>
      </c>
      <c r="CV68" s="51">
        <f t="shared" si="24"/>
        <v>1653599998.0126915</v>
      </c>
      <c r="CW68" s="51">
        <f t="shared" si="24"/>
        <v>1829505159.2626915</v>
      </c>
      <c r="CX68" s="51">
        <f t="shared" si="24"/>
        <v>1995025827.0751915</v>
      </c>
      <c r="CY68" s="51">
        <f t="shared" si="24"/>
        <v>2172347198.5751915</v>
      </c>
      <c r="CZ68" s="51">
        <f t="shared" si="24"/>
        <v>2362151978.5126915</v>
      </c>
      <c r="DA68" s="51">
        <f t="shared" si="24"/>
        <v>2530714998.1376915</v>
      </c>
      <c r="DB68" s="51">
        <f t="shared" si="24"/>
        <v>2713344012.8876915</v>
      </c>
      <c r="DC68" s="51">
        <f t="shared" si="24"/>
        <v>2890714513.0126915</v>
      </c>
      <c r="DD68" s="51">
        <f t="shared" si="24"/>
        <v>3018849173.0751915</v>
      </c>
      <c r="DE68" s="51">
        <f t="shared" si="24"/>
        <v>3195022511.3251915</v>
      </c>
      <c r="DF68" s="51">
        <f t="shared" si="24"/>
        <v>3349225520.5126915</v>
      </c>
      <c r="DG68" s="51">
        <f t="shared" si="24"/>
        <v>3463167103.9501915</v>
      </c>
      <c r="DH68" s="51">
        <f t="shared" ref="DH68:DK68" si="25">DH62</f>
        <v>0</v>
      </c>
      <c r="DI68" s="51">
        <f t="shared" si="25"/>
        <v>0</v>
      </c>
      <c r="DJ68" s="51">
        <f t="shared" si="25"/>
        <v>0</v>
      </c>
      <c r="DK68" s="51">
        <f t="shared" si="25"/>
        <v>0</v>
      </c>
      <c r="DL68" s="35"/>
      <c r="DM68" s="38"/>
    </row>
    <row r="69" spans="1:118" ht="15.75" x14ac:dyDescent="0.2">
      <c r="A69" s="40" t="s">
        <v>61</v>
      </c>
      <c r="B69" s="33" t="s">
        <v>55</v>
      </c>
      <c r="C69" s="34">
        <f>481914/31</f>
        <v>15545.612903225807</v>
      </c>
      <c r="D69" s="34">
        <f>441932/28</f>
        <v>15783.285714285714</v>
      </c>
      <c r="E69" s="34">
        <f>474617/31</f>
        <v>15310.225806451614</v>
      </c>
      <c r="F69" s="34">
        <f>473493/30</f>
        <v>15783.1</v>
      </c>
      <c r="G69" s="34">
        <f>473562/31</f>
        <v>15276.193548387097</v>
      </c>
      <c r="H69" s="34">
        <f>468421/30</f>
        <v>15614.033333333333</v>
      </c>
      <c r="I69" s="34">
        <f>494513/31</f>
        <v>15952.032258064517</v>
      </c>
      <c r="J69" s="34">
        <f>474033/31</f>
        <v>15291.387096774193</v>
      </c>
      <c r="K69" s="34">
        <f>467036/30</f>
        <v>15567.866666666667</v>
      </c>
      <c r="L69" s="34">
        <f>415374/28</f>
        <v>14834.785714285714</v>
      </c>
      <c r="M69" s="34">
        <f>459363/30</f>
        <v>15312.1</v>
      </c>
      <c r="N69" s="34">
        <f>478692/31</f>
        <v>15441.677419354839</v>
      </c>
      <c r="O69" s="33"/>
      <c r="P69" s="33"/>
      <c r="Q69" s="33"/>
      <c r="S69" s="50" t="s">
        <v>93</v>
      </c>
      <c r="T69" s="51">
        <f>T62</f>
        <v>0</v>
      </c>
      <c r="U69" s="51">
        <f t="shared" ref="U69:AZ69" si="26">U62</f>
        <v>0</v>
      </c>
      <c r="V69" s="51">
        <f t="shared" si="26"/>
        <v>0</v>
      </c>
      <c r="W69" s="51">
        <f t="shared" si="26"/>
        <v>0</v>
      </c>
      <c r="X69" s="51">
        <f t="shared" si="26"/>
        <v>0</v>
      </c>
      <c r="Y69" s="51">
        <f t="shared" si="26"/>
        <v>0</v>
      </c>
      <c r="Z69" s="51">
        <f t="shared" si="26"/>
        <v>0</v>
      </c>
      <c r="AA69" s="51">
        <f t="shared" si="26"/>
        <v>0</v>
      </c>
      <c r="AB69" s="51">
        <f t="shared" si="26"/>
        <v>0</v>
      </c>
      <c r="AC69" s="51">
        <f t="shared" si="26"/>
        <v>0</v>
      </c>
      <c r="AD69" s="51">
        <f t="shared" si="26"/>
        <v>0</v>
      </c>
      <c r="AE69" s="51">
        <f t="shared" si="26"/>
        <v>0</v>
      </c>
      <c r="AF69" s="51">
        <f t="shared" si="26"/>
        <v>0</v>
      </c>
      <c r="AG69" s="51">
        <f t="shared" si="26"/>
        <v>0</v>
      </c>
      <c r="AH69" s="51">
        <f t="shared" si="26"/>
        <v>0</v>
      </c>
      <c r="AI69" s="51">
        <f t="shared" si="26"/>
        <v>0</v>
      </c>
      <c r="AJ69" s="51">
        <f t="shared" si="26"/>
        <v>0</v>
      </c>
      <c r="AK69" s="51">
        <f t="shared" si="26"/>
        <v>0</v>
      </c>
      <c r="AL69" s="51">
        <f t="shared" si="26"/>
        <v>0</v>
      </c>
      <c r="AM69" s="51">
        <f t="shared" si="26"/>
        <v>0</v>
      </c>
      <c r="AN69" s="51">
        <f t="shared" si="26"/>
        <v>0</v>
      </c>
      <c r="AO69" s="51">
        <f t="shared" si="26"/>
        <v>0</v>
      </c>
      <c r="AP69" s="51">
        <f t="shared" si="26"/>
        <v>0</v>
      </c>
      <c r="AQ69" s="51">
        <f t="shared" si="26"/>
        <v>0</v>
      </c>
      <c r="AR69" s="51">
        <f t="shared" si="26"/>
        <v>0</v>
      </c>
      <c r="AS69" s="51">
        <f t="shared" si="26"/>
        <v>0</v>
      </c>
      <c r="AT69" s="51">
        <f t="shared" si="26"/>
        <v>0</v>
      </c>
      <c r="AU69" s="51">
        <f t="shared" si="26"/>
        <v>0</v>
      </c>
      <c r="AV69" s="51">
        <f t="shared" si="26"/>
        <v>0</v>
      </c>
      <c r="AW69" s="51">
        <f t="shared" si="26"/>
        <v>0</v>
      </c>
      <c r="AX69" s="51">
        <f t="shared" si="26"/>
        <v>0</v>
      </c>
      <c r="AY69" s="51">
        <f t="shared" si="26"/>
        <v>0</v>
      </c>
      <c r="AZ69" s="51">
        <f t="shared" si="26"/>
        <v>0</v>
      </c>
      <c r="BA69" s="51"/>
      <c r="BB69" s="51"/>
      <c r="BC69" s="51"/>
      <c r="BD69" s="51">
        <f t="shared" ref="BD69:BE69" si="27">BC69+BD61*0.68/0.9</f>
        <v>0</v>
      </c>
      <c r="BE69" s="51">
        <f t="shared" si="27"/>
        <v>0</v>
      </c>
      <c r="BF69" s="51">
        <f>BE69+BF61*0.9/0.68</f>
        <v>0</v>
      </c>
      <c r="BG69" s="51">
        <f t="shared" ref="BG69:DK69" si="28">BF69+BG61*0.9/0.68</f>
        <v>0</v>
      </c>
      <c r="BH69" s="51">
        <f t="shared" si="28"/>
        <v>0</v>
      </c>
      <c r="BI69" s="51">
        <f t="shared" si="28"/>
        <v>0</v>
      </c>
      <c r="BJ69" s="51">
        <f t="shared" si="28"/>
        <v>0</v>
      </c>
      <c r="BK69" s="51">
        <f t="shared" si="28"/>
        <v>0</v>
      </c>
      <c r="BL69" s="51">
        <f t="shared" si="28"/>
        <v>0</v>
      </c>
      <c r="BM69" s="51">
        <f t="shared" si="28"/>
        <v>0</v>
      </c>
      <c r="BN69" s="51">
        <f t="shared" si="28"/>
        <v>0</v>
      </c>
      <c r="BO69" s="51">
        <f t="shared" si="28"/>
        <v>0</v>
      </c>
      <c r="BP69" s="51">
        <f t="shared" si="28"/>
        <v>0</v>
      </c>
      <c r="BQ69" s="51">
        <f t="shared" si="28"/>
        <v>0</v>
      </c>
      <c r="BR69" s="51">
        <f t="shared" si="28"/>
        <v>0</v>
      </c>
      <c r="BS69" s="51">
        <f t="shared" si="28"/>
        <v>0</v>
      </c>
      <c r="BT69" s="51">
        <f t="shared" si="28"/>
        <v>0</v>
      </c>
      <c r="BU69" s="51">
        <f t="shared" si="28"/>
        <v>0</v>
      </c>
      <c r="BV69" s="51">
        <f t="shared" si="28"/>
        <v>0</v>
      </c>
      <c r="BW69" s="51">
        <f t="shared" si="28"/>
        <v>0</v>
      </c>
      <c r="BX69" s="51">
        <f t="shared" si="28"/>
        <v>0</v>
      </c>
      <c r="BY69" s="51">
        <f t="shared" si="28"/>
        <v>0</v>
      </c>
      <c r="BZ69" s="51">
        <f t="shared" si="28"/>
        <v>0</v>
      </c>
      <c r="CA69" s="51">
        <f t="shared" si="28"/>
        <v>0</v>
      </c>
      <c r="CB69" s="51">
        <f t="shared" si="28"/>
        <v>0</v>
      </c>
      <c r="CC69" s="51">
        <f t="shared" si="28"/>
        <v>0</v>
      </c>
      <c r="CD69" s="51">
        <f t="shared" si="28"/>
        <v>0</v>
      </c>
      <c r="CE69" s="51">
        <f t="shared" si="28"/>
        <v>0</v>
      </c>
      <c r="CF69" s="51">
        <f t="shared" si="28"/>
        <v>0</v>
      </c>
      <c r="CG69" s="51">
        <f t="shared" si="28"/>
        <v>0</v>
      </c>
      <c r="CH69" s="51">
        <f t="shared" si="28"/>
        <v>0</v>
      </c>
      <c r="CI69" s="51">
        <f t="shared" si="28"/>
        <v>0</v>
      </c>
      <c r="CJ69" s="51">
        <f t="shared" si="28"/>
        <v>0</v>
      </c>
      <c r="CK69" s="51">
        <f t="shared" si="28"/>
        <v>0</v>
      </c>
      <c r="CL69" s="51">
        <f t="shared" si="28"/>
        <v>0</v>
      </c>
      <c r="CM69" s="51">
        <f t="shared" si="28"/>
        <v>0</v>
      </c>
      <c r="CN69" s="51">
        <f t="shared" si="28"/>
        <v>0</v>
      </c>
      <c r="CO69" s="51">
        <f t="shared" si="28"/>
        <v>0</v>
      </c>
      <c r="CP69" s="51">
        <f t="shared" si="28"/>
        <v>0</v>
      </c>
      <c r="CQ69" s="51">
        <f t="shared" si="28"/>
        <v>0</v>
      </c>
      <c r="CR69" s="51">
        <f t="shared" si="28"/>
        <v>0</v>
      </c>
      <c r="CS69" s="51">
        <f t="shared" si="28"/>
        <v>0</v>
      </c>
      <c r="CT69" s="51">
        <f t="shared" si="28"/>
        <v>0</v>
      </c>
      <c r="CU69" s="51">
        <f t="shared" si="28"/>
        <v>0</v>
      </c>
      <c r="CV69" s="51">
        <f t="shared" si="28"/>
        <v>0</v>
      </c>
      <c r="CW69" s="51">
        <f t="shared" si="28"/>
        <v>0</v>
      </c>
      <c r="CX69" s="51">
        <f t="shared" si="28"/>
        <v>0</v>
      </c>
      <c r="CY69" s="51">
        <f t="shared" si="28"/>
        <v>0</v>
      </c>
      <c r="CZ69" s="51">
        <f t="shared" si="28"/>
        <v>0</v>
      </c>
      <c r="DA69" s="51">
        <f t="shared" si="28"/>
        <v>0</v>
      </c>
      <c r="DB69" s="51">
        <f t="shared" si="28"/>
        <v>0</v>
      </c>
      <c r="DC69" s="51">
        <f t="shared" si="28"/>
        <v>0</v>
      </c>
      <c r="DD69" s="51">
        <f t="shared" si="28"/>
        <v>0</v>
      </c>
      <c r="DE69" s="51">
        <f t="shared" si="28"/>
        <v>0</v>
      </c>
      <c r="DF69" s="51">
        <f t="shared" si="28"/>
        <v>0</v>
      </c>
      <c r="DG69" s="51">
        <f t="shared" si="28"/>
        <v>0</v>
      </c>
      <c r="DH69" s="51">
        <f t="shared" si="28"/>
        <v>0</v>
      </c>
      <c r="DI69" s="51">
        <f t="shared" si="28"/>
        <v>0</v>
      </c>
      <c r="DJ69" s="51">
        <f t="shared" si="28"/>
        <v>0</v>
      </c>
      <c r="DK69" s="51">
        <f t="shared" si="28"/>
        <v>0</v>
      </c>
      <c r="DL69" s="35"/>
      <c r="DM69" s="38"/>
    </row>
    <row r="70" spans="1:118" ht="15.75" x14ac:dyDescent="0.2">
      <c r="A70" s="40" t="s">
        <v>61</v>
      </c>
      <c r="B70" s="33" t="s">
        <v>56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3"/>
      <c r="P70" s="33"/>
      <c r="Q70" s="33"/>
    </row>
    <row r="71" spans="1:118" ht="15.75" x14ac:dyDescent="0.2">
      <c r="A71" s="40" t="s">
        <v>61</v>
      </c>
      <c r="B71" s="33" t="s">
        <v>63</v>
      </c>
      <c r="C71" s="34">
        <f>426026/31</f>
        <v>13742.774193548386</v>
      </c>
      <c r="D71" s="34">
        <f>385157/28</f>
        <v>13755.607142857143</v>
      </c>
      <c r="E71" s="34">
        <f>445914/31</f>
        <v>14384.322580645161</v>
      </c>
      <c r="F71" s="34">
        <f>442442/30</f>
        <v>14748.066666666668</v>
      </c>
      <c r="G71" s="34">
        <f>458918/31</f>
        <v>14803.806451612903</v>
      </c>
      <c r="H71" s="34">
        <f>438130/30</f>
        <v>14604.333333333334</v>
      </c>
      <c r="I71" s="34">
        <f>457533/31</f>
        <v>14759.129032258064</v>
      </c>
      <c r="J71" s="34">
        <f>471394/31</f>
        <v>15206.258064516129</v>
      </c>
      <c r="K71" s="34">
        <f>492880/30</f>
        <v>16429.333333333332</v>
      </c>
      <c r="L71" s="34">
        <f>423367/28</f>
        <v>15120.25</v>
      </c>
      <c r="M71" s="34">
        <f>463650/30</f>
        <v>15455</v>
      </c>
      <c r="N71" s="34">
        <f>458039/31</f>
        <v>14775.451612903225</v>
      </c>
      <c r="O71" s="33"/>
      <c r="P71" s="33"/>
      <c r="Q71" s="33"/>
    </row>
    <row r="72" spans="1:118" ht="15.75" x14ac:dyDescent="0.2">
      <c r="A72" s="40" t="s">
        <v>61</v>
      </c>
      <c r="B72" s="33" t="s">
        <v>57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3"/>
      <c r="P72" s="33"/>
      <c r="Q72" s="33"/>
    </row>
    <row r="73" spans="1:118" ht="15.75" x14ac:dyDescent="0.2">
      <c r="A73" s="40" t="s">
        <v>60</v>
      </c>
      <c r="B73" s="33" t="s">
        <v>52</v>
      </c>
      <c r="C73" s="34">
        <f>64654/15</f>
        <v>4310.2666666666664</v>
      </c>
      <c r="D73" s="34">
        <f>738/1</f>
        <v>738</v>
      </c>
      <c r="E73" s="34">
        <f>135395/28</f>
        <v>4835.5357142857147</v>
      </c>
      <c r="F73" s="34">
        <f>219756/30</f>
        <v>7325.2</v>
      </c>
      <c r="G73" s="34">
        <f>216920/31</f>
        <v>6997.4193548387093</v>
      </c>
      <c r="H73" s="34">
        <f>209292/30</f>
        <v>6976.4</v>
      </c>
      <c r="I73" s="34">
        <f>226422/31</f>
        <v>7303.9354838709678</v>
      </c>
      <c r="J73" s="34">
        <f>65970/12</f>
        <v>5497.5</v>
      </c>
      <c r="K73" s="34">
        <v>0</v>
      </c>
      <c r="L73" s="34">
        <v>0</v>
      </c>
      <c r="M73" s="34">
        <v>0</v>
      </c>
      <c r="N73" s="34"/>
      <c r="O73" s="33"/>
      <c r="P73" s="33"/>
      <c r="Q73" s="33"/>
    </row>
    <row r="74" spans="1:118" ht="15.75" x14ac:dyDescent="0.2">
      <c r="A74" s="40" t="s">
        <v>60</v>
      </c>
      <c r="B74" s="33" t="s">
        <v>53</v>
      </c>
      <c r="C74" s="34">
        <f>297085/31</f>
        <v>9583.3870967741932</v>
      </c>
      <c r="D74" s="34">
        <f>269245/28</f>
        <v>9615.8928571428569</v>
      </c>
      <c r="E74" s="34">
        <f>291866/31</f>
        <v>9415.032258064517</v>
      </c>
      <c r="F74" s="34">
        <f>268119/30</f>
        <v>8937.2999999999993</v>
      </c>
      <c r="G74" s="34">
        <f>283117/31</f>
        <v>9132.8064516129034</v>
      </c>
      <c r="H74" s="34">
        <f>264394/30</f>
        <v>8813.1333333333332</v>
      </c>
      <c r="I74" s="34">
        <f>278887/31</f>
        <v>8996.354838709678</v>
      </c>
      <c r="J74" s="34">
        <f>230782/29</f>
        <v>7958</v>
      </c>
      <c r="K74" s="34">
        <f>251311/30</f>
        <v>8377.0333333333328</v>
      </c>
      <c r="L74" s="34">
        <f>223564/28</f>
        <v>7984.4285714285716</v>
      </c>
      <c r="M74" s="34">
        <f>247952/30</f>
        <v>8265.0666666666675</v>
      </c>
      <c r="N74" s="34">
        <f>254802/31</f>
        <v>8219.4193548387102</v>
      </c>
      <c r="O74" s="33"/>
      <c r="P74" s="33"/>
      <c r="Q74" s="33"/>
    </row>
    <row r="75" spans="1:118" ht="15.75" x14ac:dyDescent="0.2">
      <c r="A75" s="40" t="s">
        <v>60</v>
      </c>
      <c r="B75" s="33" t="s">
        <v>55</v>
      </c>
      <c r="C75" s="34">
        <f>484898/31</f>
        <v>15641.870967741936</v>
      </c>
      <c r="D75" s="34">
        <f>472221/28</f>
        <v>16865.035714285714</v>
      </c>
      <c r="E75" s="34">
        <f>510440/31</f>
        <v>16465.806451612902</v>
      </c>
      <c r="F75" s="34">
        <f>490978/30</f>
        <v>16365.933333333332</v>
      </c>
      <c r="G75" s="34">
        <f>520140/31</f>
        <v>16778.709677419356</v>
      </c>
      <c r="H75" s="34">
        <f>493931/30</f>
        <v>16464.366666666665</v>
      </c>
      <c r="I75" s="34">
        <f>441861/29</f>
        <v>15236.586206896553</v>
      </c>
      <c r="J75" s="34">
        <f>30527/5</f>
        <v>6105.4</v>
      </c>
      <c r="K75" s="34">
        <f>58041/10</f>
        <v>5804.1</v>
      </c>
      <c r="L75" s="34">
        <f>101259/12</f>
        <v>8438.25</v>
      </c>
      <c r="M75" s="34">
        <f>112113/14</f>
        <v>8008.0714285714284</v>
      </c>
      <c r="N75" s="34">
        <f>305956/31</f>
        <v>9869.5483870967746</v>
      </c>
      <c r="O75" s="33"/>
      <c r="P75" s="33"/>
      <c r="Q75" s="33"/>
    </row>
    <row r="76" spans="1:118" ht="15.75" x14ac:dyDescent="0.2">
      <c r="A76" s="40" t="s">
        <v>60</v>
      </c>
      <c r="B76" s="33" t="s">
        <v>56</v>
      </c>
      <c r="C76" s="34">
        <f>261156/31</f>
        <v>8424.3870967741932</v>
      </c>
      <c r="D76" s="34">
        <f>239876/28</f>
        <v>8567</v>
      </c>
      <c r="E76" s="34">
        <f>267062/31</f>
        <v>8614.9032258064508</v>
      </c>
      <c r="F76" s="34">
        <f>253200/30</f>
        <v>8440</v>
      </c>
      <c r="G76" s="34">
        <f>268217/31</f>
        <v>8652.1612903225814</v>
      </c>
      <c r="H76" s="34">
        <f>246728/30</f>
        <v>8224.2666666666664</v>
      </c>
      <c r="I76" s="34">
        <f>263577/31</f>
        <v>8502.4838709677424</v>
      </c>
      <c r="J76" s="34">
        <f>222426/29</f>
        <v>7669.8620689655172</v>
      </c>
      <c r="K76" s="34">
        <f>241265/30</f>
        <v>8042.166666666667</v>
      </c>
      <c r="L76" s="34">
        <f>206004/28</f>
        <v>7357.2857142857147</v>
      </c>
      <c r="M76" s="34">
        <f>232092/30</f>
        <v>7736.4</v>
      </c>
      <c r="N76" s="34">
        <f>237782/31</f>
        <v>7670.3870967741932</v>
      </c>
      <c r="O76" s="33"/>
      <c r="P76" s="33"/>
      <c r="Q76" s="33"/>
    </row>
    <row r="77" spans="1:118" ht="15.75" x14ac:dyDescent="0.2">
      <c r="A77" s="40" t="s">
        <v>60</v>
      </c>
      <c r="B77" s="33" t="s">
        <v>57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f>76258/13</f>
        <v>5866</v>
      </c>
      <c r="N77" s="34">
        <v>0</v>
      </c>
      <c r="O77" s="34"/>
      <c r="P77" s="34"/>
      <c r="Q77" s="34"/>
      <c r="R77" s="34"/>
      <c r="S77" s="34"/>
    </row>
    <row r="78" spans="1:118" ht="15.75" x14ac:dyDescent="0.2">
      <c r="A78" s="40" t="s">
        <v>60</v>
      </c>
      <c r="B78" s="33" t="s">
        <v>59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/>
      <c r="P78" s="34"/>
      <c r="Q78" s="34"/>
      <c r="R78" s="34"/>
      <c r="S78" s="34"/>
      <c r="BC78">
        <f>100-18.75</f>
        <v>81.25</v>
      </c>
    </row>
    <row r="79" spans="1:118" ht="15.75" x14ac:dyDescent="0.2">
      <c r="B79" s="42" t="s">
        <v>49</v>
      </c>
      <c r="C79" s="43">
        <f>SUM(C63:C78)</f>
        <v>109909.16989247312</v>
      </c>
      <c r="D79" s="43">
        <f t="shared" ref="D79:N79" si="29">SUM(D63:D78)</f>
        <v>107270.67857142857</v>
      </c>
      <c r="E79" s="43">
        <f t="shared" si="29"/>
        <v>110783.43894009216</v>
      </c>
      <c r="F79" s="43">
        <f t="shared" si="29"/>
        <v>113862.23333333334</v>
      </c>
      <c r="G79" s="43">
        <f t="shared" si="29"/>
        <v>122532.7691001698</v>
      </c>
      <c r="H79" s="43">
        <f t="shared" si="29"/>
        <v>123320.49999999999</v>
      </c>
      <c r="I79" s="43">
        <f t="shared" si="29"/>
        <v>123230.18576195773</v>
      </c>
      <c r="J79" s="43">
        <f t="shared" si="29"/>
        <v>110111.53626251391</v>
      </c>
      <c r="K79" s="43">
        <f t="shared" si="29"/>
        <v>110716.8</v>
      </c>
      <c r="L79" s="43">
        <f t="shared" si="29"/>
        <v>106493.60714285713</v>
      </c>
      <c r="M79" s="43">
        <f t="shared" si="29"/>
        <v>115763.60476190476</v>
      </c>
      <c r="N79" s="43">
        <f t="shared" si="29"/>
        <v>111042.25806451614</v>
      </c>
      <c r="O79" s="34"/>
      <c r="P79" s="34"/>
      <c r="Q79" s="34"/>
      <c r="R79" s="34"/>
      <c r="S79" s="34"/>
    </row>
    <row r="80" spans="1:118" ht="15.75" x14ac:dyDescent="0.2">
      <c r="B80" s="33"/>
      <c r="C80" s="34"/>
      <c r="D80" s="34"/>
      <c r="E80" s="34"/>
      <c r="F80" s="34"/>
      <c r="G80" s="34"/>
      <c r="H80" s="34"/>
      <c r="I80" s="34"/>
      <c r="J80" s="34"/>
    </row>
    <row r="81" spans="1:16" ht="15.75" x14ac:dyDescent="0.2">
      <c r="A81" s="33"/>
      <c r="B81" s="33"/>
      <c r="C81" s="33" t="s">
        <v>37</v>
      </c>
      <c r="D81" s="33" t="s">
        <v>38</v>
      </c>
      <c r="E81" s="33" t="s">
        <v>39</v>
      </c>
      <c r="F81" s="33" t="s">
        <v>40</v>
      </c>
      <c r="G81" s="33" t="s">
        <v>41</v>
      </c>
      <c r="H81" s="33" t="s">
        <v>42</v>
      </c>
      <c r="I81" s="33" t="s">
        <v>43</v>
      </c>
      <c r="J81" s="33" t="s">
        <v>44</v>
      </c>
      <c r="K81" s="33" t="s">
        <v>45</v>
      </c>
      <c r="L81" s="33" t="s">
        <v>46</v>
      </c>
      <c r="M81" s="33" t="s">
        <v>47</v>
      </c>
      <c r="N81" s="33" t="s">
        <v>48</v>
      </c>
      <c r="O81" s="33"/>
      <c r="P81" s="33"/>
    </row>
    <row r="82" spans="1:16" ht="15.75" x14ac:dyDescent="0.2">
      <c r="A82" s="33"/>
      <c r="B82" s="33" t="s">
        <v>50</v>
      </c>
      <c r="C82" s="33">
        <v>31</v>
      </c>
      <c r="D82" s="33">
        <v>28</v>
      </c>
      <c r="E82" s="33">
        <v>31</v>
      </c>
      <c r="F82" s="33">
        <v>30</v>
      </c>
      <c r="G82" s="33">
        <v>31</v>
      </c>
      <c r="H82" s="33">
        <v>30</v>
      </c>
      <c r="I82" s="33">
        <v>31</v>
      </c>
      <c r="J82" s="33">
        <v>31</v>
      </c>
      <c r="K82" s="33">
        <v>30</v>
      </c>
      <c r="L82" s="33">
        <v>31</v>
      </c>
      <c r="M82" s="33">
        <v>30</v>
      </c>
      <c r="N82" s="33">
        <v>31</v>
      </c>
      <c r="O82" s="33"/>
      <c r="P82" s="33"/>
    </row>
    <row r="83" spans="1:16" ht="15.75" x14ac:dyDescent="0.2">
      <c r="A83" s="33">
        <v>2018</v>
      </c>
      <c r="B83" s="33">
        <v>2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3"/>
      <c r="P83" s="33"/>
    </row>
    <row r="84" spans="1:16" ht="15.75" x14ac:dyDescent="0.2">
      <c r="A84" s="40" t="s">
        <v>61</v>
      </c>
      <c r="B84" s="33" t="s">
        <v>58</v>
      </c>
      <c r="C84" s="34">
        <f>184284/31</f>
        <v>5944.6451612903229</v>
      </c>
      <c r="D84" s="34">
        <f>170017/28</f>
        <v>6072.0357142857147</v>
      </c>
      <c r="E84" s="34">
        <f>187393/31</f>
        <v>6044.9354838709678</v>
      </c>
      <c r="F84" s="34">
        <f>168353/30</f>
        <v>5611.7666666666664</v>
      </c>
      <c r="G84" s="34">
        <f>191462/31</f>
        <v>6176.1935483870966</v>
      </c>
      <c r="H84" s="34">
        <f>180077/30</f>
        <v>6002.5666666666666</v>
      </c>
      <c r="I84" s="34">
        <f>199779/31</f>
        <v>6444.4838709677415</v>
      </c>
      <c r="J84" s="34">
        <f>213432/31</f>
        <v>6884.9032258064517</v>
      </c>
      <c r="K84" s="34">
        <f>198290/30</f>
        <v>6609.666666666667</v>
      </c>
      <c r="L84" s="34">
        <f>200657/31</f>
        <v>6472.8064516129034</v>
      </c>
      <c r="M84" s="34">
        <f>168336/29</f>
        <v>5804.6896551724139</v>
      </c>
      <c r="N84" s="34">
        <f>185848/31</f>
        <v>5995.0967741935483</v>
      </c>
      <c r="O84" s="33"/>
      <c r="P84" s="33"/>
    </row>
    <row r="85" spans="1:16" ht="15.75" x14ac:dyDescent="0.2">
      <c r="A85" s="40" t="s">
        <v>61</v>
      </c>
      <c r="B85" s="33" t="s">
        <v>51</v>
      </c>
      <c r="C85" s="34">
        <f>333576/31</f>
        <v>10760.516129032258</v>
      </c>
      <c r="D85" s="34">
        <f>328762/28</f>
        <v>11741.5</v>
      </c>
      <c r="E85" s="34">
        <f>378082/31</f>
        <v>12196.193548387097</v>
      </c>
      <c r="F85" s="34">
        <f>355588/30</f>
        <v>11852.933333333332</v>
      </c>
      <c r="G85" s="34">
        <f>436317/31</f>
        <v>14074.741935483871</v>
      </c>
      <c r="H85" s="34">
        <f>442140/30</f>
        <v>14738</v>
      </c>
      <c r="I85" s="34">
        <f>424901/31</f>
        <v>13706.483870967742</v>
      </c>
      <c r="J85" s="34">
        <f>436553/31</f>
        <v>14082.354838709678</v>
      </c>
      <c r="K85" s="34">
        <f>410463/30</f>
        <v>13682.1</v>
      </c>
      <c r="L85" s="34">
        <f>411164/31</f>
        <v>13263.354838709678</v>
      </c>
      <c r="M85" s="34">
        <f>377007/29</f>
        <v>13000.241379310344</v>
      </c>
      <c r="N85" s="34">
        <f>396547/31</f>
        <v>12791.838709677419</v>
      </c>
      <c r="O85" s="33"/>
      <c r="P85" s="33"/>
    </row>
    <row r="86" spans="1:16" ht="15.75" x14ac:dyDescent="0.2">
      <c r="A86" s="40" t="s">
        <v>61</v>
      </c>
      <c r="B86" s="33" t="s">
        <v>52</v>
      </c>
      <c r="C86" s="34">
        <f>307965/31</f>
        <v>9934.354838709678</v>
      </c>
      <c r="D86" s="34">
        <f>298550/28</f>
        <v>10662.5</v>
      </c>
      <c r="E86" s="34">
        <f>328094/31</f>
        <v>10583.677419354839</v>
      </c>
      <c r="F86" s="34">
        <f>286889/30</f>
        <v>9562.9666666666672</v>
      </c>
      <c r="G86" s="34">
        <f>330564/31</f>
        <v>10663.354838709678</v>
      </c>
      <c r="H86" s="34">
        <f>322773/30</f>
        <v>10759.1</v>
      </c>
      <c r="I86" s="34">
        <f>353599/31</f>
        <v>11406.41935483871</v>
      </c>
      <c r="J86" s="34">
        <f>356255/31</f>
        <v>11492.096774193549</v>
      </c>
      <c r="K86" s="34">
        <f>333373/30</f>
        <v>11112.433333333332</v>
      </c>
      <c r="L86" s="34">
        <f>296210/31</f>
        <v>9555.1612903225814</v>
      </c>
      <c r="M86" s="34">
        <f>342326/29</f>
        <v>11804.344827586207</v>
      </c>
      <c r="N86" s="34">
        <f>350066/31</f>
        <v>11292.451612903225</v>
      </c>
      <c r="O86" s="33"/>
      <c r="P86" s="33"/>
    </row>
    <row r="87" spans="1:16" ht="15.75" x14ac:dyDescent="0.2">
      <c r="A87" s="40" t="s">
        <v>61</v>
      </c>
      <c r="B87" s="33" t="s">
        <v>53</v>
      </c>
      <c r="C87" s="34">
        <f>524776/31</f>
        <v>16928.258064516129</v>
      </c>
      <c r="D87" s="34">
        <f>476259/28</f>
        <v>17009.25</v>
      </c>
      <c r="E87" s="34">
        <f>552629/31</f>
        <v>17826.741935483871</v>
      </c>
      <c r="F87" s="34">
        <f>494992/30</f>
        <v>16499.733333333334</v>
      </c>
      <c r="G87" s="34">
        <f>574357/31</f>
        <v>18527.645161290322</v>
      </c>
      <c r="H87" s="34">
        <f>515105/30</f>
        <v>17170.166666666668</v>
      </c>
      <c r="I87" s="34">
        <f>577686/31</f>
        <v>18635.032258064515</v>
      </c>
      <c r="J87" s="34">
        <f>589289/31</f>
        <v>19009.322580645163</v>
      </c>
      <c r="K87" s="34">
        <f>553013/30</f>
        <v>18433.766666666666</v>
      </c>
      <c r="L87" s="34">
        <f>565767/31</f>
        <v>18250.548387096773</v>
      </c>
      <c r="M87" s="34">
        <f>505984/29</f>
        <v>17447.724137931036</v>
      </c>
      <c r="N87" s="34">
        <f>552100/31</f>
        <v>17809.677419354837</v>
      </c>
      <c r="O87" s="33"/>
      <c r="P87" s="33"/>
    </row>
    <row r="88" spans="1:16" ht="15.75" x14ac:dyDescent="0.2">
      <c r="A88" s="40" t="s">
        <v>61</v>
      </c>
      <c r="B88" s="33" t="s">
        <v>54</v>
      </c>
      <c r="C88" s="34">
        <f>228866/31</f>
        <v>7382.7741935483873</v>
      </c>
      <c r="D88" s="34">
        <f>217298/28</f>
        <v>7760.6428571428569</v>
      </c>
      <c r="E88" s="34">
        <f>242590/31</f>
        <v>7825.4838709677415</v>
      </c>
      <c r="F88" s="34">
        <f>207268/30</f>
        <v>6908.9333333333334</v>
      </c>
      <c r="G88" s="34">
        <f>255938/31</f>
        <v>8256.0645161290322</v>
      </c>
      <c r="H88" s="34">
        <f>207831/27</f>
        <v>7697.4444444444443</v>
      </c>
      <c r="I88" s="34">
        <f>265675/31</f>
        <v>8570.1612903225814</v>
      </c>
      <c r="J88" s="34">
        <f>272354/31</f>
        <v>8785.6129032258068</v>
      </c>
      <c r="K88" s="34">
        <f>255628/30</f>
        <v>8520.9333333333325</v>
      </c>
      <c r="L88" s="34">
        <f>258158/31</f>
        <v>8327.677419354839</v>
      </c>
      <c r="M88" s="34">
        <f>230556/29</f>
        <v>7950.2068965517237</v>
      </c>
      <c r="N88" s="34">
        <f>250491/31</f>
        <v>8080.3548387096771</v>
      </c>
      <c r="O88" s="33"/>
      <c r="P88" s="33"/>
    </row>
    <row r="89" spans="1:16" ht="15.75" x14ac:dyDescent="0.2">
      <c r="A89" s="40" t="s">
        <v>61</v>
      </c>
      <c r="B89" s="33" t="s">
        <v>55</v>
      </c>
      <c r="C89" s="34">
        <f>447493/31</f>
        <v>14435.258064516129</v>
      </c>
      <c r="D89" s="34">
        <f>405436/28</f>
        <v>14479.857142857143</v>
      </c>
      <c r="E89" s="34">
        <f>449926/31</f>
        <v>14513.741935483871</v>
      </c>
      <c r="F89" s="34">
        <f>406074/30</f>
        <v>13535.8</v>
      </c>
      <c r="G89" s="34">
        <f>477560/31</f>
        <v>15405.161290322581</v>
      </c>
      <c r="H89" s="34">
        <f>479189/30</f>
        <v>15972.966666666667</v>
      </c>
      <c r="I89" s="34">
        <f>469569/31</f>
        <v>15147.387096774193</v>
      </c>
      <c r="J89" s="34">
        <f>485110/31</f>
        <v>15648.709677419354</v>
      </c>
      <c r="K89" s="34">
        <f>460153/30</f>
        <v>15338.433333333332</v>
      </c>
      <c r="L89" s="34">
        <f>447892/31</f>
        <v>14448.129032258064</v>
      </c>
      <c r="M89" s="34">
        <f>434887/29</f>
        <v>14996.103448275862</v>
      </c>
      <c r="N89" s="34">
        <f>480667/31</f>
        <v>15505.387096774193</v>
      </c>
      <c r="O89" s="33"/>
      <c r="P89" s="33"/>
    </row>
    <row r="90" spans="1:16" ht="15.75" x14ac:dyDescent="0.2">
      <c r="A90" s="40" t="s">
        <v>61</v>
      </c>
      <c r="B90" s="33" t="s">
        <v>56</v>
      </c>
      <c r="C90" s="34">
        <f>199150/29</f>
        <v>6867.2413793103451</v>
      </c>
      <c r="D90" s="34">
        <f>221771/28</f>
        <v>7920.3928571428569</v>
      </c>
      <c r="E90" s="34">
        <f>244130/31</f>
        <v>7875.1612903225805</v>
      </c>
      <c r="F90" s="34">
        <f>221575/30</f>
        <v>7385.833333333333</v>
      </c>
      <c r="G90" s="34">
        <f>245571/31</f>
        <v>7921.6451612903229</v>
      </c>
      <c r="H90" s="34">
        <f>293546/30</f>
        <v>9784.8666666666668</v>
      </c>
      <c r="I90" s="34">
        <f>329724/31</f>
        <v>10636.258064516129</v>
      </c>
      <c r="J90" s="34">
        <f>319382/31</f>
        <v>10302.645161290322</v>
      </c>
      <c r="K90" s="34">
        <f>294420/30</f>
        <v>9814</v>
      </c>
      <c r="L90" s="34">
        <f>294760/31</f>
        <v>9508.3870967741932</v>
      </c>
      <c r="M90" s="34">
        <f>265041/29</f>
        <v>9139.3448275862065</v>
      </c>
      <c r="N90" s="34">
        <f>286346/31</f>
        <v>9236.967741935483</v>
      </c>
      <c r="O90" s="33"/>
      <c r="P90" s="33"/>
    </row>
    <row r="91" spans="1:16" ht="15.75" x14ac:dyDescent="0.2">
      <c r="A91" s="40" t="s">
        <v>61</v>
      </c>
      <c r="B91" s="33" t="s">
        <v>63</v>
      </c>
      <c r="C91" s="34">
        <f>436631/31</f>
        <v>14084.870967741936</v>
      </c>
      <c r="D91" s="34">
        <f>385777/28</f>
        <v>13777.75</v>
      </c>
      <c r="E91" s="34">
        <f>419127/31</f>
        <v>13520.225806451614</v>
      </c>
      <c r="F91" s="34">
        <f>353296/30</f>
        <v>11776.533333333333</v>
      </c>
      <c r="G91" s="34">
        <f>454241/31</f>
        <v>14652.935483870968</v>
      </c>
      <c r="H91" s="34">
        <f>454797/30</f>
        <v>15159.9</v>
      </c>
      <c r="I91" s="34">
        <f>441233/31</f>
        <v>14233.322580645161</v>
      </c>
      <c r="J91" s="34">
        <f>435753/31</f>
        <v>14056.548387096775</v>
      </c>
      <c r="K91" s="34">
        <f>421139/30</f>
        <v>14037.966666666667</v>
      </c>
      <c r="L91" s="34">
        <f>420761/31</f>
        <v>13572.935483870968</v>
      </c>
      <c r="M91" s="34">
        <f>379906/29</f>
        <v>13100.206896551725</v>
      </c>
      <c r="N91" s="34">
        <f>405269/31</f>
        <v>13073.193548387097</v>
      </c>
      <c r="O91" s="33"/>
      <c r="P91" s="33"/>
    </row>
    <row r="92" spans="1:16" ht="15.75" x14ac:dyDescent="0.2">
      <c r="A92" s="40" t="s">
        <v>61</v>
      </c>
      <c r="B92" s="33" t="s">
        <v>57</v>
      </c>
      <c r="C92" s="34"/>
      <c r="D92" s="34"/>
      <c r="E92" s="34"/>
      <c r="F92" s="34"/>
      <c r="G92" s="34"/>
      <c r="H92" s="34">
        <f>39766/6</f>
        <v>6627.666666666667</v>
      </c>
      <c r="I92" s="34">
        <f>326276/31</f>
        <v>10525.032258064517</v>
      </c>
      <c r="J92" s="34">
        <f>371557/31</f>
        <v>11985.709677419354</v>
      </c>
      <c r="K92" s="34">
        <f>373571/30</f>
        <v>12452.366666666667</v>
      </c>
      <c r="L92" s="34">
        <f>383627/31</f>
        <v>12375.064516129032</v>
      </c>
      <c r="M92" s="34">
        <f>348272/29</f>
        <v>12009.379310344828</v>
      </c>
      <c r="N92" s="34">
        <f>373566/31</f>
        <v>12050.516129032258</v>
      </c>
      <c r="O92" s="33"/>
      <c r="P92" s="33"/>
    </row>
    <row r="93" spans="1:16" ht="15.75" x14ac:dyDescent="0.2">
      <c r="A93" s="40" t="s">
        <v>60</v>
      </c>
      <c r="B93" s="33" t="s">
        <v>52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/>
      <c r="L93" s="34"/>
      <c r="M93" s="34"/>
      <c r="N93" s="34"/>
      <c r="O93" s="33"/>
      <c r="P93" s="33"/>
    </row>
    <row r="94" spans="1:16" ht="15.75" x14ac:dyDescent="0.2">
      <c r="A94" s="40" t="s">
        <v>60</v>
      </c>
      <c r="B94" s="33" t="s">
        <v>53</v>
      </c>
      <c r="C94" s="34">
        <f>254095/31</f>
        <v>8196.6129032258068</v>
      </c>
      <c r="D94" s="34">
        <f>211273/28</f>
        <v>7545.4642857142853</v>
      </c>
      <c r="E94" s="34">
        <f>295763/31</f>
        <v>9540.7419354838712</v>
      </c>
      <c r="F94" s="34">
        <f>273612/30</f>
        <v>9120.4</v>
      </c>
      <c r="G94" s="34">
        <f>283209/31</f>
        <v>9135.7741935483864</v>
      </c>
      <c r="H94" s="34">
        <f>268788/30</f>
        <v>8959.6</v>
      </c>
      <c r="I94" s="34">
        <f>254749/31</f>
        <v>8217.7096774193542</v>
      </c>
      <c r="J94" s="34">
        <f>263419/31</f>
        <v>8497.3870967741932</v>
      </c>
      <c r="K94" s="34">
        <f>247680/30</f>
        <v>8256</v>
      </c>
      <c r="L94" s="34">
        <f>250459/31</f>
        <v>8079.322580645161</v>
      </c>
      <c r="M94" s="34">
        <f>236000/30</f>
        <v>7866.666666666667</v>
      </c>
      <c r="N94" s="34">
        <f>217376/30</f>
        <v>7245.8666666666668</v>
      </c>
      <c r="O94" s="33"/>
      <c r="P94" s="33"/>
    </row>
    <row r="95" spans="1:16" ht="15.75" x14ac:dyDescent="0.2">
      <c r="A95" s="40" t="s">
        <v>60</v>
      </c>
      <c r="B95" s="33" t="s">
        <v>55</v>
      </c>
      <c r="C95" s="34">
        <f>316508/31</f>
        <v>10209.935483870968</v>
      </c>
      <c r="D95" s="34">
        <f>344394/28</f>
        <v>12299.785714285714</v>
      </c>
      <c r="E95" s="34">
        <f>326542/31</f>
        <v>10533.612903225807</v>
      </c>
      <c r="F95" s="34">
        <f>305303/30</f>
        <v>10176.766666666666</v>
      </c>
      <c r="G95" s="34">
        <f>319867/31</f>
        <v>10318.290322580646</v>
      </c>
      <c r="H95" s="34">
        <f>314655/30</f>
        <v>10488.5</v>
      </c>
      <c r="I95" s="34">
        <f>313079/31</f>
        <v>10099.322580645161</v>
      </c>
      <c r="J95" s="34">
        <f>319725/31</f>
        <v>10313.709677419354</v>
      </c>
      <c r="K95" s="34">
        <f>314921/30</f>
        <v>10497.366666666667</v>
      </c>
      <c r="L95" s="34">
        <f>317869/31</f>
        <v>10253.838709677419</v>
      </c>
      <c r="M95" s="34">
        <f>295785/30</f>
        <v>9859.5</v>
      </c>
      <c r="N95" s="34">
        <f>280083/29</f>
        <v>9658.0344827586214</v>
      </c>
      <c r="O95" s="33"/>
      <c r="P95" s="33"/>
    </row>
    <row r="96" spans="1:16" ht="15.75" x14ac:dyDescent="0.2">
      <c r="A96" s="40" t="s">
        <v>60</v>
      </c>
      <c r="B96" s="33" t="s">
        <v>56</v>
      </c>
      <c r="C96" s="34">
        <f>233345/31</f>
        <v>7527.2580645161288</v>
      </c>
      <c r="D96" s="34">
        <f>197134/28</f>
        <v>7040.5</v>
      </c>
      <c r="E96" s="34">
        <f>268101/31</f>
        <v>8648.4193548387102</v>
      </c>
      <c r="F96" s="34">
        <f>247684/30</f>
        <v>8256.1333333333332</v>
      </c>
      <c r="G96" s="34">
        <f>252693/31</f>
        <v>8151.3870967741932</v>
      </c>
      <c r="H96" s="34">
        <f>231910/30</f>
        <v>7730.333333333333</v>
      </c>
      <c r="I96" s="34">
        <f>236348/31</f>
        <v>7624.1290322580644</v>
      </c>
      <c r="J96" s="34">
        <f>240376/31</f>
        <v>7754.0645161290322</v>
      </c>
      <c r="K96" s="34">
        <f>224683/30</f>
        <v>7489.4333333333334</v>
      </c>
      <c r="L96" s="34">
        <f>230186/31</f>
        <v>7425.3548387096771</v>
      </c>
      <c r="M96" s="34">
        <f>220697/30</f>
        <v>7356.5666666666666</v>
      </c>
      <c r="N96" s="34">
        <f>199482/30</f>
        <v>6649.4</v>
      </c>
      <c r="O96" s="33"/>
      <c r="P96" s="33"/>
    </row>
    <row r="97" spans="1:16" ht="15.75" x14ac:dyDescent="0.2">
      <c r="A97" s="40" t="s">
        <v>60</v>
      </c>
      <c r="B97" s="33" t="s">
        <v>57</v>
      </c>
      <c r="C97" s="34">
        <v>0</v>
      </c>
      <c r="D97" s="34">
        <v>0</v>
      </c>
      <c r="E97" s="34">
        <v>0</v>
      </c>
      <c r="F97" s="34">
        <f>189783/28</f>
        <v>6777.9642857142853</v>
      </c>
      <c r="G97" s="34">
        <f>231601/31</f>
        <v>7471</v>
      </c>
      <c r="H97" s="34">
        <f>257830/30</f>
        <v>8594.3333333333339</v>
      </c>
      <c r="I97" s="34">
        <f>280235/31</f>
        <v>9039.8387096774186</v>
      </c>
      <c r="J97" s="34">
        <f>336228/31</f>
        <v>10846.064516129032</v>
      </c>
      <c r="K97" s="34">
        <f>329049/30</f>
        <v>10968.3</v>
      </c>
      <c r="L97" s="34">
        <f>340830/31</f>
        <v>10994.516129032258</v>
      </c>
      <c r="M97" s="34">
        <f>352708/30</f>
        <v>11756.933333333332</v>
      </c>
      <c r="N97" s="34">
        <f>332052/30</f>
        <v>11068.4</v>
      </c>
      <c r="O97" s="33"/>
      <c r="P97" s="33"/>
    </row>
    <row r="98" spans="1:16" ht="15.75" x14ac:dyDescent="0.2">
      <c r="A98" s="40" t="s">
        <v>60</v>
      </c>
      <c r="B98" s="33" t="s">
        <v>59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f>144019/18</f>
        <v>8001.0555555555557</v>
      </c>
      <c r="O98" s="33"/>
      <c r="P98" s="33"/>
    </row>
    <row r="99" spans="1:16" ht="15.75" x14ac:dyDescent="0.2">
      <c r="B99" s="42" t="s">
        <v>49</v>
      </c>
      <c r="C99" s="43">
        <f>SUM(C83:C98)</f>
        <v>112271.72525027808</v>
      </c>
      <c r="D99" s="43">
        <f t="shared" ref="D99:N99" si="30">SUM(D83:D98)</f>
        <v>116309.67857142857</v>
      </c>
      <c r="E99" s="43">
        <f t="shared" si="30"/>
        <v>119108.93548387097</v>
      </c>
      <c r="F99" s="43">
        <f t="shared" si="30"/>
        <v>117465.76428571428</v>
      </c>
      <c r="G99" s="43">
        <f t="shared" si="30"/>
        <v>130754.19354838709</v>
      </c>
      <c r="H99" s="43">
        <f t="shared" si="30"/>
        <v>139685.44444444447</v>
      </c>
      <c r="I99" s="43">
        <f t="shared" si="30"/>
        <v>144285.5806451613</v>
      </c>
      <c r="J99" s="43">
        <f t="shared" si="30"/>
        <v>149659.12903225806</v>
      </c>
      <c r="K99" s="43">
        <f t="shared" si="30"/>
        <v>147212.76666666663</v>
      </c>
      <c r="L99" s="43">
        <f t="shared" si="30"/>
        <v>142527.09677419357</v>
      </c>
      <c r="M99" s="43">
        <f t="shared" si="30"/>
        <v>142091.908045977</v>
      </c>
      <c r="N99" s="43">
        <f t="shared" si="30"/>
        <v>148458.24057594858</v>
      </c>
      <c r="O99" s="33"/>
      <c r="P99" s="33"/>
    </row>
    <row r="100" spans="1:16" ht="15.75" x14ac:dyDescent="0.2">
      <c r="A100" s="33"/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3"/>
      <c r="P100" s="33"/>
    </row>
    <row r="101" spans="1:16" ht="15.75" x14ac:dyDescent="0.2">
      <c r="A101" s="33"/>
      <c r="B101" s="33"/>
      <c r="C101" s="33" t="s">
        <v>37</v>
      </c>
      <c r="D101" s="33" t="s">
        <v>38</v>
      </c>
      <c r="E101" s="33" t="s">
        <v>39</v>
      </c>
      <c r="F101" s="33" t="s">
        <v>40</v>
      </c>
      <c r="G101" s="33" t="s">
        <v>41</v>
      </c>
      <c r="H101" s="33" t="s">
        <v>42</v>
      </c>
      <c r="I101" s="33" t="s">
        <v>43</v>
      </c>
      <c r="J101" s="33" t="s">
        <v>44</v>
      </c>
      <c r="K101" s="33" t="s">
        <v>45</v>
      </c>
      <c r="L101" s="33" t="s">
        <v>46</v>
      </c>
      <c r="M101" s="33" t="s">
        <v>47</v>
      </c>
      <c r="N101" s="33" t="s">
        <v>48</v>
      </c>
      <c r="O101" s="33"/>
      <c r="P101" s="33"/>
    </row>
    <row r="102" spans="1:16" ht="15.75" x14ac:dyDescent="0.2">
      <c r="A102" s="33"/>
      <c r="B102" s="33" t="s">
        <v>50</v>
      </c>
      <c r="C102" s="33">
        <v>31</v>
      </c>
      <c r="D102" s="33">
        <v>28</v>
      </c>
      <c r="E102" s="33">
        <v>31</v>
      </c>
      <c r="F102" s="33">
        <v>30</v>
      </c>
      <c r="G102" s="33">
        <v>31</v>
      </c>
      <c r="H102" s="33">
        <v>30</v>
      </c>
      <c r="I102" s="33">
        <v>31</v>
      </c>
      <c r="J102" s="33">
        <v>31</v>
      </c>
      <c r="K102" s="33">
        <v>30</v>
      </c>
      <c r="L102" s="33">
        <v>31</v>
      </c>
      <c r="M102" s="33">
        <v>30</v>
      </c>
      <c r="N102" s="33">
        <v>31</v>
      </c>
      <c r="O102" s="33"/>
      <c r="P102" s="33"/>
    </row>
    <row r="103" spans="1:16" ht="15.75" x14ac:dyDescent="0.2">
      <c r="A103" s="33">
        <v>2019</v>
      </c>
      <c r="B103" s="33">
        <v>2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3"/>
      <c r="P103" s="33"/>
    </row>
    <row r="104" spans="1:16" ht="15.75" x14ac:dyDescent="0.2">
      <c r="A104" s="33" t="s">
        <v>61</v>
      </c>
      <c r="B104" s="33" t="s">
        <v>58</v>
      </c>
      <c r="C104" s="34">
        <f>185852/31</f>
        <v>5995.2258064516127</v>
      </c>
      <c r="D104" s="34">
        <f>159748/28</f>
        <v>5705.2857142857147</v>
      </c>
      <c r="E104" s="34">
        <f>170732/31</f>
        <v>5507.4838709677415</v>
      </c>
      <c r="F104" s="34">
        <f>169317/30</f>
        <v>5643.9</v>
      </c>
      <c r="G104" s="34">
        <f>119740/22</f>
        <v>5442.727272727273</v>
      </c>
      <c r="H104" s="34">
        <f>157302/30</f>
        <v>5243.4</v>
      </c>
      <c r="I104" s="34">
        <f>124575/25</f>
        <v>4983</v>
      </c>
      <c r="J104" s="34">
        <f>156840/31</f>
        <v>5059.3548387096771</v>
      </c>
      <c r="K104" s="34">
        <v>0</v>
      </c>
      <c r="L104" s="34">
        <v>0</v>
      </c>
      <c r="M104" s="34">
        <v>0</v>
      </c>
      <c r="N104" s="34">
        <v>0</v>
      </c>
      <c r="O104" s="33"/>
      <c r="P104" s="33"/>
    </row>
    <row r="105" spans="1:16" ht="15.75" x14ac:dyDescent="0.2">
      <c r="A105" s="33" t="s">
        <v>61</v>
      </c>
      <c r="B105" s="33" t="s">
        <v>51</v>
      </c>
      <c r="C105" s="34">
        <f>405819/31</f>
        <v>13090.935483870968</v>
      </c>
      <c r="D105" s="34">
        <f>353149/28</f>
        <v>12612.464285714286</v>
      </c>
      <c r="E105" s="34">
        <f>383911/31</f>
        <v>12384.225806451614</v>
      </c>
      <c r="F105" s="34">
        <f>364508/30</f>
        <v>12150.266666666666</v>
      </c>
      <c r="G105" s="34">
        <f>265614/22</f>
        <v>12073.363636363636</v>
      </c>
      <c r="H105" s="34">
        <f>357343/30</f>
        <v>11911.433333333332</v>
      </c>
      <c r="I105" s="34">
        <f>314537/29</f>
        <v>10846.103448275862</v>
      </c>
      <c r="J105" s="34">
        <f>351655/31</f>
        <v>11343.709677419354</v>
      </c>
      <c r="K105" s="34">
        <v>0</v>
      </c>
      <c r="L105" s="34">
        <v>0</v>
      </c>
      <c r="M105" s="34">
        <v>0</v>
      </c>
      <c r="N105" s="34">
        <v>0</v>
      </c>
      <c r="O105" s="33"/>
      <c r="P105" s="33"/>
    </row>
    <row r="106" spans="1:16" ht="15.75" x14ac:dyDescent="0.2">
      <c r="A106" s="33" t="s">
        <v>61</v>
      </c>
      <c r="B106" s="33" t="s">
        <v>52</v>
      </c>
      <c r="C106" s="34">
        <f>352503/31</f>
        <v>11371.064516129032</v>
      </c>
      <c r="D106" s="34">
        <f>305385/28</f>
        <v>10906.607142857143</v>
      </c>
      <c r="E106" s="34">
        <f>326897/31</f>
        <v>10545.064516129032</v>
      </c>
      <c r="F106" s="34">
        <f>322248/30</f>
        <v>10741.6</v>
      </c>
      <c r="G106" s="34">
        <f>233347/22</f>
        <v>10606.681818181818</v>
      </c>
      <c r="H106" s="34">
        <f>320927/30</f>
        <v>10697.566666666668</v>
      </c>
      <c r="I106" s="34">
        <f>295888/30</f>
        <v>9862.9333333333325</v>
      </c>
      <c r="J106" s="34">
        <f>295954/31</f>
        <v>9546.9032258064508</v>
      </c>
      <c r="K106" s="34">
        <v>0</v>
      </c>
      <c r="L106" s="34">
        <v>0</v>
      </c>
      <c r="M106" s="34">
        <v>0</v>
      </c>
      <c r="N106" s="34">
        <v>0</v>
      </c>
      <c r="O106" s="33"/>
      <c r="P106" s="33"/>
    </row>
    <row r="107" spans="1:16" ht="15.75" x14ac:dyDescent="0.2">
      <c r="A107" s="33" t="s">
        <v>61</v>
      </c>
      <c r="B107" s="33" t="s">
        <v>53</v>
      </c>
      <c r="C107" s="34">
        <f>546477/31</f>
        <v>17628.290322580644</v>
      </c>
      <c r="D107" s="34">
        <f>484338/28</f>
        <v>17297.785714285714</v>
      </c>
      <c r="E107" s="34">
        <f>524481/31</f>
        <v>16918.741935483871</v>
      </c>
      <c r="F107" s="34">
        <f>505431/30</f>
        <v>16847.7</v>
      </c>
      <c r="G107" s="34">
        <f>351742/22</f>
        <v>15988.272727272728</v>
      </c>
      <c r="H107" s="34">
        <f>478920/30</f>
        <v>15964</v>
      </c>
      <c r="I107" s="34">
        <f>421553/29</f>
        <v>14536.310344827587</v>
      </c>
      <c r="J107" s="34">
        <f>472737/31</f>
        <v>15249.58064516129</v>
      </c>
      <c r="K107" s="34">
        <v>0</v>
      </c>
      <c r="L107" s="34">
        <v>0</v>
      </c>
      <c r="M107" s="34">
        <v>0</v>
      </c>
      <c r="N107" s="34">
        <v>0</v>
      </c>
      <c r="O107" s="33"/>
      <c r="P107" s="33"/>
    </row>
    <row r="108" spans="1:16" ht="15.75" x14ac:dyDescent="0.2">
      <c r="A108" s="33" t="s">
        <v>61</v>
      </c>
      <c r="B108" s="33" t="s">
        <v>54</v>
      </c>
      <c r="C108" s="34">
        <f>251653/31</f>
        <v>8117.8387096774195</v>
      </c>
      <c r="D108" s="34">
        <f>193658/28</f>
        <v>6916.3571428571431</v>
      </c>
      <c r="E108" s="34">
        <f>223435/31</f>
        <v>7207.5806451612907</v>
      </c>
      <c r="F108" s="34">
        <f>219542/30</f>
        <v>7318.0666666666666</v>
      </c>
      <c r="G108" s="34">
        <f>157372/22</f>
        <v>7153.272727272727</v>
      </c>
      <c r="H108" s="34">
        <f>212202/30</f>
        <v>7073.4</v>
      </c>
      <c r="I108" s="34">
        <f>210821/30</f>
        <v>7027.3666666666668</v>
      </c>
      <c r="J108" s="34">
        <f>215941/31</f>
        <v>6965.8387096774195</v>
      </c>
      <c r="K108" s="34">
        <v>0</v>
      </c>
      <c r="L108" s="34">
        <v>0</v>
      </c>
      <c r="M108" s="34">
        <v>0</v>
      </c>
      <c r="N108" s="34">
        <v>0</v>
      </c>
      <c r="O108" s="33"/>
      <c r="P108" s="33"/>
    </row>
    <row r="109" spans="1:16" ht="15.75" x14ac:dyDescent="0.2">
      <c r="A109" s="33" t="s">
        <v>61</v>
      </c>
      <c r="B109" s="33" t="s">
        <v>55</v>
      </c>
      <c r="C109" s="34">
        <f>489350/31</f>
        <v>15785.483870967742</v>
      </c>
      <c r="D109" s="34">
        <f>421346/28</f>
        <v>15048.071428571429</v>
      </c>
      <c r="E109" s="34">
        <f>456221/31</f>
        <v>14716.806451612903</v>
      </c>
      <c r="F109" s="34">
        <f>443470/30</f>
        <v>14782.333333333334</v>
      </c>
      <c r="G109" s="34">
        <f>329439/22</f>
        <v>14974.5</v>
      </c>
      <c r="H109" s="34">
        <f>449581/30</f>
        <v>14986.033333333333</v>
      </c>
      <c r="I109" s="34">
        <f>392315/29</f>
        <v>13528.103448275862</v>
      </c>
      <c r="J109" s="34">
        <f>442287/31</f>
        <v>14267.322580645161</v>
      </c>
      <c r="K109" s="34">
        <v>0</v>
      </c>
      <c r="L109" s="34">
        <v>0</v>
      </c>
      <c r="M109" s="34">
        <v>0</v>
      </c>
      <c r="N109" s="34">
        <v>0</v>
      </c>
      <c r="O109" s="33"/>
      <c r="P109" s="33"/>
    </row>
    <row r="110" spans="1:16" ht="15.75" x14ac:dyDescent="0.2">
      <c r="A110" s="33" t="s">
        <v>61</v>
      </c>
      <c r="B110" s="33" t="s">
        <v>56</v>
      </c>
      <c r="C110" s="34">
        <f>271074/31</f>
        <v>8744.322580645161</v>
      </c>
      <c r="D110" s="34">
        <f>234235/28</f>
        <v>8365.5357142857138</v>
      </c>
      <c r="E110" s="34">
        <f>249848/31</f>
        <v>8059.6129032258068</v>
      </c>
      <c r="F110" s="34">
        <f>245605/30</f>
        <v>8186.833333333333</v>
      </c>
      <c r="G110" s="34">
        <f>179790/22</f>
        <v>8172.272727272727</v>
      </c>
      <c r="H110" s="34">
        <f>243381/30</f>
        <v>8112.7</v>
      </c>
      <c r="I110" s="34">
        <f>213082/29</f>
        <v>7347.6551724137935</v>
      </c>
      <c r="J110" s="34">
        <f>238200/31</f>
        <v>7683.8709677419356</v>
      </c>
      <c r="K110" s="34">
        <v>0</v>
      </c>
      <c r="L110" s="34">
        <v>0</v>
      </c>
      <c r="M110" s="34">
        <v>0</v>
      </c>
      <c r="N110" s="34">
        <v>0</v>
      </c>
      <c r="O110" s="33"/>
      <c r="P110" s="33"/>
    </row>
    <row r="111" spans="1:16" ht="15.75" x14ac:dyDescent="0.2">
      <c r="A111" s="40" t="s">
        <v>61</v>
      </c>
      <c r="B111" s="33" t="s">
        <v>63</v>
      </c>
      <c r="C111" s="34">
        <f>406317/31</f>
        <v>13107</v>
      </c>
      <c r="D111" s="34">
        <f>354509/28</f>
        <v>12661.035714285714</v>
      </c>
      <c r="E111" s="34">
        <f>386396/31</f>
        <v>12464.387096774193</v>
      </c>
      <c r="F111" s="34">
        <f>378107/30</f>
        <v>12603.566666666668</v>
      </c>
      <c r="G111" s="34">
        <f>273830/22</f>
        <v>12446.818181818182</v>
      </c>
      <c r="H111" s="34">
        <f>377219/30</f>
        <v>12573.966666666667</v>
      </c>
      <c r="I111" s="34">
        <f>331184/29</f>
        <v>11420.137931034482</v>
      </c>
      <c r="J111" s="34">
        <f>367074/31</f>
        <v>11841.096774193549</v>
      </c>
      <c r="K111" s="34"/>
      <c r="L111" s="34"/>
      <c r="M111" s="34"/>
      <c r="N111" s="34"/>
      <c r="O111" s="33"/>
      <c r="P111" s="33"/>
    </row>
    <row r="112" spans="1:16" ht="15.75" x14ac:dyDescent="0.2">
      <c r="A112" s="33" t="s">
        <v>61</v>
      </c>
      <c r="B112" s="33" t="s">
        <v>57</v>
      </c>
      <c r="C112" s="34">
        <f>384584/31</f>
        <v>12405.935483870968</v>
      </c>
      <c r="D112" s="34">
        <f>326676/28</f>
        <v>11667</v>
      </c>
      <c r="E112" s="34">
        <f>341845/31</f>
        <v>11027.258064516129</v>
      </c>
      <c r="F112" s="34">
        <f>336987/30</f>
        <v>11232.9</v>
      </c>
      <c r="G112" s="34">
        <f>246303/22</f>
        <v>11195.59090909091</v>
      </c>
      <c r="H112" s="34">
        <f>329918/30</f>
        <v>10997.266666666666</v>
      </c>
      <c r="I112" s="34">
        <f>288855/29</f>
        <v>9960.5172413793098</v>
      </c>
      <c r="J112" s="34">
        <f>321267/31</f>
        <v>10363.451612903225</v>
      </c>
      <c r="K112" s="34">
        <v>0</v>
      </c>
      <c r="L112" s="34">
        <v>0</v>
      </c>
      <c r="M112" s="34"/>
      <c r="N112" s="34"/>
      <c r="O112" s="34"/>
      <c r="P112" s="34"/>
    </row>
    <row r="113" spans="1:16" ht="15.75" x14ac:dyDescent="0.2">
      <c r="A113" s="40" t="s">
        <v>60</v>
      </c>
      <c r="B113" s="33" t="s">
        <v>52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/>
      <c r="L113" s="34"/>
      <c r="M113" s="34"/>
      <c r="N113" s="34"/>
      <c r="O113" s="34"/>
      <c r="P113" s="34"/>
    </row>
    <row r="114" spans="1:16" ht="15.75" x14ac:dyDescent="0.2">
      <c r="A114" s="40" t="s">
        <v>60</v>
      </c>
      <c r="B114" s="33" t="s">
        <v>53</v>
      </c>
      <c r="C114" s="34">
        <f>244259/31</f>
        <v>7879.322580645161</v>
      </c>
      <c r="D114" s="34">
        <f>212537/28</f>
        <v>7590.6071428571431</v>
      </c>
      <c r="E114" s="34">
        <f>220354/31</f>
        <v>7108.1935483870966</v>
      </c>
      <c r="F114" s="34">
        <f>217559/30</f>
        <v>7251.9666666666662</v>
      </c>
      <c r="G114" s="34">
        <f>149716/22</f>
        <v>6805.272727272727</v>
      </c>
      <c r="H114" s="34">
        <f>199035/30</f>
        <v>6634.5</v>
      </c>
      <c r="I114" s="34">
        <f>177984/29</f>
        <v>6137.3793103448279</v>
      </c>
      <c r="J114" s="34">
        <v>0</v>
      </c>
      <c r="K114" s="34">
        <f t="shared" ref="K114:N114" si="31">SUM(K103:K112)</f>
        <v>0</v>
      </c>
      <c r="L114" s="34">
        <f t="shared" si="31"/>
        <v>0</v>
      </c>
      <c r="M114" s="34">
        <f t="shared" si="31"/>
        <v>0</v>
      </c>
      <c r="N114" s="34">
        <f t="shared" si="31"/>
        <v>0</v>
      </c>
      <c r="O114" s="34"/>
      <c r="P114" s="34"/>
    </row>
    <row r="115" spans="1:16" ht="15.75" x14ac:dyDescent="0.2">
      <c r="A115" s="40" t="s">
        <v>60</v>
      </c>
      <c r="B115" s="33" t="s">
        <v>55</v>
      </c>
      <c r="C115" s="34">
        <f>315130/31</f>
        <v>10165.483870967742</v>
      </c>
      <c r="D115" s="34">
        <f>320736/28</f>
        <v>11454.857142857143</v>
      </c>
      <c r="E115" s="34">
        <f>364831/31</f>
        <v>11768.741935483871</v>
      </c>
      <c r="F115" s="34">
        <f>359923/30</f>
        <v>11997.433333333332</v>
      </c>
      <c r="G115" s="34">
        <f>252714/23</f>
        <v>10987.565217391304</v>
      </c>
      <c r="H115" s="34">
        <f>362966/30</f>
        <v>12098.866666666667</v>
      </c>
      <c r="I115" s="34">
        <f>327697/29</f>
        <v>11299.896551724138</v>
      </c>
      <c r="J115" s="34">
        <v>0</v>
      </c>
      <c r="K115" s="34"/>
      <c r="L115" s="34"/>
      <c r="M115" s="34"/>
      <c r="N115" s="34"/>
      <c r="O115" s="34"/>
      <c r="P115" s="34"/>
    </row>
    <row r="116" spans="1:16" ht="15.75" x14ac:dyDescent="0.2">
      <c r="A116" s="40" t="s">
        <v>60</v>
      </c>
      <c r="B116" s="33" t="s">
        <v>56</v>
      </c>
      <c r="C116" s="34">
        <f>230223/31</f>
        <v>7426.5483870967746</v>
      </c>
      <c r="D116" s="34">
        <f>199060/28</f>
        <v>7109.2857142857147</v>
      </c>
      <c r="E116" s="34">
        <f>205900/30</f>
        <v>6863.333333333333</v>
      </c>
      <c r="F116" s="34">
        <f>205194/30</f>
        <v>6839.8</v>
      </c>
      <c r="G116" s="34">
        <f>145624/22</f>
        <v>6619.272727272727</v>
      </c>
      <c r="H116" s="34">
        <f>211818/30</f>
        <v>7060.6</v>
      </c>
      <c r="I116" s="34">
        <f>192124/30</f>
        <v>6404.1333333333332</v>
      </c>
      <c r="J116" s="34">
        <v>0</v>
      </c>
      <c r="O116" s="33"/>
      <c r="P116" s="33"/>
    </row>
    <row r="117" spans="1:16" ht="15.75" x14ac:dyDescent="0.2">
      <c r="A117" s="40" t="s">
        <v>60</v>
      </c>
      <c r="B117" s="33" t="s">
        <v>57</v>
      </c>
      <c r="C117" s="34">
        <f>369781/31</f>
        <v>11928.41935483871</v>
      </c>
      <c r="D117" s="34">
        <f>347426/28</f>
        <v>12408.071428571429</v>
      </c>
      <c r="E117" s="34">
        <f>376138/31</f>
        <v>12133.483870967742</v>
      </c>
      <c r="F117" s="34">
        <f>372455/30</f>
        <v>12415.166666666666</v>
      </c>
      <c r="G117" s="34">
        <f>266625/23</f>
        <v>11592.391304347826</v>
      </c>
      <c r="H117" s="34">
        <f>393216/30</f>
        <v>13107.2</v>
      </c>
      <c r="I117" s="34">
        <f>326372/25</f>
        <v>13054.88</v>
      </c>
      <c r="J117" s="34">
        <v>0</v>
      </c>
    </row>
    <row r="118" spans="1:16" ht="15.75" x14ac:dyDescent="0.2">
      <c r="A118" s="41" t="s">
        <v>60</v>
      </c>
      <c r="B118" s="42" t="s">
        <v>59</v>
      </c>
      <c r="C118" s="43">
        <f>314445/31</f>
        <v>10143.387096774193</v>
      </c>
      <c r="D118" s="43">
        <f>321119/28</f>
        <v>11468.535714285714</v>
      </c>
      <c r="E118" s="43">
        <f>356239/31</f>
        <v>11491.58064516129</v>
      </c>
      <c r="F118" s="43">
        <f>314800/30</f>
        <v>10493.333333333334</v>
      </c>
      <c r="G118" s="43">
        <f>246597/23</f>
        <v>10721.608695652174</v>
      </c>
      <c r="H118" s="43">
        <f>331248/30</f>
        <v>11041.6</v>
      </c>
      <c r="I118" s="43">
        <f>256244/25</f>
        <v>10249.76</v>
      </c>
      <c r="J118" s="43">
        <v>0</v>
      </c>
    </row>
    <row r="119" spans="1:16" ht="15.75" x14ac:dyDescent="0.2">
      <c r="B119" s="33" t="s">
        <v>49</v>
      </c>
      <c r="C119" s="34">
        <f>SUM(C103:C118)</f>
        <v>153789.25806451612</v>
      </c>
      <c r="D119" s="34">
        <f t="shared" ref="D119:J119" si="32">SUM(D103:D118)</f>
        <v>151211.5</v>
      </c>
      <c r="E119" s="34">
        <f t="shared" si="32"/>
        <v>148196.49462365592</v>
      </c>
      <c r="F119" s="34">
        <f t="shared" si="32"/>
        <v>148504.86666666664</v>
      </c>
      <c r="G119" s="34">
        <f t="shared" si="32"/>
        <v>144779.61067193671</v>
      </c>
      <c r="H119" s="34">
        <f t="shared" si="32"/>
        <v>147502.53333333335</v>
      </c>
      <c r="I119" s="34">
        <f t="shared" si="32"/>
        <v>136658.17678160919</v>
      </c>
      <c r="J119" s="34">
        <f t="shared" si="32"/>
        <v>92321.129032258061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C093-39ED-4DDC-A828-1DD7FAA536B7}">
  <dimension ref="D11:BJ46"/>
  <sheetViews>
    <sheetView topLeftCell="X28" workbookViewId="0">
      <selection activeCell="E32" sqref="E32:E46"/>
    </sheetView>
  </sheetViews>
  <sheetFormatPr defaultRowHeight="12.75" x14ac:dyDescent="0.2"/>
  <cols>
    <col min="4" max="4" width="11.33203125" bestFit="1" customWidth="1"/>
    <col min="5" max="6" width="14.33203125" bestFit="1" customWidth="1"/>
    <col min="7" max="7" width="11.33203125" bestFit="1" customWidth="1"/>
    <col min="8" max="8" width="12.5" bestFit="1" customWidth="1"/>
    <col min="9" max="14" width="11.33203125" bestFit="1" customWidth="1"/>
    <col min="15" max="15" width="14.6640625" bestFit="1" customWidth="1"/>
    <col min="16" max="16" width="11.33203125" bestFit="1" customWidth="1"/>
    <col min="17" max="18" width="14.33203125" bestFit="1" customWidth="1"/>
    <col min="19" max="19" width="11.33203125" bestFit="1" customWidth="1"/>
    <col min="20" max="20" width="12.5" bestFit="1" customWidth="1"/>
    <col min="21" max="26" width="11.33203125" bestFit="1" customWidth="1"/>
    <col min="27" max="27" width="14.6640625" bestFit="1" customWidth="1"/>
    <col min="28" max="28" width="11.33203125" bestFit="1" customWidth="1"/>
    <col min="29" max="30" width="14.33203125" bestFit="1" customWidth="1"/>
    <col min="31" max="31" width="11.33203125" bestFit="1" customWidth="1"/>
    <col min="32" max="32" width="12.5" bestFit="1" customWidth="1"/>
    <col min="33" max="38" width="11.33203125" bestFit="1" customWidth="1"/>
    <col min="39" max="39" width="14.6640625" bestFit="1" customWidth="1"/>
    <col min="40" max="40" width="11.33203125" bestFit="1" customWidth="1"/>
    <col min="41" max="42" width="14.33203125" bestFit="1" customWidth="1"/>
    <col min="43" max="43" width="11.33203125" bestFit="1" customWidth="1"/>
    <col min="44" max="44" width="12.5" bestFit="1" customWidth="1"/>
    <col min="45" max="50" width="11.33203125" bestFit="1" customWidth="1"/>
    <col min="51" max="51" width="14.6640625" bestFit="1" customWidth="1"/>
    <col min="52" max="52" width="11.33203125" bestFit="1" customWidth="1"/>
    <col min="53" max="54" width="14.33203125" bestFit="1" customWidth="1"/>
    <col min="55" max="55" width="11.33203125" bestFit="1" customWidth="1"/>
    <col min="56" max="56" width="12.5" bestFit="1" customWidth="1"/>
    <col min="57" max="62" width="11.33203125" bestFit="1" customWidth="1"/>
  </cols>
  <sheetData>
    <row r="11" spans="4:62" ht="15.75" x14ac:dyDescent="0.2">
      <c r="D11" s="39"/>
      <c r="E11" s="39"/>
      <c r="F11" s="39"/>
      <c r="G11" s="39">
        <v>2015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>
        <v>2016</v>
      </c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>
        <v>2017</v>
      </c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3">
        <v>2018</v>
      </c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3">
        <v>2019</v>
      </c>
      <c r="BD11" s="39"/>
      <c r="BE11" s="39"/>
      <c r="BF11" s="39"/>
      <c r="BG11" s="39"/>
      <c r="BH11" s="39"/>
      <c r="BI11" s="39"/>
      <c r="BJ11" s="39"/>
    </row>
    <row r="12" spans="4:62" ht="15.75" x14ac:dyDescent="0.2">
      <c r="D12" s="33"/>
      <c r="E12" s="33"/>
      <c r="F12" s="33" t="s">
        <v>48</v>
      </c>
      <c r="G12" s="33" t="s">
        <v>37</v>
      </c>
      <c r="H12" s="33" t="s">
        <v>38</v>
      </c>
      <c r="I12" s="33" t="s">
        <v>39</v>
      </c>
      <c r="J12" s="33" t="s">
        <v>40</v>
      </c>
      <c r="K12" s="33" t="s">
        <v>41</v>
      </c>
      <c r="L12" s="33" t="s">
        <v>42</v>
      </c>
      <c r="M12" s="33" t="s">
        <v>43</v>
      </c>
      <c r="N12" s="33" t="s">
        <v>44</v>
      </c>
      <c r="O12" s="33" t="s">
        <v>45</v>
      </c>
      <c r="P12" s="33" t="s">
        <v>46</v>
      </c>
      <c r="Q12" s="33" t="s">
        <v>47</v>
      </c>
      <c r="R12" s="33" t="s">
        <v>48</v>
      </c>
      <c r="S12" s="33" t="s">
        <v>37</v>
      </c>
      <c r="T12" s="33" t="s">
        <v>38</v>
      </c>
      <c r="U12" s="33" t="s">
        <v>39</v>
      </c>
      <c r="V12" s="33" t="s">
        <v>40</v>
      </c>
      <c r="W12" s="33" t="s">
        <v>41</v>
      </c>
      <c r="X12" s="33" t="s">
        <v>42</v>
      </c>
      <c r="Y12" s="33" t="s">
        <v>43</v>
      </c>
      <c r="Z12" s="33" t="s">
        <v>44</v>
      </c>
      <c r="AA12" s="33" t="s">
        <v>45</v>
      </c>
      <c r="AB12" s="33" t="s">
        <v>46</v>
      </c>
      <c r="AC12" s="33" t="s">
        <v>47</v>
      </c>
      <c r="AD12" s="33" t="s">
        <v>48</v>
      </c>
      <c r="AE12" s="33" t="s">
        <v>37</v>
      </c>
      <c r="AF12" s="33" t="s">
        <v>38</v>
      </c>
      <c r="AG12" s="33" t="s">
        <v>39</v>
      </c>
      <c r="AH12" s="33" t="s">
        <v>40</v>
      </c>
      <c r="AI12" s="33" t="s">
        <v>41</v>
      </c>
      <c r="AJ12" s="33" t="s">
        <v>42</v>
      </c>
      <c r="AK12" s="33" t="s">
        <v>43</v>
      </c>
      <c r="AL12" s="33" t="s">
        <v>44</v>
      </c>
      <c r="AM12" s="33" t="s">
        <v>45</v>
      </c>
      <c r="AN12" s="33" t="s">
        <v>46</v>
      </c>
      <c r="AO12" s="33" t="s">
        <v>47</v>
      </c>
      <c r="AP12" s="33" t="s">
        <v>48</v>
      </c>
      <c r="AQ12" s="33" t="s">
        <v>37</v>
      </c>
      <c r="AR12" s="33" t="s">
        <v>38</v>
      </c>
      <c r="AS12" s="33" t="s">
        <v>39</v>
      </c>
      <c r="AT12" s="33" t="s">
        <v>40</v>
      </c>
      <c r="AU12" s="33" t="s">
        <v>41</v>
      </c>
      <c r="AV12" s="33" t="s">
        <v>42</v>
      </c>
      <c r="AW12" s="33" t="s">
        <v>43</v>
      </c>
      <c r="AX12" s="33" t="s">
        <v>44</v>
      </c>
      <c r="AY12" s="33" t="s">
        <v>45</v>
      </c>
      <c r="AZ12" s="33" t="s">
        <v>46</v>
      </c>
      <c r="BA12" s="33" t="s">
        <v>47</v>
      </c>
      <c r="BB12" s="33" t="s">
        <v>48</v>
      </c>
      <c r="BC12" s="33" t="s">
        <v>37</v>
      </c>
      <c r="BD12" s="33" t="s">
        <v>38</v>
      </c>
      <c r="BE12" s="33" t="s">
        <v>39</v>
      </c>
      <c r="BF12" s="33" t="s">
        <v>40</v>
      </c>
      <c r="BG12" s="33" t="s">
        <v>41</v>
      </c>
      <c r="BH12" s="33" t="s">
        <v>42</v>
      </c>
      <c r="BI12" s="33" t="s">
        <v>43</v>
      </c>
      <c r="BJ12" s="33" t="s">
        <v>44</v>
      </c>
    </row>
    <row r="13" spans="4:62" ht="15.75" x14ac:dyDescent="0.2">
      <c r="D13" s="33"/>
      <c r="E13" s="33"/>
      <c r="F13" s="33">
        <v>31</v>
      </c>
      <c r="G13" s="33">
        <v>31</v>
      </c>
      <c r="H13" s="33">
        <v>28</v>
      </c>
      <c r="I13" s="33">
        <v>31</v>
      </c>
      <c r="J13" s="33">
        <v>30</v>
      </c>
      <c r="K13" s="33">
        <v>31</v>
      </c>
      <c r="L13" s="33">
        <v>30</v>
      </c>
      <c r="M13" s="33">
        <v>31</v>
      </c>
      <c r="N13" s="33">
        <v>31</v>
      </c>
      <c r="O13" s="33">
        <v>30</v>
      </c>
      <c r="P13" s="33">
        <v>31</v>
      </c>
      <c r="Q13" s="33">
        <v>30</v>
      </c>
      <c r="R13" s="33">
        <v>31</v>
      </c>
      <c r="S13" s="33">
        <v>31</v>
      </c>
      <c r="T13" s="33">
        <v>28</v>
      </c>
      <c r="U13" s="33">
        <v>31</v>
      </c>
      <c r="V13" s="33">
        <v>30</v>
      </c>
      <c r="W13" s="33">
        <v>31</v>
      </c>
      <c r="X13" s="33">
        <v>30</v>
      </c>
      <c r="Y13" s="33">
        <v>31</v>
      </c>
      <c r="Z13" s="33">
        <v>31</v>
      </c>
      <c r="AA13" s="33">
        <v>30</v>
      </c>
      <c r="AB13" s="33">
        <v>31</v>
      </c>
      <c r="AC13" s="33">
        <v>30</v>
      </c>
      <c r="AD13" s="33">
        <v>31</v>
      </c>
      <c r="AE13" s="33">
        <v>31</v>
      </c>
      <c r="AF13" s="33">
        <v>28</v>
      </c>
      <c r="AG13" s="33">
        <v>31</v>
      </c>
      <c r="AH13" s="33">
        <v>30</v>
      </c>
      <c r="AI13" s="33">
        <v>31</v>
      </c>
      <c r="AJ13" s="33">
        <v>30</v>
      </c>
      <c r="AK13" s="33">
        <v>31</v>
      </c>
      <c r="AL13" s="33">
        <v>31</v>
      </c>
      <c r="AM13" s="33">
        <v>30</v>
      </c>
      <c r="AN13" s="33">
        <v>31</v>
      </c>
      <c r="AO13" s="33">
        <v>30</v>
      </c>
      <c r="AP13" s="33">
        <v>31</v>
      </c>
      <c r="AQ13" s="33">
        <v>31</v>
      </c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4:62" ht="15.75" x14ac:dyDescent="0.2">
      <c r="D14" s="33"/>
      <c r="E14" s="33"/>
    </row>
    <row r="15" spans="4:62" ht="15.75" x14ac:dyDescent="0.2">
      <c r="D15" s="40" t="s">
        <v>61</v>
      </c>
      <c r="E15" s="33" t="s">
        <v>64</v>
      </c>
      <c r="F15" s="34">
        <v>0</v>
      </c>
      <c r="G15" s="34">
        <f>167546/21</f>
        <v>7978.3809523809523</v>
      </c>
      <c r="H15" s="34">
        <f>226619/23</f>
        <v>9853</v>
      </c>
      <c r="I15" s="34">
        <f>342308/31</f>
        <v>11042.193548387097</v>
      </c>
      <c r="J15" s="34">
        <f>322466/30</f>
        <v>10748.866666666667</v>
      </c>
      <c r="K15" s="34">
        <f>316405/31</f>
        <v>10206.612903225807</v>
      </c>
      <c r="L15" s="34">
        <f>306165/30</f>
        <v>10205.5</v>
      </c>
      <c r="M15" s="34">
        <f>211877/21</f>
        <v>10089.380952380952</v>
      </c>
      <c r="N15" s="34">
        <f>294052/31</f>
        <v>9485.5483870967746</v>
      </c>
      <c r="O15" s="34">
        <f>282958/30</f>
        <v>9431.9333333333325</v>
      </c>
      <c r="P15" s="34">
        <f>274180/31</f>
        <v>8844.5161290322576</v>
      </c>
      <c r="Q15" s="34">
        <f>206547/27</f>
        <v>7649.8888888888887</v>
      </c>
      <c r="R15" s="34">
        <f>248237/31</f>
        <v>8007.6451612903229</v>
      </c>
      <c r="S15" s="34">
        <f>249234/31</f>
        <v>8039.8064516129034</v>
      </c>
      <c r="T15" s="34">
        <f>230639/29</f>
        <v>7953.0689655172409</v>
      </c>
      <c r="U15" s="34">
        <f>253391/31</f>
        <v>8173.9032258064517</v>
      </c>
      <c r="V15" s="34">
        <f>228788/30</f>
        <v>7626.2666666666664</v>
      </c>
      <c r="W15" s="34">
        <f>243687/31</f>
        <v>7860.8709677419356</v>
      </c>
      <c r="X15" s="34">
        <f>238057/30</f>
        <v>7935.2333333333336</v>
      </c>
      <c r="Y15" s="34">
        <f>211546/31</f>
        <v>6824.0645161290322</v>
      </c>
      <c r="Z15" s="34">
        <f>207125/31</f>
        <v>6681.4516129032254</v>
      </c>
      <c r="AA15" s="34">
        <f>195949/30</f>
        <v>6531.6333333333332</v>
      </c>
      <c r="AB15" s="34">
        <f>189652/31</f>
        <v>6117.8064516129034</v>
      </c>
      <c r="AC15" s="34">
        <f>168204/28</f>
        <v>6007.2857142857147</v>
      </c>
      <c r="AD15" s="34">
        <f>193457/31</f>
        <v>6240.5483870967746</v>
      </c>
      <c r="AE15" s="34">
        <f>187181/31</f>
        <v>6038.0967741935483</v>
      </c>
      <c r="AF15" s="34">
        <f>165969/28</f>
        <v>5927.4642857142853</v>
      </c>
      <c r="AG15" s="34">
        <f>186369/31</f>
        <v>6011.9032258064517</v>
      </c>
      <c r="AH15" s="34">
        <f>180402/30</f>
        <v>6013.4</v>
      </c>
      <c r="AI15" s="34">
        <f>175063/31</f>
        <v>5647.1935483870966</v>
      </c>
      <c r="AJ15" s="34">
        <f>178065/30</f>
        <v>5935.5</v>
      </c>
      <c r="AK15" s="34">
        <f>189530/31</f>
        <v>6113.8709677419356</v>
      </c>
      <c r="AL15" s="34">
        <f>174580/31</f>
        <v>5631.6129032258068</v>
      </c>
      <c r="AM15" s="34">
        <f>186721/30</f>
        <v>6224.0333333333338</v>
      </c>
      <c r="AN15" s="34">
        <f>159129/28</f>
        <v>5683.1785714285716</v>
      </c>
      <c r="AO15" s="34">
        <f>179619/30</f>
        <v>5987.3</v>
      </c>
      <c r="AP15" s="34">
        <f>188870/31</f>
        <v>6092.5806451612907</v>
      </c>
      <c r="AQ15" s="34">
        <f>184284/31</f>
        <v>5944.6451612903229</v>
      </c>
      <c r="AR15" s="34">
        <f>170017/28</f>
        <v>6072.0357142857147</v>
      </c>
      <c r="AS15" s="34">
        <f>187393/31</f>
        <v>6044.9354838709678</v>
      </c>
      <c r="AT15" s="34">
        <f>168353/30</f>
        <v>5611.7666666666664</v>
      </c>
      <c r="AU15" s="34">
        <f>191462/31</f>
        <v>6176.1935483870966</v>
      </c>
      <c r="AV15" s="34">
        <f>180077/30</f>
        <v>6002.5666666666666</v>
      </c>
      <c r="AW15" s="34">
        <f>199779/31</f>
        <v>6444.4838709677415</v>
      </c>
      <c r="AX15" s="34">
        <f>213432/31</f>
        <v>6884.9032258064517</v>
      </c>
      <c r="AY15" s="34">
        <f>198290/30</f>
        <v>6609.666666666667</v>
      </c>
      <c r="AZ15" s="34">
        <f>200657/31</f>
        <v>6472.8064516129034</v>
      </c>
      <c r="BA15" s="34">
        <f>168336/29</f>
        <v>5804.6896551724139</v>
      </c>
      <c r="BB15" s="34">
        <f>185848/31</f>
        <v>5995.0967741935483</v>
      </c>
      <c r="BC15" s="34">
        <f>185852/31</f>
        <v>5995.2258064516127</v>
      </c>
      <c r="BD15" s="34">
        <f>159748/28</f>
        <v>5705.2857142857147</v>
      </c>
      <c r="BE15" s="34">
        <f>170732/31</f>
        <v>5507.4838709677415</v>
      </c>
      <c r="BF15" s="34">
        <f>169317/30</f>
        <v>5643.9</v>
      </c>
      <c r="BG15" s="34">
        <f>119740/22</f>
        <v>5442.727272727273</v>
      </c>
      <c r="BH15" s="34">
        <f>157302/30</f>
        <v>5243.4</v>
      </c>
      <c r="BI15" s="34">
        <f>124575/25</f>
        <v>4983</v>
      </c>
      <c r="BJ15" s="34">
        <f>156840/31</f>
        <v>5059.3548387096771</v>
      </c>
    </row>
    <row r="16" spans="4:62" ht="15.75" x14ac:dyDescent="0.2">
      <c r="D16" s="40" t="s">
        <v>61</v>
      </c>
      <c r="E16" s="33" t="s">
        <v>65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f>236174/22</f>
        <v>10735.181818181818</v>
      </c>
      <c r="Y16" s="34">
        <f>376881/31</f>
        <v>12157.451612903225</v>
      </c>
      <c r="Z16" s="34">
        <f>378749/31</f>
        <v>12217.709677419354</v>
      </c>
      <c r="AA16" s="34">
        <f>381372/30</f>
        <v>12712.4</v>
      </c>
      <c r="AB16" s="34">
        <f>400496/31</f>
        <v>12919.225806451614</v>
      </c>
      <c r="AC16" s="34">
        <f>351962/29</f>
        <v>12136.620689655172</v>
      </c>
      <c r="AD16" s="34">
        <f>417030/31</f>
        <v>13452.58064516129</v>
      </c>
      <c r="AE16" s="34">
        <f>426204/31</f>
        <v>13748.516129032258</v>
      </c>
      <c r="AF16" s="34">
        <f>376617/28</f>
        <v>13450.607142857143</v>
      </c>
      <c r="AG16" s="34">
        <f>419946/31</f>
        <v>13546.645161290322</v>
      </c>
      <c r="AH16" s="34">
        <f>413698/30</f>
        <v>13789.933333333332</v>
      </c>
      <c r="AI16" s="34">
        <f>434409/31</f>
        <v>14013.193548387097</v>
      </c>
      <c r="AJ16" s="34">
        <f>391412/30</f>
        <v>13047.066666666668</v>
      </c>
      <c r="AK16" s="34">
        <f>373601/29</f>
        <v>12882.793103448275</v>
      </c>
      <c r="AL16" s="34">
        <f>427161/31</f>
        <v>13779.387096774193</v>
      </c>
      <c r="AM16" s="34">
        <f>422568/30</f>
        <v>14085.6</v>
      </c>
      <c r="AN16" s="34">
        <f>361731/28</f>
        <v>12918.964285714286</v>
      </c>
      <c r="AO16" s="34">
        <f>373992/30</f>
        <v>12466.4</v>
      </c>
      <c r="AP16" s="34">
        <f>381300/31</f>
        <v>12300</v>
      </c>
      <c r="AQ16" s="34">
        <f>333576/31</f>
        <v>10760.516129032258</v>
      </c>
      <c r="AR16" s="34">
        <f>328762/28</f>
        <v>11741.5</v>
      </c>
      <c r="AS16" s="34">
        <f>378082/31</f>
        <v>12196.193548387097</v>
      </c>
      <c r="AT16" s="34">
        <f>355588/30</f>
        <v>11852.933333333332</v>
      </c>
      <c r="AU16" s="34">
        <f>436317/31</f>
        <v>14074.741935483871</v>
      </c>
      <c r="AV16" s="34">
        <f>442140/30</f>
        <v>14738</v>
      </c>
      <c r="AW16" s="34">
        <f>424901/31</f>
        <v>13706.483870967742</v>
      </c>
      <c r="AX16" s="34">
        <f>436553/31</f>
        <v>14082.354838709678</v>
      </c>
      <c r="AY16" s="34">
        <f>410463/30</f>
        <v>13682.1</v>
      </c>
      <c r="AZ16" s="34">
        <f>411164/31</f>
        <v>13263.354838709678</v>
      </c>
      <c r="BA16" s="34">
        <f>377007/29</f>
        <v>13000.241379310344</v>
      </c>
      <c r="BB16" s="34">
        <f>396547/31</f>
        <v>12791.838709677419</v>
      </c>
      <c r="BC16" s="34">
        <f>405819/31</f>
        <v>13090.935483870968</v>
      </c>
      <c r="BD16" s="34">
        <f>353149/28</f>
        <v>12612.464285714286</v>
      </c>
      <c r="BE16" s="34">
        <f>383911/31</f>
        <v>12384.225806451614</v>
      </c>
      <c r="BF16" s="34">
        <f>364508/30</f>
        <v>12150.266666666666</v>
      </c>
      <c r="BG16" s="34">
        <f>265614/22</f>
        <v>12073.363636363636</v>
      </c>
      <c r="BH16" s="34">
        <f>357343/30</f>
        <v>11911.433333333332</v>
      </c>
      <c r="BI16" s="34">
        <f>314537/29</f>
        <v>10846.103448275862</v>
      </c>
      <c r="BJ16" s="34">
        <f>351655/31</f>
        <v>11343.709677419354</v>
      </c>
    </row>
    <row r="17" spans="4:62" ht="15.75" x14ac:dyDescent="0.2">
      <c r="D17" s="40" t="s">
        <v>61</v>
      </c>
      <c r="E17" s="33" t="s">
        <v>66</v>
      </c>
      <c r="F17" s="34">
        <v>0</v>
      </c>
      <c r="G17" s="34">
        <v>0</v>
      </c>
      <c r="H17" s="34">
        <f>97101/13</f>
        <v>7469.3076923076924</v>
      </c>
      <c r="I17" s="34">
        <f>284696/23</f>
        <v>12378.08695652174</v>
      </c>
      <c r="J17" s="34">
        <f>422643/30</f>
        <v>14088.1</v>
      </c>
      <c r="K17" s="34">
        <f>442928/31</f>
        <v>14288</v>
      </c>
      <c r="L17" s="34">
        <f>444336/30</f>
        <v>14811.2</v>
      </c>
      <c r="M17" s="34">
        <f>313940/23</f>
        <v>13649.565217391304</v>
      </c>
      <c r="N17" s="34">
        <f>441482/31</f>
        <v>14241.354838709678</v>
      </c>
      <c r="O17" s="34">
        <f>365570/30</f>
        <v>12185.666666666666</v>
      </c>
      <c r="P17" s="34">
        <f>433994/31</f>
        <v>13999.806451612903</v>
      </c>
      <c r="Q17" s="34">
        <f>354347/27</f>
        <v>13123.962962962964</v>
      </c>
      <c r="R17" s="34">
        <f>471943/31</f>
        <v>15223.967741935483</v>
      </c>
      <c r="S17" s="34">
        <f>470135/31</f>
        <v>15165.645161290322</v>
      </c>
      <c r="T17" s="34">
        <f>436346/29</f>
        <v>15046.413793103447</v>
      </c>
      <c r="U17" s="34">
        <f>482409/31</f>
        <v>15561.58064516129</v>
      </c>
      <c r="V17" s="34">
        <f>448228/30</f>
        <v>14940.933333333332</v>
      </c>
      <c r="W17" s="34">
        <f>478926/31</f>
        <v>15449.225806451614</v>
      </c>
      <c r="X17" s="34">
        <f>453365/30</f>
        <v>15112.166666666666</v>
      </c>
      <c r="Y17" s="34">
        <f>439166/31</f>
        <v>14166.645161290322</v>
      </c>
      <c r="Z17" s="34">
        <f>372404/31</f>
        <v>12013.032258064517</v>
      </c>
      <c r="AA17" s="34">
        <f>365570/30</f>
        <v>12185.666666666666</v>
      </c>
      <c r="AB17" s="34">
        <f>396712/31</f>
        <v>12797.161290322581</v>
      </c>
      <c r="AC17" s="34">
        <f>309819/28</f>
        <v>11064.964285714286</v>
      </c>
      <c r="AD17" s="34">
        <f>404091/31</f>
        <v>13035.193548387097</v>
      </c>
      <c r="AE17" s="34">
        <f>390087/31</f>
        <v>12583.451612903225</v>
      </c>
      <c r="AF17" s="34">
        <f>354067/28</f>
        <v>12645.25</v>
      </c>
      <c r="AG17" s="34">
        <f>383701/31</f>
        <v>12377.451612903225</v>
      </c>
      <c r="AH17" s="34">
        <f>381440/30</f>
        <v>12714.666666666666</v>
      </c>
      <c r="AI17" s="34">
        <f>364763/31</f>
        <v>11766.548387096775</v>
      </c>
      <c r="AJ17" s="34">
        <f>360219/30</f>
        <v>12007.3</v>
      </c>
      <c r="AK17" s="34">
        <f>367931/31</f>
        <v>11868.741935483871</v>
      </c>
      <c r="AL17" s="34">
        <f>333865/31</f>
        <v>10769.838709677419</v>
      </c>
      <c r="AM17" s="34">
        <f>342066/30</f>
        <v>11402.2</v>
      </c>
      <c r="AN17" s="34">
        <f>302637/28</f>
        <v>10808.464285714286</v>
      </c>
      <c r="AO17" s="34">
        <f>338573/30</f>
        <v>11285.766666666666</v>
      </c>
      <c r="AP17" s="34">
        <f>351050/31</f>
        <v>11324.193548387097</v>
      </c>
      <c r="AQ17" s="34">
        <f>307965/31</f>
        <v>9934.354838709678</v>
      </c>
      <c r="AR17" s="34">
        <f>298550/28</f>
        <v>10662.5</v>
      </c>
      <c r="AS17" s="34">
        <f>328094/31</f>
        <v>10583.677419354839</v>
      </c>
      <c r="AT17" s="34">
        <f>286889/30</f>
        <v>9562.9666666666672</v>
      </c>
      <c r="AU17" s="34">
        <f>330564/31</f>
        <v>10663.354838709678</v>
      </c>
      <c r="AV17" s="34">
        <f>322773/30</f>
        <v>10759.1</v>
      </c>
      <c r="AW17" s="34">
        <f>353599/31</f>
        <v>11406.41935483871</v>
      </c>
      <c r="AX17" s="34">
        <f>356255/31</f>
        <v>11492.096774193549</v>
      </c>
      <c r="AY17" s="34">
        <f>333373/30</f>
        <v>11112.433333333332</v>
      </c>
      <c r="AZ17" s="34">
        <f>296210/31</f>
        <v>9555.1612903225814</v>
      </c>
      <c r="BA17" s="34">
        <f>342326/29</f>
        <v>11804.344827586207</v>
      </c>
      <c r="BB17" s="34">
        <f>350066/31</f>
        <v>11292.451612903225</v>
      </c>
      <c r="BC17" s="34">
        <f>352503/31</f>
        <v>11371.064516129032</v>
      </c>
      <c r="BD17" s="34">
        <f>305385/28</f>
        <v>10906.607142857143</v>
      </c>
      <c r="BE17" s="34">
        <f>326897/31</f>
        <v>10545.064516129032</v>
      </c>
      <c r="BF17" s="34">
        <f>322248/30</f>
        <v>10741.6</v>
      </c>
      <c r="BG17" s="34">
        <f>233347/22</f>
        <v>10606.681818181818</v>
      </c>
      <c r="BH17" s="34">
        <f>320927/30</f>
        <v>10697.566666666668</v>
      </c>
      <c r="BI17" s="34">
        <f>295888/30</f>
        <v>9862.9333333333325</v>
      </c>
      <c r="BJ17" s="34">
        <f>295954/31</f>
        <v>9546.9032258064508</v>
      </c>
    </row>
    <row r="18" spans="4:62" ht="15.75" x14ac:dyDescent="0.2">
      <c r="D18" s="40" t="s">
        <v>61</v>
      </c>
      <c r="E18" s="33" t="s">
        <v>67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f>0</f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f>0</f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f>199115/19</f>
        <v>10479.736842105263</v>
      </c>
      <c r="AJ18" s="34">
        <f>375938/30</f>
        <v>12531.266666666666</v>
      </c>
      <c r="AK18" s="34">
        <f>400172/31</f>
        <v>12908.774193548386</v>
      </c>
      <c r="AL18" s="34">
        <f>443876/31</f>
        <v>14318.58064516129</v>
      </c>
      <c r="AM18" s="34">
        <f>490933/30</f>
        <v>16364.433333333332</v>
      </c>
      <c r="AN18" s="34">
        <f>433900/28</f>
        <v>15496.428571428571</v>
      </c>
      <c r="AO18" s="34">
        <f>514700/30</f>
        <v>17156.666666666668</v>
      </c>
      <c r="AP18" s="34">
        <f>529452/31</f>
        <v>17079.096774193549</v>
      </c>
      <c r="AQ18" s="34">
        <f>524776/31</f>
        <v>16928.258064516129</v>
      </c>
      <c r="AR18" s="34">
        <f>476259/28</f>
        <v>17009.25</v>
      </c>
      <c r="AS18" s="34">
        <f>552629/31</f>
        <v>17826.741935483871</v>
      </c>
      <c r="AT18" s="34">
        <f>494992/30</f>
        <v>16499.733333333334</v>
      </c>
      <c r="AU18" s="34">
        <f>574357/31</f>
        <v>18527.645161290322</v>
      </c>
      <c r="AV18" s="34">
        <f>515105/30</f>
        <v>17170.166666666668</v>
      </c>
      <c r="AW18" s="34">
        <f>577686/31</f>
        <v>18635.032258064515</v>
      </c>
      <c r="AX18" s="34">
        <f>589289/31</f>
        <v>19009.322580645163</v>
      </c>
      <c r="AY18" s="34">
        <f>553013/30</f>
        <v>18433.766666666666</v>
      </c>
      <c r="AZ18" s="34">
        <f>565767/31</f>
        <v>18250.548387096773</v>
      </c>
      <c r="BA18" s="34">
        <f>505984/29</f>
        <v>17447.724137931036</v>
      </c>
      <c r="BB18" s="34">
        <f>552100/31</f>
        <v>17809.677419354837</v>
      </c>
      <c r="BC18" s="34">
        <f>546477/31</f>
        <v>17628.290322580644</v>
      </c>
      <c r="BD18" s="34">
        <f>484338/28</f>
        <v>17297.785714285714</v>
      </c>
      <c r="BE18" s="34">
        <f>524481/31</f>
        <v>16918.741935483871</v>
      </c>
      <c r="BF18" s="34">
        <f>505431/30</f>
        <v>16847.7</v>
      </c>
      <c r="BG18" s="34">
        <f>351742/22</f>
        <v>15988.272727272728</v>
      </c>
      <c r="BH18" s="34">
        <f>478920/30</f>
        <v>15964</v>
      </c>
      <c r="BI18" s="34">
        <f>421553/29</f>
        <v>14536.310344827587</v>
      </c>
      <c r="BJ18" s="34">
        <f>472737/31</f>
        <v>15249.58064516129</v>
      </c>
    </row>
    <row r="19" spans="4:62" ht="15.75" x14ac:dyDescent="0.2">
      <c r="D19" s="40" t="s">
        <v>61</v>
      </c>
      <c r="E19" s="33" t="s">
        <v>68</v>
      </c>
      <c r="F19" s="34">
        <f>258352/28</f>
        <v>9226.8571428571431</v>
      </c>
      <c r="G19" s="34">
        <f>328696/27</f>
        <v>12173.925925925925</v>
      </c>
      <c r="H19" s="34">
        <f>358981/28</f>
        <v>12820.75</v>
      </c>
      <c r="I19" s="34">
        <f>437497/31</f>
        <v>14112.806451612903</v>
      </c>
      <c r="J19" s="34">
        <f>430235/30</f>
        <v>14341.166666666666</v>
      </c>
      <c r="K19" s="34">
        <f>431993/31</f>
        <v>13935.258064516129</v>
      </c>
      <c r="L19" s="34">
        <f>435167/30</f>
        <v>14505.566666666668</v>
      </c>
      <c r="M19" s="34">
        <f>313590/23</f>
        <v>13634.347826086956</v>
      </c>
      <c r="N19" s="34">
        <f>438386/31</f>
        <v>14141.483870967742</v>
      </c>
      <c r="O19" s="34">
        <f>423677/31</f>
        <v>13667</v>
      </c>
      <c r="P19" s="34">
        <f>414785/31</f>
        <v>13380.161290322581</v>
      </c>
      <c r="Q19" s="34">
        <f>341224/27</f>
        <v>12637.925925925925</v>
      </c>
      <c r="R19" s="34">
        <f>430739/31</f>
        <v>13894.806451612903</v>
      </c>
      <c r="S19" s="34">
        <f>421890/31</f>
        <v>13609.354838709678</v>
      </c>
      <c r="T19" s="34">
        <f>395540/29</f>
        <v>13639.310344827587</v>
      </c>
      <c r="U19" s="34">
        <f>413134/31</f>
        <v>13326.903225806451</v>
      </c>
      <c r="V19" s="34">
        <f>371401/30</f>
        <v>12380.033333333333</v>
      </c>
      <c r="W19" s="34">
        <f>398433/31</f>
        <v>12852.677419354839</v>
      </c>
      <c r="X19" s="34">
        <f>379885/30</f>
        <v>12662.833333333334</v>
      </c>
      <c r="Y19" s="34">
        <f>364728/31</f>
        <v>11765.41935483871</v>
      </c>
      <c r="Z19" s="34">
        <f>296312/28</f>
        <v>10582.571428571429</v>
      </c>
      <c r="AA19" s="34">
        <f>335882/30</f>
        <v>11196.066666666668</v>
      </c>
      <c r="AB19" s="34">
        <f>346223/31</f>
        <v>11168.483870967742</v>
      </c>
      <c r="AC19" s="34">
        <f>292953/29</f>
        <v>10101.827586206897</v>
      </c>
      <c r="AD19" s="34">
        <f>347525/31</f>
        <v>11210.483870967742</v>
      </c>
      <c r="AE19" s="34">
        <f>319015/31</f>
        <v>10290.806451612903</v>
      </c>
      <c r="AF19" s="34">
        <f>277831/28</f>
        <v>9922.5357142857138</v>
      </c>
      <c r="AG19" s="34">
        <f>304470/31</f>
        <v>9821.6129032258068</v>
      </c>
      <c r="AH19" s="34">
        <f>292339/30</f>
        <v>9744.6333333333332</v>
      </c>
      <c r="AI19" s="34">
        <f>278535/31</f>
        <v>8985</v>
      </c>
      <c r="AJ19" s="34">
        <f>273085/30</f>
        <v>9102.8333333333339</v>
      </c>
      <c r="AK19" s="34">
        <f>269870/31</f>
        <v>8705.4838709677424</v>
      </c>
      <c r="AL19" s="34">
        <f>244395/31</f>
        <v>7883.7096774193551</v>
      </c>
      <c r="AM19" s="34">
        <f>252601/30</f>
        <v>8420.0333333333328</v>
      </c>
      <c r="AN19" s="34">
        <f>219844/28</f>
        <v>7851.5714285714284</v>
      </c>
      <c r="AO19" s="34">
        <f>246745/30</f>
        <v>8224.8333333333339</v>
      </c>
      <c r="AP19" s="34">
        <f>256367/31</f>
        <v>8269.9032258064508</v>
      </c>
      <c r="AQ19" s="34">
        <f>228866/31</f>
        <v>7382.7741935483873</v>
      </c>
      <c r="AR19" s="34">
        <f>217298/28</f>
        <v>7760.6428571428569</v>
      </c>
      <c r="AS19" s="34">
        <f>242590/31</f>
        <v>7825.4838709677415</v>
      </c>
      <c r="AT19" s="34">
        <f>207268/30</f>
        <v>6908.9333333333334</v>
      </c>
      <c r="AU19" s="34">
        <f>255938/31</f>
        <v>8256.0645161290322</v>
      </c>
      <c r="AV19" s="34">
        <f>207831/27</f>
        <v>7697.4444444444443</v>
      </c>
      <c r="AW19" s="34">
        <f>265675/31</f>
        <v>8570.1612903225814</v>
      </c>
      <c r="AX19" s="34">
        <f>272354/31</f>
        <v>8785.6129032258068</v>
      </c>
      <c r="AY19" s="34">
        <f>255628/30</f>
        <v>8520.9333333333325</v>
      </c>
      <c r="AZ19" s="34">
        <f>258158/31</f>
        <v>8327.677419354839</v>
      </c>
      <c r="BA19" s="34">
        <f>230556/29</f>
        <v>7950.2068965517237</v>
      </c>
      <c r="BB19" s="34">
        <f>250491/31</f>
        <v>8080.3548387096771</v>
      </c>
      <c r="BC19" s="34">
        <f>251653/31</f>
        <v>8117.8387096774195</v>
      </c>
      <c r="BD19" s="34">
        <f>193658/28</f>
        <v>6916.3571428571431</v>
      </c>
      <c r="BE19" s="34">
        <f>223435/31</f>
        <v>7207.5806451612907</v>
      </c>
      <c r="BF19" s="34">
        <f>219542/30</f>
        <v>7318.0666666666666</v>
      </c>
      <c r="BG19" s="34">
        <f>157372/22</f>
        <v>7153.272727272727</v>
      </c>
      <c r="BH19" s="34">
        <f>212202/30</f>
        <v>7073.4</v>
      </c>
      <c r="BI19" s="34">
        <f>210821/30</f>
        <v>7027.3666666666668</v>
      </c>
      <c r="BJ19" s="34">
        <f>215941/31</f>
        <v>6965.8387096774195</v>
      </c>
    </row>
    <row r="20" spans="4:62" ht="15.75" x14ac:dyDescent="0.2">
      <c r="D20" s="40" t="s">
        <v>61</v>
      </c>
      <c r="E20" s="33" t="s">
        <v>69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f>133829/15</f>
        <v>8921.9333333333325</v>
      </c>
      <c r="W20" s="34">
        <f>408502/30</f>
        <v>13616.733333333334</v>
      </c>
      <c r="X20" s="34">
        <f>426486/30</f>
        <v>14216.2</v>
      </c>
      <c r="Y20" s="34">
        <f>434028/31</f>
        <v>14000.903225806451</v>
      </c>
      <c r="Z20" s="34">
        <f>445179/31</f>
        <v>14360.612903225807</v>
      </c>
      <c r="AA20" s="34">
        <f>453571/30</f>
        <v>15119.033333333333</v>
      </c>
      <c r="AB20" s="34">
        <f>473681/31</f>
        <v>15280.032258064517</v>
      </c>
      <c r="AC20" s="34">
        <f>421245/29</f>
        <v>14525.689655172413</v>
      </c>
      <c r="AD20" s="34">
        <f>493008/31</f>
        <v>15903.483870967742</v>
      </c>
      <c r="AE20" s="34">
        <f>481914/31</f>
        <v>15545.612903225807</v>
      </c>
      <c r="AF20" s="34">
        <f>441932/28</f>
        <v>15783.285714285714</v>
      </c>
      <c r="AG20" s="34">
        <f>474617/31</f>
        <v>15310.225806451614</v>
      </c>
      <c r="AH20" s="34">
        <f>473493/30</f>
        <v>15783.1</v>
      </c>
      <c r="AI20" s="34">
        <f>473562/31</f>
        <v>15276.193548387097</v>
      </c>
      <c r="AJ20" s="34">
        <f>468421/30</f>
        <v>15614.033333333333</v>
      </c>
      <c r="AK20" s="34">
        <f>494513/31</f>
        <v>15952.032258064517</v>
      </c>
      <c r="AL20" s="34">
        <f>474033/31</f>
        <v>15291.387096774193</v>
      </c>
      <c r="AM20" s="34">
        <f>467036/30</f>
        <v>15567.866666666667</v>
      </c>
      <c r="AN20" s="34">
        <f>415374/28</f>
        <v>14834.785714285714</v>
      </c>
      <c r="AO20" s="34">
        <f>459363/30</f>
        <v>15312.1</v>
      </c>
      <c r="AP20" s="34">
        <f>478692/31</f>
        <v>15441.677419354839</v>
      </c>
      <c r="AQ20" s="34">
        <f>447493/31</f>
        <v>14435.258064516129</v>
      </c>
      <c r="AR20" s="34">
        <f>405436/28</f>
        <v>14479.857142857143</v>
      </c>
      <c r="AS20" s="34">
        <f>449926/31</f>
        <v>14513.741935483871</v>
      </c>
      <c r="AT20" s="34">
        <f>406074/30</f>
        <v>13535.8</v>
      </c>
      <c r="AU20" s="34">
        <f>477560/31</f>
        <v>15405.161290322581</v>
      </c>
      <c r="AV20" s="34">
        <f>479189/30</f>
        <v>15972.966666666667</v>
      </c>
      <c r="AW20" s="34">
        <f>469569/31</f>
        <v>15147.387096774193</v>
      </c>
      <c r="AX20" s="34">
        <f>485110/31</f>
        <v>15648.709677419354</v>
      </c>
      <c r="AY20" s="34">
        <f>460153/30</f>
        <v>15338.433333333332</v>
      </c>
      <c r="AZ20" s="34">
        <f>447892/31</f>
        <v>14448.129032258064</v>
      </c>
      <c r="BA20" s="34">
        <f>434887/29</f>
        <v>14996.103448275862</v>
      </c>
      <c r="BB20" s="34">
        <f>480667/31</f>
        <v>15505.387096774193</v>
      </c>
      <c r="BC20" s="34">
        <f>489350/31</f>
        <v>15785.483870967742</v>
      </c>
      <c r="BD20" s="34">
        <f>421346/28</f>
        <v>15048.071428571429</v>
      </c>
      <c r="BE20" s="34">
        <f>456221/31</f>
        <v>14716.806451612903</v>
      </c>
      <c r="BF20" s="34">
        <f>443470/30</f>
        <v>14782.333333333334</v>
      </c>
      <c r="BG20" s="34">
        <f>329439/22</f>
        <v>14974.5</v>
      </c>
      <c r="BH20" s="34">
        <f>449581/30</f>
        <v>14986.033333333333</v>
      </c>
      <c r="BI20" s="34">
        <f>392315/29</f>
        <v>13528.103448275862</v>
      </c>
      <c r="BJ20" s="34">
        <f>442287/31</f>
        <v>14267.322580645161</v>
      </c>
    </row>
    <row r="21" spans="4:62" ht="15.75" x14ac:dyDescent="0.2">
      <c r="D21" s="40" t="s">
        <v>61</v>
      </c>
      <c r="E21" s="33" t="s">
        <v>70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  <c r="AN21" s="34">
        <v>0</v>
      </c>
      <c r="AO21" s="34">
        <v>0</v>
      </c>
      <c r="AP21" s="34">
        <v>0</v>
      </c>
      <c r="AQ21" s="34">
        <f>199150/29</f>
        <v>6867.2413793103451</v>
      </c>
      <c r="AR21" s="34">
        <f>221771/28</f>
        <v>7920.3928571428569</v>
      </c>
      <c r="AS21" s="34">
        <f>244130/31</f>
        <v>7875.1612903225805</v>
      </c>
      <c r="AT21" s="34">
        <f>221575/30</f>
        <v>7385.833333333333</v>
      </c>
      <c r="AU21" s="34">
        <f>245571/31</f>
        <v>7921.6451612903229</v>
      </c>
      <c r="AV21" s="34">
        <f>293546/30</f>
        <v>9784.8666666666668</v>
      </c>
      <c r="AW21" s="34">
        <f>329724/31</f>
        <v>10636.258064516129</v>
      </c>
      <c r="AX21" s="34">
        <f>319382/31</f>
        <v>10302.645161290322</v>
      </c>
      <c r="AY21" s="34">
        <f>294420/30</f>
        <v>9814</v>
      </c>
      <c r="AZ21" s="34">
        <f>294760/31</f>
        <v>9508.3870967741932</v>
      </c>
      <c r="BA21" s="34">
        <f>265041/29</f>
        <v>9139.3448275862065</v>
      </c>
      <c r="BB21" s="34">
        <f>286346/31</f>
        <v>9236.967741935483</v>
      </c>
      <c r="BC21" s="34">
        <f>271074/31</f>
        <v>8744.322580645161</v>
      </c>
      <c r="BD21" s="34">
        <f>234235/28</f>
        <v>8365.5357142857138</v>
      </c>
      <c r="BE21" s="34">
        <f>249848/31</f>
        <v>8059.6129032258068</v>
      </c>
      <c r="BF21" s="34">
        <f>245605/30</f>
        <v>8186.833333333333</v>
      </c>
      <c r="BG21" s="34">
        <f>179790/22</f>
        <v>8172.272727272727</v>
      </c>
      <c r="BH21" s="34">
        <f>243381/30</f>
        <v>8112.7</v>
      </c>
      <c r="BI21" s="34">
        <f>213082/29</f>
        <v>7347.6551724137935</v>
      </c>
      <c r="BJ21" s="34">
        <f>238200/31</f>
        <v>7683.8709677419356</v>
      </c>
    </row>
    <row r="22" spans="4:62" ht="15.75" x14ac:dyDescent="0.2">
      <c r="D22" s="40" t="s">
        <v>61</v>
      </c>
      <c r="E22" s="33" t="s">
        <v>71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f>40945/5</f>
        <v>8189</v>
      </c>
      <c r="AA22" s="34">
        <f>295977/30</f>
        <v>9865.9</v>
      </c>
      <c r="AB22" s="34">
        <f>364792/31</f>
        <v>11767.483870967742</v>
      </c>
      <c r="AC22" s="34">
        <f>331096/29</f>
        <v>11417.103448275862</v>
      </c>
      <c r="AD22" s="34">
        <f>401524/31</f>
        <v>12952.387096774193</v>
      </c>
      <c r="AE22" s="34">
        <f>426026/31</f>
        <v>13742.774193548386</v>
      </c>
      <c r="AF22" s="34">
        <f>385157/28</f>
        <v>13755.607142857143</v>
      </c>
      <c r="AG22" s="34">
        <f>445914/31</f>
        <v>14384.322580645161</v>
      </c>
      <c r="AH22" s="34">
        <f>442442/30</f>
        <v>14748.066666666668</v>
      </c>
      <c r="AI22" s="34">
        <f>458918/31</f>
        <v>14803.806451612903</v>
      </c>
      <c r="AJ22" s="34">
        <f>438130/30</f>
        <v>14604.333333333334</v>
      </c>
      <c r="AK22" s="34">
        <f>457533/31</f>
        <v>14759.129032258064</v>
      </c>
      <c r="AL22" s="34">
        <f>471394/31</f>
        <v>15206.258064516129</v>
      </c>
      <c r="AM22" s="34">
        <f>492880/30</f>
        <v>16429.333333333332</v>
      </c>
      <c r="AN22" s="34">
        <f>423367/28</f>
        <v>15120.25</v>
      </c>
      <c r="AO22" s="34">
        <f>463650/30</f>
        <v>15455</v>
      </c>
      <c r="AP22" s="34">
        <f>458039/31</f>
        <v>14775.451612903225</v>
      </c>
      <c r="AQ22" s="34">
        <f>436631/31</f>
        <v>14084.870967741936</v>
      </c>
      <c r="AR22" s="34">
        <f>385777/28</f>
        <v>13777.75</v>
      </c>
      <c r="AS22" s="34">
        <f>419127/31</f>
        <v>13520.225806451614</v>
      </c>
      <c r="AT22" s="34">
        <f>353296/30</f>
        <v>11776.533333333333</v>
      </c>
      <c r="AU22" s="34">
        <f>454241/31</f>
        <v>14652.935483870968</v>
      </c>
      <c r="AV22" s="34">
        <f>454797/30</f>
        <v>15159.9</v>
      </c>
      <c r="AW22" s="34">
        <f>441233/31</f>
        <v>14233.322580645161</v>
      </c>
      <c r="AX22" s="34">
        <f>435753/31</f>
        <v>14056.548387096775</v>
      </c>
      <c r="AY22" s="34">
        <f>421139/30</f>
        <v>14037.966666666667</v>
      </c>
      <c r="AZ22" s="34">
        <f>420761/31</f>
        <v>13572.935483870968</v>
      </c>
      <c r="BA22" s="34">
        <f>379906/29</f>
        <v>13100.206896551725</v>
      </c>
      <c r="BB22" s="34">
        <f>405269/31</f>
        <v>13073.193548387097</v>
      </c>
      <c r="BC22" s="34">
        <f>406317/31</f>
        <v>13107</v>
      </c>
      <c r="BD22" s="34">
        <f>354509/28</f>
        <v>12661.035714285714</v>
      </c>
      <c r="BE22" s="34">
        <f>386396/31</f>
        <v>12464.387096774193</v>
      </c>
      <c r="BF22" s="34">
        <f>378107/30</f>
        <v>12603.566666666668</v>
      </c>
      <c r="BG22" s="34">
        <f>273830/22</f>
        <v>12446.818181818182</v>
      </c>
      <c r="BH22" s="34">
        <f>377219/30</f>
        <v>12573.966666666667</v>
      </c>
      <c r="BI22" s="34">
        <f>331184/29</f>
        <v>11420.137931034482</v>
      </c>
      <c r="BJ22" s="34">
        <f>367074/31</f>
        <v>11841.096774193549</v>
      </c>
    </row>
    <row r="23" spans="4:62" ht="15.75" x14ac:dyDescent="0.2">
      <c r="D23" s="40" t="s">
        <v>61</v>
      </c>
      <c r="E23" s="33" t="s">
        <v>72</v>
      </c>
      <c r="F23" s="34">
        <v>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>
        <f>39766/6</f>
        <v>6627.666666666667</v>
      </c>
      <c r="AW23" s="34">
        <f>326276/31</f>
        <v>10525.032258064517</v>
      </c>
      <c r="AX23" s="34">
        <f>371557/31</f>
        <v>11985.709677419354</v>
      </c>
      <c r="AY23" s="34">
        <f>373571/30</f>
        <v>12452.366666666667</v>
      </c>
      <c r="AZ23" s="34">
        <f>383627/31</f>
        <v>12375.064516129032</v>
      </c>
      <c r="BA23" s="34">
        <f>348272/29</f>
        <v>12009.379310344828</v>
      </c>
      <c r="BB23" s="34">
        <f>373566/31</f>
        <v>12050.516129032258</v>
      </c>
      <c r="BC23" s="34">
        <f>384584/31</f>
        <v>12405.935483870968</v>
      </c>
      <c r="BD23" s="34">
        <f>326676/28</f>
        <v>11667</v>
      </c>
      <c r="BE23" s="34">
        <f>341845/31</f>
        <v>11027.258064516129</v>
      </c>
      <c r="BF23" s="34">
        <f>336987/30</f>
        <v>11232.9</v>
      </c>
      <c r="BG23" s="34">
        <f>246303/22</f>
        <v>11195.59090909091</v>
      </c>
      <c r="BH23" s="34">
        <f>329918/30</f>
        <v>10997.266666666666</v>
      </c>
      <c r="BI23" s="34">
        <f>288855/29</f>
        <v>9960.5172413793098</v>
      </c>
      <c r="BJ23" s="34">
        <f>321267/31</f>
        <v>10363.451612903225</v>
      </c>
    </row>
    <row r="24" spans="4:62" ht="15.75" x14ac:dyDescent="0.2">
      <c r="D24" s="40" t="s">
        <v>60</v>
      </c>
      <c r="E24" s="33" t="s">
        <v>73</v>
      </c>
      <c r="F24" s="34">
        <f>214147/25</f>
        <v>8565.8799999999992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/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/>
      <c r="AE24" s="34">
        <f>64654/15</f>
        <v>4310.2666666666664</v>
      </c>
      <c r="AF24" s="34">
        <f>738/1</f>
        <v>738</v>
      </c>
      <c r="AG24" s="34">
        <f>135395/28</f>
        <v>4835.5357142857147</v>
      </c>
      <c r="AH24" s="34">
        <f>219756/30</f>
        <v>7325.2</v>
      </c>
      <c r="AI24" s="34">
        <f>216920/31</f>
        <v>6997.4193548387093</v>
      </c>
      <c r="AJ24" s="34">
        <f>209292/30</f>
        <v>6976.4</v>
      </c>
      <c r="AK24" s="34">
        <f>226422/31</f>
        <v>7303.9354838709678</v>
      </c>
      <c r="AL24" s="34">
        <f>65970/12</f>
        <v>5497.5</v>
      </c>
      <c r="AM24" s="34">
        <v>0</v>
      </c>
      <c r="AN24" s="34">
        <v>0</v>
      </c>
      <c r="AO24" s="34">
        <v>0</v>
      </c>
      <c r="AP24" s="34"/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/>
      <c r="AZ24" s="34"/>
      <c r="BA24" s="34"/>
      <c r="BB24" s="34"/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</row>
    <row r="25" spans="4:62" ht="15.75" x14ac:dyDescent="0.2">
      <c r="D25" s="40" t="s">
        <v>60</v>
      </c>
      <c r="E25" s="33" t="s">
        <v>74</v>
      </c>
      <c r="F25" s="34">
        <v>0</v>
      </c>
      <c r="G25" s="34">
        <f>278790/24</f>
        <v>11616.25</v>
      </c>
      <c r="H25" s="34">
        <f>363979/28</f>
        <v>12999.25</v>
      </c>
      <c r="I25" s="34">
        <f>438559/31</f>
        <v>14147.064516129032</v>
      </c>
      <c r="J25" s="34">
        <f>403962/30</f>
        <v>13465.4</v>
      </c>
      <c r="K25" s="34">
        <f>365886/29</f>
        <v>12616.758620689656</v>
      </c>
      <c r="L25" s="34">
        <f>401494/30</f>
        <v>13383.133333333333</v>
      </c>
      <c r="M25" s="34">
        <f>282952/23</f>
        <v>12302.260869565218</v>
      </c>
      <c r="N25" s="34">
        <f>393087/31</f>
        <v>12680.225806451614</v>
      </c>
      <c r="O25" s="34">
        <f>342401/30</f>
        <v>11413.366666666667</v>
      </c>
      <c r="P25" s="34">
        <f>330324/31</f>
        <v>10655.612903225807</v>
      </c>
      <c r="Q25" s="34">
        <f>291627/29</f>
        <v>10056.103448275862</v>
      </c>
      <c r="R25" s="34">
        <f>328285/31</f>
        <v>10589.838709677419</v>
      </c>
      <c r="S25" s="34">
        <f>334047/31</f>
        <v>10775.709677419354</v>
      </c>
      <c r="T25" s="34">
        <f>316179/29</f>
        <v>10902.724137931034</v>
      </c>
      <c r="U25" s="34">
        <f>348727/31</f>
        <v>11249.258064516129</v>
      </c>
      <c r="V25" s="34">
        <f>315896/30</f>
        <v>10529.866666666667</v>
      </c>
      <c r="W25" s="34">
        <f>258117/25</f>
        <v>10324.68</v>
      </c>
      <c r="X25" s="34">
        <f>328889/30</f>
        <v>10962.966666666667</v>
      </c>
      <c r="Y25" s="34">
        <f>337527/31</f>
        <v>10887.967741935483</v>
      </c>
      <c r="Z25" s="34">
        <f>341156/31</f>
        <v>11005.032258064517</v>
      </c>
      <c r="AA25" s="34">
        <f>324011/30</f>
        <v>10800.366666666667</v>
      </c>
      <c r="AB25" s="34">
        <f>328097/31</f>
        <v>10583.774193548386</v>
      </c>
      <c r="AC25" s="34">
        <f>315126/30</f>
        <v>10504.2</v>
      </c>
      <c r="AD25" s="34">
        <f>321251/31</f>
        <v>10362.935483870968</v>
      </c>
      <c r="AE25" s="34">
        <f>297085/31</f>
        <v>9583.3870967741932</v>
      </c>
      <c r="AF25" s="34">
        <f>269245/28</f>
        <v>9615.8928571428569</v>
      </c>
      <c r="AG25" s="34">
        <f>291866/31</f>
        <v>9415.032258064517</v>
      </c>
      <c r="AH25" s="34">
        <f>268119/30</f>
        <v>8937.2999999999993</v>
      </c>
      <c r="AI25" s="34">
        <f>283117/31</f>
        <v>9132.8064516129034</v>
      </c>
      <c r="AJ25" s="34">
        <f>264394/30</f>
        <v>8813.1333333333332</v>
      </c>
      <c r="AK25" s="34">
        <f>278887/31</f>
        <v>8996.354838709678</v>
      </c>
      <c r="AL25" s="34">
        <f>230782/29</f>
        <v>7958</v>
      </c>
      <c r="AM25" s="34">
        <f>251311/30</f>
        <v>8377.0333333333328</v>
      </c>
      <c r="AN25" s="34">
        <f>223564/28</f>
        <v>7984.4285714285716</v>
      </c>
      <c r="AO25" s="34">
        <f>247952/30</f>
        <v>8265.0666666666675</v>
      </c>
      <c r="AP25" s="34">
        <f>254802/31</f>
        <v>8219.4193548387102</v>
      </c>
      <c r="AQ25" s="34">
        <f>254095/31</f>
        <v>8196.6129032258068</v>
      </c>
      <c r="AR25" s="34">
        <f>211273/28</f>
        <v>7545.4642857142853</v>
      </c>
      <c r="AS25" s="34">
        <f>295763/31</f>
        <v>9540.7419354838712</v>
      </c>
      <c r="AT25" s="34">
        <f>273612/30</f>
        <v>9120.4</v>
      </c>
      <c r="AU25" s="34">
        <f>283209/31</f>
        <v>9135.7741935483864</v>
      </c>
      <c r="AV25" s="34">
        <f>268788/30</f>
        <v>8959.6</v>
      </c>
      <c r="AW25" s="34">
        <f>254749/31</f>
        <v>8217.7096774193542</v>
      </c>
      <c r="AX25" s="34">
        <f>263419/31</f>
        <v>8497.3870967741932</v>
      </c>
      <c r="AY25" s="34">
        <f>247680/30</f>
        <v>8256</v>
      </c>
      <c r="AZ25" s="34">
        <f>250459/31</f>
        <v>8079.322580645161</v>
      </c>
      <c r="BA25" s="34">
        <f>236000/30</f>
        <v>7866.666666666667</v>
      </c>
      <c r="BB25" s="34">
        <f>217376/30</f>
        <v>7245.8666666666668</v>
      </c>
      <c r="BC25" s="34">
        <f>244259/31</f>
        <v>7879.322580645161</v>
      </c>
      <c r="BD25" s="34">
        <f>212537/28</f>
        <v>7590.6071428571431</v>
      </c>
      <c r="BE25" s="34">
        <f>220354/31</f>
        <v>7108.1935483870966</v>
      </c>
      <c r="BF25" s="34">
        <f>217559/30</f>
        <v>7251.9666666666662</v>
      </c>
      <c r="BG25" s="34">
        <f>149716/22</f>
        <v>6805.272727272727</v>
      </c>
      <c r="BH25" s="34">
        <f>199035/30</f>
        <v>6634.5</v>
      </c>
      <c r="BI25" s="34">
        <f>177984/29</f>
        <v>6137.3793103448279</v>
      </c>
      <c r="BJ25" s="34">
        <v>0</v>
      </c>
    </row>
    <row r="26" spans="4:62" ht="15.75" x14ac:dyDescent="0.2">
      <c r="D26" s="40" t="s">
        <v>60</v>
      </c>
      <c r="E26" s="33" t="s">
        <v>75</v>
      </c>
      <c r="F26" s="34">
        <f>5325/4</f>
        <v>1331.25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f>158445/17</f>
        <v>9320.2941176470595</v>
      </c>
      <c r="N26" s="34">
        <f>387712/31</f>
        <v>12506.838709677419</v>
      </c>
      <c r="O26" s="34">
        <f>377361/30</f>
        <v>12578.7</v>
      </c>
      <c r="P26" s="34">
        <f>388369/31</f>
        <v>12528.032258064517</v>
      </c>
      <c r="Q26" s="34">
        <f>356583/29</f>
        <v>12295.965517241379</v>
      </c>
      <c r="R26" s="34">
        <f>401451/31</f>
        <v>12950.032258064517</v>
      </c>
      <c r="S26" s="34">
        <f>409607/31</f>
        <v>13213.129032258064</v>
      </c>
      <c r="T26" s="34">
        <f>393696/29</f>
        <v>13575.724137931034</v>
      </c>
      <c r="U26" s="34">
        <f>449809/31</f>
        <v>14509.967741935483</v>
      </c>
      <c r="V26" s="34">
        <f>425642/30</f>
        <v>14188.066666666668</v>
      </c>
      <c r="W26" s="34">
        <f>360956/25</f>
        <v>14438.24</v>
      </c>
      <c r="X26" s="34">
        <f>463963/30</f>
        <v>15465.433333333332</v>
      </c>
      <c r="Y26" s="34">
        <f>474894/31</f>
        <v>15319.161290322581</v>
      </c>
      <c r="Z26" s="34">
        <f>485304/31</f>
        <v>15654.967741935483</v>
      </c>
      <c r="AA26" s="34">
        <f>463646/30</f>
        <v>15454.866666666667</v>
      </c>
      <c r="AB26" s="34">
        <f>450756/31</f>
        <v>14540.516129032258</v>
      </c>
      <c r="AC26" s="34">
        <f>471055/30</f>
        <v>15701.833333333334</v>
      </c>
      <c r="AD26" s="34">
        <f>511580/31</f>
        <v>16502.580645161292</v>
      </c>
      <c r="AE26" s="34">
        <f>484898/31</f>
        <v>15641.870967741936</v>
      </c>
      <c r="AF26" s="34">
        <f>472221/28</f>
        <v>16865.035714285714</v>
      </c>
      <c r="AG26" s="34">
        <f>510440/31</f>
        <v>16465.806451612902</v>
      </c>
      <c r="AH26" s="34">
        <f>490978/30</f>
        <v>16365.933333333332</v>
      </c>
      <c r="AI26" s="34">
        <f>520140/31</f>
        <v>16778.709677419356</v>
      </c>
      <c r="AJ26" s="34">
        <f>493931/30</f>
        <v>16464.366666666665</v>
      </c>
      <c r="AK26" s="34">
        <f>441861/29</f>
        <v>15236.586206896553</v>
      </c>
      <c r="AL26" s="34">
        <f>30527/5</f>
        <v>6105.4</v>
      </c>
      <c r="AM26" s="34">
        <f>58041/10</f>
        <v>5804.1</v>
      </c>
      <c r="AN26" s="34">
        <f>101259/12</f>
        <v>8438.25</v>
      </c>
      <c r="AO26" s="34">
        <f>112113/14</f>
        <v>8008.0714285714284</v>
      </c>
      <c r="AP26" s="34">
        <f>305956/31</f>
        <v>9869.5483870967746</v>
      </c>
      <c r="AQ26" s="34">
        <f>316508/31</f>
        <v>10209.935483870968</v>
      </c>
      <c r="AR26" s="34">
        <f>344394/28</f>
        <v>12299.785714285714</v>
      </c>
      <c r="AS26" s="34">
        <f>326542/31</f>
        <v>10533.612903225807</v>
      </c>
      <c r="AT26" s="34">
        <f>305303/30</f>
        <v>10176.766666666666</v>
      </c>
      <c r="AU26" s="34">
        <f>319867/31</f>
        <v>10318.290322580646</v>
      </c>
      <c r="AV26" s="34">
        <f>314655/30</f>
        <v>10488.5</v>
      </c>
      <c r="AW26" s="34">
        <f>313079/31</f>
        <v>10099.322580645161</v>
      </c>
      <c r="AX26" s="34">
        <f>319725/31</f>
        <v>10313.709677419354</v>
      </c>
      <c r="AY26" s="34">
        <f>314921/30</f>
        <v>10497.366666666667</v>
      </c>
      <c r="AZ26" s="34">
        <f>317869/31</f>
        <v>10253.838709677419</v>
      </c>
      <c r="BA26" s="34">
        <f>295785/30</f>
        <v>9859.5</v>
      </c>
      <c r="BB26" s="34">
        <f>280083/29</f>
        <v>9658.0344827586214</v>
      </c>
      <c r="BC26" s="34">
        <f>315130/31</f>
        <v>10165.483870967742</v>
      </c>
      <c r="BD26" s="34">
        <f>320736/28</f>
        <v>11454.857142857143</v>
      </c>
      <c r="BE26" s="34">
        <f>364831/31</f>
        <v>11768.741935483871</v>
      </c>
      <c r="BF26" s="34">
        <f>359923/30</f>
        <v>11997.433333333332</v>
      </c>
      <c r="BG26" s="34">
        <f>252714/23</f>
        <v>10987.565217391304</v>
      </c>
      <c r="BH26" s="34">
        <f>362966/30</f>
        <v>12098.866666666667</v>
      </c>
      <c r="BI26" s="34">
        <f>327697/29</f>
        <v>11299.896551724138</v>
      </c>
      <c r="BJ26" s="34">
        <v>0</v>
      </c>
    </row>
    <row r="27" spans="4:62" ht="15.75" x14ac:dyDescent="0.2">
      <c r="D27" s="40" t="s">
        <v>60</v>
      </c>
      <c r="E27" s="33" t="s">
        <v>76</v>
      </c>
      <c r="F27" s="34">
        <v>0</v>
      </c>
      <c r="G27" s="34">
        <f>1747/2</f>
        <v>873.5</v>
      </c>
      <c r="H27" s="34">
        <f>33954/5</f>
        <v>6790.8</v>
      </c>
      <c r="I27" s="34">
        <v>0</v>
      </c>
      <c r="J27" s="34">
        <f>179328/18</f>
        <v>9962.6666666666661</v>
      </c>
      <c r="K27" s="34">
        <f>358353/29</f>
        <v>12357</v>
      </c>
      <c r="L27" s="34">
        <f>367425/30</f>
        <v>12247.5</v>
      </c>
      <c r="M27" s="34">
        <f>252233/23</f>
        <v>10966.652173913044</v>
      </c>
      <c r="N27" s="34">
        <f>345403/31</f>
        <v>11142.032258064517</v>
      </c>
      <c r="O27" s="34">
        <f>331854/30</f>
        <v>11061.8</v>
      </c>
      <c r="P27" s="34">
        <f>324531/31</f>
        <v>10468.741935483871</v>
      </c>
      <c r="Q27" s="34">
        <f>281479/29</f>
        <v>9706.1724137931033</v>
      </c>
      <c r="R27" s="34">
        <f>328941/31</f>
        <v>10611</v>
      </c>
      <c r="S27" s="34">
        <f>313046/31</f>
        <v>10098.258064516129</v>
      </c>
      <c r="T27" s="34">
        <f>292986/29</f>
        <v>10102.965517241379</v>
      </c>
      <c r="U27" s="34">
        <f>319255/31</f>
        <v>10298.548387096775</v>
      </c>
      <c r="V27" s="34">
        <f>319255/31</f>
        <v>10298.548387096775</v>
      </c>
      <c r="W27" s="34">
        <f>235741/25</f>
        <v>9429.64</v>
      </c>
      <c r="X27" s="34">
        <f>298741/30</f>
        <v>9958.0333333333328</v>
      </c>
      <c r="Y27" s="34">
        <f>297188/31</f>
        <v>9586.7096774193542</v>
      </c>
      <c r="Z27" s="34">
        <f>296820/31</f>
        <v>9574.8387096774186</v>
      </c>
      <c r="AA27" s="34">
        <f>280410/30</f>
        <v>9347</v>
      </c>
      <c r="AB27" s="34">
        <f>264041/31</f>
        <v>8517.4516129032254</v>
      </c>
      <c r="AC27" s="34">
        <f>261711/30</f>
        <v>8723.7000000000007</v>
      </c>
      <c r="AD27" s="34">
        <f>272063/31</f>
        <v>8776.2258064516136</v>
      </c>
      <c r="AE27" s="34">
        <f>261156/31</f>
        <v>8424.3870967741932</v>
      </c>
      <c r="AF27" s="34">
        <f>239876/28</f>
        <v>8567</v>
      </c>
      <c r="AG27" s="34">
        <f>267062/31</f>
        <v>8614.9032258064508</v>
      </c>
      <c r="AH27" s="34">
        <f>253200/30</f>
        <v>8440</v>
      </c>
      <c r="AI27" s="34">
        <f>268217/31</f>
        <v>8652.1612903225814</v>
      </c>
      <c r="AJ27" s="34">
        <f>246728/30</f>
        <v>8224.2666666666664</v>
      </c>
      <c r="AK27" s="34">
        <f>263577/31</f>
        <v>8502.4838709677424</v>
      </c>
      <c r="AL27" s="34">
        <f>222426/29</f>
        <v>7669.8620689655172</v>
      </c>
      <c r="AM27" s="34">
        <f>241265/30</f>
        <v>8042.166666666667</v>
      </c>
      <c r="AN27" s="34">
        <f>206004/28</f>
        <v>7357.2857142857147</v>
      </c>
      <c r="AO27" s="34">
        <f>232092/30</f>
        <v>7736.4</v>
      </c>
      <c r="AP27" s="34">
        <f>237782/31</f>
        <v>7670.3870967741932</v>
      </c>
      <c r="AQ27" s="34">
        <f>233345/31</f>
        <v>7527.2580645161288</v>
      </c>
      <c r="AR27" s="34">
        <f>197134/28</f>
        <v>7040.5</v>
      </c>
      <c r="AS27" s="34">
        <f>268101/31</f>
        <v>8648.4193548387102</v>
      </c>
      <c r="AT27" s="34">
        <f>247684/30</f>
        <v>8256.1333333333332</v>
      </c>
      <c r="AU27" s="34">
        <f>252693/31</f>
        <v>8151.3870967741932</v>
      </c>
      <c r="AV27" s="34">
        <f>231910/30</f>
        <v>7730.333333333333</v>
      </c>
      <c r="AW27" s="34">
        <f>236348/31</f>
        <v>7624.1290322580644</v>
      </c>
      <c r="AX27" s="34">
        <f>240376/31</f>
        <v>7754.0645161290322</v>
      </c>
      <c r="AY27" s="34">
        <f>224683/30</f>
        <v>7489.4333333333334</v>
      </c>
      <c r="AZ27" s="34">
        <f>230186/31</f>
        <v>7425.3548387096771</v>
      </c>
      <c r="BA27" s="34">
        <f>220697/30</f>
        <v>7356.5666666666666</v>
      </c>
      <c r="BB27" s="34">
        <f>199482/30</f>
        <v>6649.4</v>
      </c>
      <c r="BC27" s="34">
        <f>230223/31</f>
        <v>7426.5483870967746</v>
      </c>
      <c r="BD27" s="34">
        <f>199060/28</f>
        <v>7109.2857142857147</v>
      </c>
      <c r="BE27" s="34">
        <f>205900/30</f>
        <v>6863.333333333333</v>
      </c>
      <c r="BF27" s="34">
        <f>205194/30</f>
        <v>6839.8</v>
      </c>
      <c r="BG27" s="34">
        <f>145624/22</f>
        <v>6619.272727272727</v>
      </c>
      <c r="BH27" s="34">
        <f>211818/30</f>
        <v>7060.6</v>
      </c>
      <c r="BI27" s="34">
        <f>192124/30</f>
        <v>6404.1333333333332</v>
      </c>
      <c r="BJ27" s="34">
        <v>0</v>
      </c>
    </row>
    <row r="28" spans="4:62" ht="15.75" x14ac:dyDescent="0.2">
      <c r="D28" s="40" t="s">
        <v>60</v>
      </c>
      <c r="E28" s="33" t="s">
        <v>77</v>
      </c>
      <c r="F28" s="33"/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f>76258/13</f>
        <v>5866</v>
      </c>
      <c r="AP28" s="34">
        <v>0</v>
      </c>
      <c r="AQ28" s="34">
        <v>0</v>
      </c>
      <c r="AR28" s="34">
        <v>0</v>
      </c>
      <c r="AS28" s="34">
        <v>0</v>
      </c>
      <c r="AT28" s="34">
        <f>189783/28</f>
        <v>6777.9642857142853</v>
      </c>
      <c r="AU28" s="34">
        <f>231601/31</f>
        <v>7471</v>
      </c>
      <c r="AV28" s="34">
        <f>257830/30</f>
        <v>8594.3333333333339</v>
      </c>
      <c r="AW28" s="34">
        <f>280235/31</f>
        <v>9039.8387096774186</v>
      </c>
      <c r="AX28" s="34">
        <f>336228/31</f>
        <v>10846.064516129032</v>
      </c>
      <c r="AY28" s="34">
        <f>329049/30</f>
        <v>10968.3</v>
      </c>
      <c r="AZ28" s="34">
        <f>340830/31</f>
        <v>10994.516129032258</v>
      </c>
      <c r="BA28" s="34">
        <f>352708/30</f>
        <v>11756.933333333332</v>
      </c>
      <c r="BB28" s="34">
        <f>332052/30</f>
        <v>11068.4</v>
      </c>
      <c r="BC28" s="34">
        <f>369781/31</f>
        <v>11928.41935483871</v>
      </c>
      <c r="BD28" s="34">
        <f>347426/28</f>
        <v>12408.071428571429</v>
      </c>
      <c r="BE28" s="34">
        <f>376138/31</f>
        <v>12133.483870967742</v>
      </c>
      <c r="BF28" s="34">
        <f>372455/30</f>
        <v>12415.166666666666</v>
      </c>
      <c r="BG28" s="34">
        <f>266625/23</f>
        <v>11592.391304347826</v>
      </c>
      <c r="BH28" s="34">
        <f>393216/30</f>
        <v>13107.2</v>
      </c>
      <c r="BI28" s="34">
        <f>326372/25</f>
        <v>13054.88</v>
      </c>
      <c r="BJ28" s="34">
        <v>0</v>
      </c>
    </row>
    <row r="29" spans="4:62" ht="15.75" x14ac:dyDescent="0.2">
      <c r="D29" s="40" t="s">
        <v>60</v>
      </c>
      <c r="E29" s="33" t="s">
        <v>78</v>
      </c>
      <c r="F29" s="33"/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f>144019/18</f>
        <v>8001.0555555555557</v>
      </c>
      <c r="BC29" s="43">
        <f>314445/31</f>
        <v>10143.387096774193</v>
      </c>
      <c r="BD29" s="43">
        <f>321119/28</f>
        <v>11468.535714285714</v>
      </c>
      <c r="BE29" s="43">
        <f>356239/31</f>
        <v>11491.58064516129</v>
      </c>
      <c r="BF29" s="43">
        <f>314800/30</f>
        <v>10493.333333333334</v>
      </c>
      <c r="BG29" s="43">
        <f>246597/23</f>
        <v>10721.608695652174</v>
      </c>
      <c r="BH29" s="43">
        <f>331248/30</f>
        <v>11041.6</v>
      </c>
      <c r="BI29" s="43">
        <f>256244/25</f>
        <v>10249.76</v>
      </c>
      <c r="BJ29" s="43">
        <v>0</v>
      </c>
    </row>
    <row r="32" spans="4:62" ht="15.75" x14ac:dyDescent="0.2">
      <c r="E32" s="33" t="s">
        <v>64</v>
      </c>
    </row>
    <row r="33" spans="5:5" ht="15.75" x14ac:dyDescent="0.2">
      <c r="E33" s="33" t="s">
        <v>65</v>
      </c>
    </row>
    <row r="34" spans="5:5" ht="15.75" x14ac:dyDescent="0.2">
      <c r="E34" s="33" t="s">
        <v>66</v>
      </c>
    </row>
    <row r="35" spans="5:5" ht="15.75" x14ac:dyDescent="0.2">
      <c r="E35" s="33" t="s">
        <v>67</v>
      </c>
    </row>
    <row r="36" spans="5:5" ht="15.75" x14ac:dyDescent="0.2">
      <c r="E36" s="33" t="s">
        <v>68</v>
      </c>
    </row>
    <row r="37" spans="5:5" ht="15.75" x14ac:dyDescent="0.2">
      <c r="E37" s="33" t="s">
        <v>69</v>
      </c>
    </row>
    <row r="38" spans="5:5" ht="15.75" x14ac:dyDescent="0.2">
      <c r="E38" s="33" t="s">
        <v>70</v>
      </c>
    </row>
    <row r="39" spans="5:5" ht="15.75" x14ac:dyDescent="0.2">
      <c r="E39" s="33" t="s">
        <v>71</v>
      </c>
    </row>
    <row r="40" spans="5:5" ht="15.75" x14ac:dyDescent="0.2">
      <c r="E40" s="33" t="s">
        <v>72</v>
      </c>
    </row>
    <row r="41" spans="5:5" ht="15.75" x14ac:dyDescent="0.2">
      <c r="E41" s="33" t="s">
        <v>73</v>
      </c>
    </row>
    <row r="42" spans="5:5" ht="15.75" x14ac:dyDescent="0.2">
      <c r="E42" s="33" t="s">
        <v>74</v>
      </c>
    </row>
    <row r="43" spans="5:5" ht="15.75" x14ac:dyDescent="0.2">
      <c r="E43" s="33" t="s">
        <v>75</v>
      </c>
    </row>
    <row r="44" spans="5:5" ht="15.75" x14ac:dyDescent="0.2">
      <c r="E44" s="33" t="s">
        <v>76</v>
      </c>
    </row>
    <row r="45" spans="5:5" ht="15.75" x14ac:dyDescent="0.2">
      <c r="E45" s="33" t="s">
        <v>77</v>
      </c>
    </row>
    <row r="46" spans="5:5" ht="15.75" x14ac:dyDescent="0.2">
      <c r="E46" s="33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pbp9152a.pdf</dc:title>
  <dc:creator>Oracle Reports</dc:creator>
  <cp:lastModifiedBy>Roy Shilling</cp:lastModifiedBy>
  <dcterms:created xsi:type="dcterms:W3CDTF">2019-11-14T21:10:40Z</dcterms:created>
  <dcterms:modified xsi:type="dcterms:W3CDTF">2020-01-20T18:51:04Z</dcterms:modified>
</cp:coreProperties>
</file>