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07f9c9cfd5dcd705/FDAS/Mktg/World Oil/Follow up Article/"/>
    </mc:Choice>
  </mc:AlternateContent>
  <xr:revisionPtr revIDLastSave="54" documentId="8_{87421C0F-DDAA-46FA-9603-22DBC9682835}" xr6:coauthVersionLast="45" xr6:coauthVersionMax="45" xr10:uidLastSave="{3DB5DDFC-2E8E-40C3-B03E-F4217FEF177F}"/>
  <bookViews>
    <workbookView xWindow="5775" yWindow="0" windowWidth="19410" windowHeight="15300" tabRatio="759" activeTab="1" xr2:uid="{B6E9B06C-9FA2-426E-9ACA-175D0A6ABA9C}"/>
  </bookViews>
  <sheets>
    <sheet name="INPUT" sheetId="2" r:id="rId1"/>
    <sheet name="DQ Model" sheetId="1" r:id="rId2"/>
    <sheet name="FrPS RESCUE costs" sheetId="6" r:id="rId3"/>
    <sheet name="Sidetracks-Recomps" sheetId="5" r:id="rId4"/>
    <sheet name="2018 RBS Costing for TOTAL" sheetId="7" r:id="rId5"/>
    <sheet name="D&amp;C costs-data" sheetId="3" r:id="rId6"/>
    <sheet name="CW Sidetrack" sheetId="4" r:id="rId7"/>
  </sheets>
  <definedNames>
    <definedName name="dryCAPEX">INPUT!$D$26</definedName>
    <definedName name="dryCAPEXhigh">INPUT!$D$28</definedName>
    <definedName name="dryCAPEXlow">INPUT!$D$27</definedName>
    <definedName name="ENHANCE">INPUT!$D$18</definedName>
    <definedName name="ENHANCEhigh">INPUT!$D$20</definedName>
    <definedName name="ENHANCElow">INPUT!$D$19</definedName>
    <definedName name="FrPSrate" localSheetId="6">'CW Sidetrack'!#REF!</definedName>
    <definedName name="FrPSrate" localSheetId="3">'Sidetracks-Recomps'!#REF!</definedName>
    <definedName name="FrPSrate">'D&amp;C costs-data'!$C$5</definedName>
    <definedName name="highPRICE">INPUT!$D$8</definedName>
    <definedName name="hpMODUrate" localSheetId="6">'CW Sidetrack'!$C$6</definedName>
    <definedName name="hpMODUrate" localSheetId="3">'Sidetracks-Recomps'!$C$11</definedName>
    <definedName name="hpMODUrate">'D&amp;C costs-data'!$C$4</definedName>
    <definedName name="Increase">INPUT!$H$26</definedName>
    <definedName name="IncreaseHIGH">INPUT!$H$29</definedName>
    <definedName name="IncreaseLOW">INPUT!$H$28</definedName>
    <definedName name="lowPRICE">INPUT!$D$7</definedName>
    <definedName name="MODUrate" localSheetId="6">'CW Sidetrack'!$C$5</definedName>
    <definedName name="MODUrate" localSheetId="3">'Sidetracks-Recomps'!$C$10</definedName>
    <definedName name="MODUrate">'D&amp;C costs-data'!$C$3</definedName>
    <definedName name="OPEXdry">INPUT!$D$11</definedName>
    <definedName name="OPEXwet">INPUT!$D$10</definedName>
    <definedName name="PRICE">INPUT!$D$6</definedName>
    <definedName name="Recomps">INPUT!$E$33</definedName>
    <definedName name="Reserves">INPUT!$D$13</definedName>
    <definedName name="SELL">INPUT!$D$22</definedName>
    <definedName name="SELLhigh">INPUT!$D$24</definedName>
    <definedName name="SELLlow">INPUT!$D$23</definedName>
    <definedName name="Sidetracks">INPUT!$E$34</definedName>
    <definedName name="Tangibles" localSheetId="6">'CW Sidetrack'!$F$8</definedName>
    <definedName name="Tangibles" localSheetId="3">'Sidetracks-Recomps'!$D$13</definedName>
    <definedName name="Tangibles">'D&amp;C costs-data'!$F$6</definedName>
    <definedName name="wetCAPEX">INPUT!$D$15</definedName>
    <definedName name="wetCAPEXhigh">INPUT!$D$17</definedName>
    <definedName name="wetCAPEXlow">INPUT!$D$16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8" i="1" l="1"/>
  <c r="C5" i="1" l="1"/>
  <c r="E4" i="1" l="1"/>
  <c r="D30" i="5" l="1"/>
  <c r="D29" i="5"/>
  <c r="H30" i="5"/>
  <c r="H29" i="5" l="1"/>
  <c r="H32" i="5" s="1"/>
  <c r="H25" i="5"/>
  <c r="C11" i="6" l="1"/>
  <c r="E16" i="1" l="1"/>
  <c r="E17" i="1"/>
  <c r="E18" i="1"/>
  <c r="D20" i="2"/>
  <c r="D19" i="2"/>
  <c r="I27" i="2"/>
  <c r="E35" i="2"/>
  <c r="D24" i="6"/>
  <c r="C19" i="6"/>
  <c r="D9" i="6"/>
  <c r="C4" i="6"/>
  <c r="H13" i="6"/>
  <c r="M12" i="7"/>
  <c r="I9" i="6"/>
  <c r="I10" i="6"/>
  <c r="H6" i="6"/>
  <c r="K4" i="6"/>
  <c r="J4" i="6"/>
  <c r="I4" i="6"/>
  <c r="L27" i="7"/>
  <c r="M27" i="7" s="1"/>
  <c r="H4" i="6"/>
  <c r="L30" i="7"/>
  <c r="M30" i="7" s="1"/>
  <c r="M26" i="7"/>
  <c r="L29" i="7"/>
  <c r="L28" i="7"/>
  <c r="L26" i="7"/>
  <c r="L25" i="7"/>
  <c r="G9" i="7"/>
  <c r="G7" i="7"/>
  <c r="B13" i="7"/>
  <c r="L31" i="7"/>
  <c r="L17" i="7"/>
  <c r="L22" i="7" s="1"/>
  <c r="P11" i="7"/>
  <c r="Z4" i="7" s="1"/>
  <c r="N11" i="7"/>
  <c r="P10" i="7"/>
  <c r="N10" i="7"/>
  <c r="N29" i="7" s="1"/>
  <c r="O29" i="7" s="1"/>
  <c r="P9" i="7"/>
  <c r="N9" i="7"/>
  <c r="L9" i="7"/>
  <c r="B9" i="7"/>
  <c r="P8" i="7"/>
  <c r="Z3" i="7" s="1"/>
  <c r="L8" i="7"/>
  <c r="L18" i="7" s="1"/>
  <c r="G8" i="7"/>
  <c r="N8" i="7" s="1"/>
  <c r="B8" i="7"/>
  <c r="B12" i="7" s="1"/>
  <c r="P12" i="7" s="1"/>
  <c r="L7" i="7"/>
  <c r="N7" i="7"/>
  <c r="N28" i="7" s="1"/>
  <c r="B7" i="7"/>
  <c r="P6" i="7"/>
  <c r="N6" i="7"/>
  <c r="X5" i="7"/>
  <c r="P5" i="7"/>
  <c r="N5" i="7"/>
  <c r="N27" i="7" s="1"/>
  <c r="X4" i="7"/>
  <c r="P4" i="7"/>
  <c r="Z5" i="7" s="1"/>
  <c r="N4" i="7"/>
  <c r="Y5" i="7" s="1"/>
  <c r="X3" i="7"/>
  <c r="P3" i="7"/>
  <c r="N3" i="7"/>
  <c r="N25" i="7" s="1"/>
  <c r="L3" i="7"/>
  <c r="I17" i="1" l="1"/>
  <c r="C12" i="6"/>
  <c r="C13" i="6" s="1"/>
  <c r="C26" i="6"/>
  <c r="C27" i="6"/>
  <c r="O26" i="7"/>
  <c r="L23" i="7"/>
  <c r="L20" i="7"/>
  <c r="O13" i="7"/>
  <c r="N18" i="7"/>
  <c r="N23" i="7" s="1"/>
  <c r="N17" i="7"/>
  <c r="Y3" i="7"/>
  <c r="N30" i="7"/>
  <c r="P13" i="7"/>
  <c r="P15" i="7" s="1"/>
  <c r="G13" i="7"/>
  <c r="N13" i="7" s="1"/>
  <c r="N15" i="7" s="1"/>
  <c r="Y4" i="7"/>
  <c r="G12" i="7"/>
  <c r="N12" i="7" s="1"/>
  <c r="N26" i="7"/>
  <c r="L12" i="7"/>
  <c r="Y2" i="7"/>
  <c r="Y8" i="7" s="1"/>
  <c r="P7" i="7"/>
  <c r="C28" i="6" l="1"/>
  <c r="G15" i="7"/>
  <c r="L13" i="7"/>
  <c r="N31" i="7"/>
  <c r="N32" i="7" s="1"/>
  <c r="O12" i="7"/>
  <c r="B15" i="7"/>
  <c r="Z2" i="7"/>
  <c r="Z8" i="7" s="1"/>
  <c r="N22" i="7"/>
  <c r="N20" i="7"/>
  <c r="M13" i="7" l="1"/>
  <c r="L15" i="7"/>
  <c r="X2" i="7"/>
  <c r="X8" i="7" s="1"/>
  <c r="L32" i="7"/>
  <c r="B5" i="5" l="1"/>
  <c r="G25" i="5"/>
  <c r="G29" i="5" s="1"/>
  <c r="F25" i="5"/>
  <c r="F29" i="5" s="1"/>
  <c r="G31" i="5"/>
  <c r="B31" i="5"/>
  <c r="B25" i="5"/>
  <c r="B29" i="5" s="1"/>
  <c r="E30" i="5"/>
  <c r="E29" i="5"/>
  <c r="D25" i="5"/>
  <c r="E25" i="5"/>
  <c r="C25" i="5"/>
  <c r="E5" i="5" l="1"/>
  <c r="E3" i="5"/>
  <c r="G5" i="5" s="1"/>
  <c r="D5" i="5"/>
  <c r="C29" i="6"/>
  <c r="C31" i="5"/>
  <c r="C29" i="5"/>
  <c r="E4" i="5" s="1"/>
  <c r="F31" i="5"/>
  <c r="F32" i="5" s="1"/>
  <c r="E32" i="5"/>
  <c r="B32" i="5"/>
  <c r="G32" i="5"/>
  <c r="F21" i="4"/>
  <c r="F22" i="4" s="1"/>
  <c r="F25" i="4" s="1"/>
  <c r="C21" i="4"/>
  <c r="G14" i="4"/>
  <c r="G15" i="4" s="1"/>
  <c r="G24" i="4" s="1"/>
  <c r="F14" i="4"/>
  <c r="F15" i="4" s="1"/>
  <c r="F24" i="4" s="1"/>
  <c r="C14" i="4"/>
  <c r="F17" i="3"/>
  <c r="F18" i="3" s="1"/>
  <c r="G10" i="3"/>
  <c r="G11" i="3" s="1"/>
  <c r="F10" i="3"/>
  <c r="F11" i="3" s="1"/>
  <c r="T11" i="2"/>
  <c r="C14" i="6" l="1"/>
  <c r="G4" i="5"/>
  <c r="D4" i="5"/>
  <c r="C32" i="5"/>
  <c r="G26" i="4"/>
  <c r="F26" i="4"/>
  <c r="C17" i="3"/>
  <c r="C10" i="3"/>
  <c r="G20" i="3"/>
  <c r="F20" i="3"/>
  <c r="F21" i="3" l="1"/>
  <c r="H29" i="2"/>
  <c r="C24" i="1" s="1"/>
  <c r="E23" i="1" s="1"/>
  <c r="H28" i="2"/>
  <c r="C32" i="1" s="1"/>
  <c r="C28" i="1"/>
  <c r="C10" i="1"/>
  <c r="E10" i="1" s="1"/>
  <c r="C17" i="1"/>
  <c r="C11" i="1"/>
  <c r="E11" i="1" s="1"/>
  <c r="C9" i="1"/>
  <c r="E9" i="1" s="1"/>
  <c r="E5" i="1"/>
  <c r="E6" i="1"/>
  <c r="E33" i="1" l="1"/>
  <c r="E32" i="1"/>
  <c r="E31" i="1"/>
  <c r="E25" i="1"/>
  <c r="E24" i="1"/>
  <c r="E28" i="1"/>
  <c r="E27" i="1"/>
  <c r="E29" i="1"/>
  <c r="G22" i="3"/>
  <c r="F22" i="3"/>
  <c r="I5" i="1"/>
  <c r="I10" i="1"/>
  <c r="G24" i="1" l="1"/>
  <c r="G28" i="1"/>
  <c r="G32" i="1"/>
  <c r="C30" i="6" l="1"/>
  <c r="F5" i="5"/>
  <c r="D3" i="5"/>
  <c r="F4" i="5" s="1"/>
  <c r="C15" i="6"/>
  <c r="C16" i="6" s="1"/>
  <c r="D16" i="6" s="1"/>
  <c r="D3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White</author>
  </authors>
  <commentList>
    <comment ref="E13" authorId="0" shapeId="0" xr:uid="{9C449C24-D0C7-4E9A-9A27-48212660C115}">
      <text>
        <r>
          <rPr>
            <b/>
            <sz val="9"/>
            <color indexed="81"/>
            <rFont val="Tahoma"/>
            <family val="2"/>
          </rPr>
          <t>Charles White: 20200824</t>
        </r>
        <r>
          <rPr>
            <sz val="9"/>
            <color indexed="81"/>
            <rFont val="Tahoma"/>
            <family val="2"/>
          </rPr>
          <t xml:space="preserve">
BOEM 2019 update ~68M bbls Original Oil at STONES
with ~60M remaining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Charles White</author>
  </authors>
  <commentList>
    <comment ref="F3" authorId="0" shapeId="0" xr:uid="{A710C42F-F818-4182-8864-A361DF2DF873}">
      <text>
        <r>
          <rPr>
            <b/>
            <sz val="9"/>
            <color indexed="81"/>
            <rFont val="Tahoma"/>
            <family val="2"/>
          </rPr>
          <t>Charles White: 20200912</t>
        </r>
        <r>
          <rPr>
            <sz val="9"/>
            <color indexed="81"/>
            <rFont val="Tahoma"/>
            <family val="2"/>
          </rPr>
          <t xml:space="preserve">
as a "minimal fac's wellhead platform"</t>
        </r>
      </text>
    </comment>
    <comment ref="K3" authorId="0" shapeId="0" xr:uid="{C8DA3268-E4AE-483F-9CAC-077F69123E1D}">
      <text>
        <r>
          <rPr>
            <b/>
            <sz val="9"/>
            <color indexed="81"/>
            <rFont val="Tahoma"/>
            <family val="2"/>
          </rPr>
          <t>Charles White:</t>
        </r>
        <r>
          <rPr>
            <sz val="9"/>
            <color indexed="81"/>
            <rFont val="Tahoma"/>
            <family val="2"/>
          </rPr>
          <t xml:space="preserve">
ref. Horn Mountain, 
60kbopd</t>
        </r>
      </text>
    </comment>
    <comment ref="K5" authorId="0" shapeId="0" xr:uid="{B7DE5B88-27A8-4A0E-AD0F-E9644F57925B}">
      <text>
        <r>
          <rPr>
            <b/>
            <sz val="9"/>
            <color indexed="81"/>
            <rFont val="Tahoma"/>
            <family val="2"/>
          </rPr>
          <t>Charles White:</t>
        </r>
        <r>
          <rPr>
            <sz val="9"/>
            <color indexed="81"/>
            <rFont val="Tahoma"/>
            <family val="2"/>
          </rPr>
          <t xml:space="preserve">
ref. Horn Mountain, 
60kbopd</t>
        </r>
      </text>
    </comment>
    <comment ref="F18" authorId="0" shapeId="0" xr:uid="{C707B725-CF8E-444E-A647-6B7633715B40}">
      <text>
        <r>
          <rPr>
            <b/>
            <sz val="9"/>
            <color indexed="81"/>
            <rFont val="Tahoma"/>
            <family val="2"/>
          </rPr>
          <t>Charles White: 20200912</t>
        </r>
        <r>
          <rPr>
            <sz val="9"/>
            <color indexed="81"/>
            <rFont val="Tahoma"/>
            <family val="2"/>
          </rPr>
          <t xml:space="preserve">
as a "minimal fac's wellhead platform"
</t>
        </r>
      </text>
    </comment>
    <comment ref="E19" authorId="0" shapeId="0" xr:uid="{18C5F112-AEDC-4266-9213-24377CD4BDFB}">
      <text>
        <r>
          <rPr>
            <b/>
            <sz val="9"/>
            <color indexed="81"/>
            <rFont val="Tahoma"/>
            <family val="2"/>
          </rPr>
          <t>Charles White: 20200912</t>
        </r>
        <r>
          <rPr>
            <sz val="9"/>
            <color indexed="81"/>
            <rFont val="Tahoma"/>
            <family val="2"/>
          </rPr>
          <t xml:space="preserve">
$200M, is kept same as "Minimum" case because buying higher cost MODU means less upgrade - even though "high" estimate should be higher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Charles White</author>
  </authors>
  <commentList>
    <comment ref="E2" authorId="0" shapeId="0" xr:uid="{6C315AFE-09F9-4995-8457-E4C0AE765F50}">
      <text>
        <r>
          <rPr>
            <b/>
            <sz val="9"/>
            <color indexed="81"/>
            <rFont val="Tahoma"/>
            <family val="2"/>
          </rPr>
          <t xml:space="preserve">Charles White: 20200914 </t>
        </r>
        <r>
          <rPr>
            <sz val="9"/>
            <color indexed="81"/>
            <rFont val="Tahoma"/>
            <family val="2"/>
          </rPr>
          <t>These activities (the yellow rows below) are needed to prepare each well for connection to the FrPS… and, the FrPS will still need to be abandoned so I think they should be accounted in our DQ model.</t>
        </r>
      </text>
    </comment>
  </commentList>
</comments>
</file>

<file path=xl/sharedStrings.xml><?xml version="1.0" encoding="utf-8"?>
<sst xmlns="http://schemas.openxmlformats.org/spreadsheetml/2006/main" count="367" uniqueCount="213">
  <si>
    <t>RESCUE with FrPS</t>
  </si>
  <si>
    <t>STAY THE COURSE… minimize investment</t>
  </si>
  <si>
    <t>SELL as much as possible</t>
  </si>
  <si>
    <t>STAY THE COURSE</t>
  </si>
  <si>
    <t>ENHANCE</t>
  </si>
  <si>
    <t>SELL</t>
  </si>
  <si>
    <t>RESCUE</t>
  </si>
  <si>
    <t>CASE</t>
  </si>
  <si>
    <t>STONES</t>
  </si>
  <si>
    <t>bbls</t>
  </si>
  <si>
    <t>INPUT</t>
  </si>
  <si>
    <t xml:space="preserve"> = Assumptions</t>
  </si>
  <si>
    <t xml:space="preserve"> /bbl, LOW OIL price</t>
  </si>
  <si>
    <t xml:space="preserve"> /bbl, HIGH OIL price</t>
  </si>
  <si>
    <t xml:space="preserve"> /bbl, EXPECTED OIL price  CONSTANT REAL DOLLARS</t>
  </si>
  <si>
    <t xml:space="preserve"> /bbl SALES price, LOW</t>
  </si>
  <si>
    <t xml:space="preserve"> /bbl SALES price, EXPECTED… covers cost of FPSO</t>
  </si>
  <si>
    <t xml:space="preserve"> /bbl, OPEX etc. for subsea</t>
  </si>
  <si>
    <t xml:space="preserve"> /bbl, OPEX etc. for dry tree option</t>
  </si>
  <si>
    <t>SUBSEA recovery ENHANCEMENT, expected</t>
  </si>
  <si>
    <t>STAY the Course</t>
  </si>
  <si>
    <t>ENHANCE subsea</t>
  </si>
  <si>
    <t>M, new CAPEX, expected</t>
  </si>
  <si>
    <t>Expected Reserves INCREASE</t>
  </si>
  <si>
    <t>net REVENUE</t>
  </si>
  <si>
    <t>Expected</t>
  </si>
  <si>
    <t>high</t>
  </si>
  <si>
    <t>low</t>
  </si>
  <si>
    <t>Probability</t>
  </si>
  <si>
    <t>EV</t>
  </si>
  <si>
    <t>see INPUT sheet</t>
  </si>
  <si>
    <t>RATIONALE: Spending more yields more bbls; but spending is constrained by OIL PRICE</t>
  </si>
  <si>
    <t>low INCREASE (Exp'd/3)</t>
  </si>
  <si>
    <t>high INCREASE (Exp'd*2)</t>
  </si>
  <si>
    <t>TOTAL PRODUCED</t>
  </si>
  <si>
    <t>WTI avg.</t>
  </si>
  <si>
    <t>DRILLING &amp; COMPLETION and Tieback COSTS</t>
  </si>
  <si>
    <t>All Up MODU day rate</t>
  </si>
  <si>
    <t>All Up FrPS day rate</t>
  </si>
  <si>
    <t>Subsea Well COSTS</t>
  </si>
  <si>
    <t>DAYS Drilling</t>
  </si>
  <si>
    <t>DAYS Completing</t>
  </si>
  <si>
    <t>Subsea TIEBACK</t>
  </si>
  <si>
    <t>DRY TREE Tieback</t>
  </si>
  <si>
    <t>D&amp;C COSTS</t>
  </si>
  <si>
    <t>FrPS DRY TREE Well COSTS</t>
  </si>
  <si>
    <t>MODU DAYS Drilling</t>
  </si>
  <si>
    <t>FrPS DAYS Drilling</t>
  </si>
  <si>
    <t>Field Dev COMPARISON</t>
  </si>
  <si>
    <t># wells</t>
  </si>
  <si>
    <t>WET</t>
  </si>
  <si>
    <t>DRY</t>
  </si>
  <si>
    <t>savings</t>
  </si>
  <si>
    <t>per well</t>
  </si>
  <si>
    <t>All Up 20k MODU rate</t>
  </si>
  <si>
    <t>per 20k well</t>
  </si>
  <si>
    <t>pre-drill upper sections of well</t>
  </si>
  <si>
    <t>finish drilling from the FrPS</t>
  </si>
  <si>
    <t>from the FrPS</t>
  </si>
  <si>
    <t>Tangibles</t>
  </si>
  <si>
    <t>Total DAYS</t>
  </si>
  <si>
    <t>ENHANCE the subsea system… new investment limit $1.5B</t>
  </si>
  <si>
    <t>SELL (100%)</t>
  </si>
  <si>
    <t>per well (incl. Tangibles &amp; Tieback)</t>
  </si>
  <si>
    <t>covers both D&amp;C</t>
  </si>
  <si>
    <t>15ksi wells</t>
  </si>
  <si>
    <t>20ksi wells</t>
  </si>
  <si>
    <t>RESCUE COSTS</t>
  </si>
  <si>
    <t>FrPS</t>
  </si>
  <si>
    <t>TIEBACK</t>
  </si>
  <si>
    <t>Recompletions</t>
  </si>
  <si>
    <t>qtty</t>
  </si>
  <si>
    <t>Sidetracks</t>
  </si>
  <si>
    <t>flowlines to FPSO</t>
  </si>
  <si>
    <t>FrPS sidetrack costs</t>
  </si>
  <si>
    <t>Tangibles - DRILLING</t>
  </si>
  <si>
    <t>Tangibles - COMPLETION</t>
  </si>
  <si>
    <t>SEE "RBS-sidetracks" worksheet</t>
  </si>
  <si>
    <t>Redrill Comparison between Subsea and FrPS</t>
  </si>
  <si>
    <t>Subsea with sidetrack and new recompletion</t>
  </si>
  <si>
    <t>Kill Well, Retrieve Tree</t>
  </si>
  <si>
    <t>MODU</t>
  </si>
  <si>
    <t>Run Riser and BOP (retrieve for FRPS case)</t>
  </si>
  <si>
    <t>Pull Tbg Hgr and Completion</t>
  </si>
  <si>
    <t>Clean out and Plug back well</t>
  </si>
  <si>
    <t>Install FrPS Outer Producton Riser and Surface BOP</t>
  </si>
  <si>
    <t>Pull Production Tieback</t>
  </si>
  <si>
    <t>Plug Back and Cut Window in Protective Casing</t>
  </si>
  <si>
    <t>K0 and Drill 10000 Re-drill</t>
  </si>
  <si>
    <t>Log and Core</t>
  </si>
  <si>
    <t>Run Production Casing and tieback</t>
  </si>
  <si>
    <t>Run FrPS Inner Production Riser</t>
  </si>
  <si>
    <t>Recomplete</t>
  </si>
  <si>
    <t>Pull Marine Riser and Subsea BOP</t>
  </si>
  <si>
    <t>Run Subsea Tree, Hook uP and Clean up</t>
  </si>
  <si>
    <t>New Tree and Chokes</t>
  </si>
  <si>
    <t>Completion tangibles</t>
  </si>
  <si>
    <t>Sum with MODU</t>
  </si>
  <si>
    <t>Sum with FrPS Only</t>
  </si>
  <si>
    <t>Sum without abandonment burden</t>
  </si>
  <si>
    <t>MODU dayrate</t>
  </si>
  <si>
    <t>FrPS dayrate</t>
  </si>
  <si>
    <t>HP-MODU dayrate</t>
  </si>
  <si>
    <t>TOTAL DAYS</t>
  </si>
  <si>
    <t>DAYS</t>
  </si>
  <si>
    <t>Abandonment COST</t>
  </si>
  <si>
    <t>HP Subsea w/ sidetrack and new recompletion</t>
  </si>
  <si>
    <t>HP Subsea w/ recompletion</t>
  </si>
  <si>
    <t>FrPS Rescue w/ sidetrack and new completion</t>
  </si>
  <si>
    <t>Subsea  recompletion ONLY</t>
  </si>
  <si>
    <t>FrPS
Rescue - recompletion ONLY</t>
  </si>
  <si>
    <t>wells</t>
  </si>
  <si>
    <t>Total</t>
  </si>
  <si>
    <t>TOTAL COST ALL WELLS</t>
  </si>
  <si>
    <t>Subsea</t>
  </si>
  <si>
    <t>HP Subsea</t>
  </si>
  <si>
    <t>w/o Abandon</t>
  </si>
  <si>
    <t>w/ Abandon</t>
  </si>
  <si>
    <t>FrPS savings</t>
  </si>
  <si>
    <t>STONES RESCUE comparison</t>
  </si>
  <si>
    <t>Mad Dog 2</t>
  </si>
  <si>
    <t xml:space="preserve"> </t>
  </si>
  <si>
    <t>20K Subsea</t>
  </si>
  <si>
    <t>APS</t>
  </si>
  <si>
    <t>MD2</t>
  </si>
  <si>
    <t>Project Category</t>
  </si>
  <si>
    <t>Frontier APS - 5 Wells</t>
  </si>
  <si>
    <t>20K Subsea - 5 Wells</t>
  </si>
  <si>
    <t>Mad Dog 2 - 20 Wells</t>
  </si>
  <si>
    <t>Facilites</t>
  </si>
  <si>
    <t>Hull and Topsides</t>
  </si>
  <si>
    <t>Drilling and Completion</t>
  </si>
  <si>
    <t>Installation</t>
  </si>
  <si>
    <t>Export</t>
  </si>
  <si>
    <t>HUC</t>
  </si>
  <si>
    <t>Installation and HUC</t>
  </si>
  <si>
    <t>Mooring System</t>
  </si>
  <si>
    <t>Subsea (24 wells)</t>
  </si>
  <si>
    <t>Subsea (5 wells)</t>
  </si>
  <si>
    <t>Well Systems/Subsea</t>
  </si>
  <si>
    <t>Drilling/Completion Tangibles</t>
  </si>
  <si>
    <t>Well Construction</t>
  </si>
  <si>
    <t>Export Pipelines - 2 x 12" x 60 miles</t>
  </si>
  <si>
    <t>Export Pipelines  2 x 60 miles</t>
  </si>
  <si>
    <t>Export Risers</t>
  </si>
  <si>
    <t>Engineering &amp; Prj Mgt @ 4%</t>
  </si>
  <si>
    <t>Contingency @15%</t>
  </si>
  <si>
    <t>Total ---&gt;</t>
  </si>
  <si>
    <t>Well Cost Drilling</t>
  </si>
  <si>
    <t>Well Cost Completion</t>
  </si>
  <si>
    <t>Drilling Cost Per Quarter</t>
  </si>
  <si>
    <t>Completion Cost Per Quarter</t>
  </si>
  <si>
    <t>Installation and Hook up</t>
  </si>
  <si>
    <t>Well Systems and Subsea</t>
  </si>
  <si>
    <t>Export System</t>
  </si>
  <si>
    <t>Engineering Mgt and Contingency</t>
  </si>
  <si>
    <t>Wells</t>
  </si>
  <si>
    <t>FrPS Cost Estimate</t>
  </si>
  <si>
    <t xml:space="preserve"> [updated from 2018 estimate for TOTAL]</t>
  </si>
  <si>
    <t>buy MODU</t>
  </si>
  <si>
    <t>Convert</t>
  </si>
  <si>
    <t>Topsides</t>
  </si>
  <si>
    <t>2 risers &amp; flowlines, 60mi.</t>
  </si>
  <si>
    <t>Well Systems and TIEBACK</t>
  </si>
  <si>
    <t>per well, incl. tangibles</t>
  </si>
  <si>
    <t>Contingency</t>
  </si>
  <si>
    <t>Engineering Mgt</t>
  </si>
  <si>
    <t>assumed 4%</t>
  </si>
  <si>
    <t>assumed 15%</t>
  </si>
  <si>
    <t>$M's</t>
  </si>
  <si>
    <t>Minimums</t>
  </si>
  <si>
    <t>for STONES - 9,200ft WD</t>
  </si>
  <si>
    <t>N.A.</t>
  </si>
  <si>
    <t>2 risers/lines to FPSO</t>
  </si>
  <si>
    <t>M per well</t>
  </si>
  <si>
    <t>MAXimums</t>
  </si>
  <si>
    <t>2018 by RBS</t>
  </si>
  <si>
    <t>excludes D&amp;C costs</t>
  </si>
  <si>
    <t>incl. WELL COSTS from</t>
  </si>
  <si>
    <t>"Sidetracks-Recomps" worksht</t>
  </si>
  <si>
    <t>abandonment cost per well</t>
  </si>
  <si>
    <t>low CAPEX (note - 5 recomps + subsea pump at JSM ~$300M)</t>
  </si>
  <si>
    <t>M, new CAPEX, expected (2 recomps, 3 ST's + SS pump)</t>
  </si>
  <si>
    <t>high CAPEX (note - 5 ST's + subsea pump at JSM ~$300M)</t>
  </si>
  <si>
    <t>low CAPEX (w/ 5 Re-comps)</t>
  </si>
  <si>
    <t>high CAPEX (w/5 ST's)</t>
  </si>
  <si>
    <t>Recomp Qtty (from INPUT worksht)</t>
  </si>
  <si>
    <t>Sidetrack Qtty (from INPUT worksht)</t>
  </si>
  <si>
    <t>used on "FrPS RESCUE costs" worksheet</t>
  </si>
  <si>
    <t>equals</t>
  </si>
  <si>
    <t>HIGH</t>
  </si>
  <si>
    <t>EXPECTED</t>
  </si>
  <si>
    <t>LOW</t>
  </si>
  <si>
    <r>
      <t xml:space="preserve">ASSUMING </t>
    </r>
    <r>
      <rPr>
        <b/>
        <u/>
        <sz val="11"/>
        <color theme="1"/>
        <rFont val="Calibri"/>
        <family val="2"/>
        <scheme val="minor"/>
      </rPr>
      <t>perfect correlation</t>
    </r>
    <r>
      <rPr>
        <sz val="11"/>
        <color theme="1"/>
        <rFont val="Calibri"/>
        <family val="2"/>
        <scheme val="minor"/>
      </rPr>
      <t xml:space="preserve"> between recovery &amp; CAPEX and CAPEX &amp; Price</t>
    </r>
  </si>
  <si>
    <r>
      <t xml:space="preserve">bbls, reserves left to produce AFTER decision </t>
    </r>
    <r>
      <rPr>
        <b/>
        <sz val="11"/>
        <color theme="1"/>
        <rFont val="Calibri"/>
        <family val="2"/>
        <scheme val="minor"/>
      </rPr>
      <t>implemented</t>
    </r>
  </si>
  <si>
    <t xml:space="preserve"> /bbl SALES price, HIGH… quick sale (&lt;&lt;2yrs) means &gt;50Mbbls reserves</t>
  </si>
  <si>
    <t xml:space="preserve">recovery ENHANCEMENT, LOW (= Expected/3) </t>
  </si>
  <si>
    <t xml:space="preserve">recovery ENHANCEMENT, HIGH (= Expected*2) </t>
  </si>
  <si>
    <r>
      <t xml:space="preserve">ASSUMING </t>
    </r>
    <r>
      <rPr>
        <b/>
        <u/>
        <sz val="11"/>
        <color theme="1"/>
        <rFont val="Calibri"/>
        <family val="2"/>
        <scheme val="minor"/>
      </rPr>
      <t>perfect correlation</t>
    </r>
    <r>
      <rPr>
        <sz val="11"/>
        <color theme="1"/>
        <rFont val="Calibri"/>
        <family val="2"/>
        <scheme val="minor"/>
      </rPr>
      <t xml:space="preserve"> between recovery &amp; CAPEX</t>
    </r>
  </si>
  <si>
    <r>
      <rPr>
        <b/>
        <sz val="11"/>
        <color theme="1"/>
        <rFont val="Calibri"/>
        <family val="2"/>
        <scheme val="minor"/>
      </rPr>
      <t>RATIONALE</t>
    </r>
    <r>
      <rPr>
        <sz val="11"/>
        <color theme="1"/>
        <rFont val="Calibri"/>
        <family val="2"/>
        <scheme val="minor"/>
      </rPr>
      <t>: Sidetracks cost more but access NEW RESERVES</t>
    </r>
  </si>
  <si>
    <t>w/ 5 ST's</t>
  </si>
  <si>
    <t>w/ 2 Re-comps, 3 ST's</t>
  </si>
  <si>
    <t>w/ 5 Re-comps</t>
  </si>
  <si>
    <t>Oil Price risk</t>
  </si>
  <si>
    <t>EV accounting for</t>
  </si>
  <si>
    <t>Expected "Value"</t>
  </si>
  <si>
    <t>accounting for</t>
  </si>
  <si>
    <t>reservoir mgt</t>
  </si>
  <si>
    <t>needs</t>
  </si>
  <si>
    <t>uncertainty</t>
  </si>
  <si>
    <t>more than "ENHANCE"</t>
  </si>
  <si>
    <t>DQ model</t>
  </si>
  <si>
    <t>FrPS Rescue - 2nd sidetracks and new 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</si>
</sst>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164" formatCode="&quot;$&quot;#,##0.00"/>
    <numFmt numFmtId="165" formatCode="&quot;$&quot;#,##0"/>
    <numFmt numFmtId="166" formatCode="_(&quot;$&quot;* #,##0_);_(&quot;$&quot;* \(#,##0\);_(&quot;$&quot;* &quot;-&quot;??_);_(@_)"/>
    <numFmt numFmtId="167" formatCode="_(&quot;$&quot;* #,##0_);_(&quot;$&quot;* \(#,##0\);_(&quot;$&quot;* &quot;-&quot;?_);_(@_)"/>
    <numFmt numFmtId="168" formatCode="&quot;$&quot;#,##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b/>
      <sz val="12"/>
      <color theme="1"/>
      <name val="Calibri"/>
      <family val="2"/>
      <scheme val="minor"/>
    </font>
    <font>
      <b/>
      <sz val="14"/>
      <color rgb="FF00B0F0"/>
      <name val="Calibri"/>
      <family val="2"/>
      <scheme val="minor"/>
    </font>
    <font>
      <sz val="9"/>
      <color indexed="81"/>
      <name val="Tahoma"/>
      <family val="2"/>
    </font>
    <font>
      <b/>
      <sz val="9"/>
      <color indexed="81"/>
      <name val="Tahoma"/>
      <family val="2"/>
    </font>
    <font>
      <b/>
      <i/>
      <sz val="12"/>
      <color theme="1"/>
      <name val="Calibri"/>
      <family val="2"/>
      <scheme val="minor"/>
    </font>
    <font>
      <b/>
      <sz val="14"/>
      <color rgb="FF00FFCC"/>
      <name val="Calibri"/>
      <family val="2"/>
      <scheme val="minor"/>
    </font>
    <font>
      <b/>
      <sz val="11"/>
      <color rgb="FFFF0000"/>
      <name val="Calibri"/>
      <family val="2"/>
      <scheme val="minor"/>
    </font>
    <font>
      <b/>
      <sz val="14"/>
      <color theme="1"/>
      <name val="Calibri"/>
      <family val="2"/>
      <scheme val="minor"/>
    </font>
    <font>
      <b/>
      <sz val="24"/>
      <color rgb="FFFF0000"/>
      <name val="Calibri"/>
      <family val="2"/>
      <scheme val="minor"/>
    </font>
    <font>
      <b/>
      <u/>
      <sz val="11"/>
      <color theme="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00FFCC"/>
        <bgColor indexed="64"/>
      </patternFill>
    </fill>
    <fill>
      <patternFill patternType="solid">
        <fgColor rgb="FFFF99CC"/>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147">
    <xf numFmtId="0" fontId="0" fillId="0" borderId="0" xfId="0"/>
    <xf numFmtId="0" fontId="3" fillId="0" borderId="0" xfId="0" applyFont="1"/>
    <xf numFmtId="0" fontId="3" fillId="0" borderId="0" xfId="0" applyFont="1" applyAlignment="1">
      <alignment vertical="center"/>
    </xf>
    <xf numFmtId="0" fontId="4" fillId="0" borderId="0" xfId="0" applyFont="1"/>
    <xf numFmtId="0" fontId="0" fillId="0" borderId="0" xfId="0" applyAlignment="1">
      <alignment horizontal="right"/>
    </xf>
    <xf numFmtId="0" fontId="5" fillId="0" borderId="1" xfId="0" applyFont="1" applyBorder="1"/>
    <xf numFmtId="0" fontId="0" fillId="0" borderId="0" xfId="0" applyAlignment="1">
      <alignment horizontal="center"/>
    </xf>
    <xf numFmtId="0" fontId="0" fillId="2" borderId="0" xfId="0" applyFill="1" applyAlignment="1">
      <alignment horizontal="center"/>
    </xf>
    <xf numFmtId="164" fontId="0" fillId="2" borderId="1" xfId="0" applyNumberFormat="1" applyFill="1" applyBorder="1"/>
    <xf numFmtId="3" fontId="0" fillId="2" borderId="1" xfId="0" applyNumberFormat="1" applyFill="1" applyBorder="1"/>
    <xf numFmtId="164" fontId="2" fillId="2" borderId="1" xfId="0" applyNumberFormat="1" applyFont="1" applyFill="1" applyBorder="1"/>
    <xf numFmtId="9" fontId="2" fillId="2" borderId="1" xfId="0" applyNumberFormat="1" applyFont="1" applyFill="1" applyBorder="1"/>
    <xf numFmtId="165" fontId="2" fillId="2" borderId="1" xfId="0" applyNumberFormat="1" applyFont="1" applyFill="1" applyBorder="1"/>
    <xf numFmtId="0" fontId="0" fillId="4" borderId="0" xfId="0" applyFill="1"/>
    <xf numFmtId="0" fontId="0" fillId="5" borderId="0" xfId="0" applyFill="1"/>
    <xf numFmtId="165" fontId="0" fillId="0" borderId="1" xfId="0" applyNumberFormat="1" applyBorder="1"/>
    <xf numFmtId="165" fontId="0" fillId="6" borderId="1" xfId="0" applyNumberFormat="1" applyFill="1" applyBorder="1"/>
    <xf numFmtId="3" fontId="0" fillId="0" borderId="1" xfId="0" applyNumberFormat="1" applyBorder="1"/>
    <xf numFmtId="9" fontId="0" fillId="3" borderId="1" xfId="0" applyNumberFormat="1" applyFill="1" applyBorder="1" applyAlignment="1">
      <alignment horizontal="center"/>
    </xf>
    <xf numFmtId="6" fontId="0" fillId="0" borderId="0" xfId="0" applyNumberFormat="1"/>
    <xf numFmtId="9" fontId="0" fillId="5" borderId="1" xfId="0" applyNumberFormat="1" applyFill="1" applyBorder="1"/>
    <xf numFmtId="0" fontId="0" fillId="7" borderId="0" xfId="0" applyFill="1"/>
    <xf numFmtId="44" fontId="0" fillId="7" borderId="0" xfId="1" applyFont="1" applyFill="1"/>
    <xf numFmtId="0" fontId="3" fillId="7" borderId="0" xfId="0" applyFont="1" applyFill="1" applyAlignment="1">
      <alignment vertical="center"/>
    </xf>
    <xf numFmtId="0" fontId="3" fillId="4" borderId="0" xfId="0" applyFont="1" applyFill="1"/>
    <xf numFmtId="0" fontId="0" fillId="0" borderId="2" xfId="0" applyBorder="1"/>
    <xf numFmtId="0" fontId="0" fillId="0" borderId="3" xfId="0" applyBorder="1"/>
    <xf numFmtId="0" fontId="0" fillId="0" borderId="3" xfId="0" applyBorder="1" applyAlignment="1">
      <alignment horizontal="center"/>
    </xf>
    <xf numFmtId="0" fontId="0" fillId="0" borderId="4" xfId="0" applyBorder="1"/>
    <xf numFmtId="0" fontId="0" fillId="0" borderId="5" xfId="0" applyBorder="1"/>
    <xf numFmtId="0" fontId="0" fillId="0" borderId="0" xfId="0" applyBorder="1"/>
    <xf numFmtId="0" fontId="0" fillId="0" borderId="6" xfId="0" applyBorder="1"/>
    <xf numFmtId="0" fontId="3" fillId="0" borderId="5" xfId="0" applyFont="1" applyBorder="1" applyAlignment="1">
      <alignment vertical="center"/>
    </xf>
    <xf numFmtId="3" fontId="0" fillId="2" borderId="0" xfId="0" applyNumberFormat="1" applyFill="1" applyBorder="1"/>
    <xf numFmtId="0" fontId="0" fillId="0" borderId="7" xfId="0" applyBorder="1"/>
    <xf numFmtId="0" fontId="0" fillId="0" borderId="8" xfId="0" applyBorder="1"/>
    <xf numFmtId="0" fontId="0" fillId="0" borderId="9" xfId="0" applyBorder="1"/>
    <xf numFmtId="164" fontId="2" fillId="2" borderId="10" xfId="0" applyNumberFormat="1" applyFont="1" applyFill="1" applyBorder="1"/>
    <xf numFmtId="164" fontId="0" fillId="2" borderId="11" xfId="0" applyNumberFormat="1" applyFill="1" applyBorder="1"/>
    <xf numFmtId="165" fontId="8" fillId="6" borderId="1" xfId="0" applyNumberFormat="1" applyFont="1" applyFill="1" applyBorder="1"/>
    <xf numFmtId="0" fontId="4" fillId="0" borderId="0" xfId="0" applyFont="1" applyAlignment="1">
      <alignment horizontal="center"/>
    </xf>
    <xf numFmtId="0" fontId="0" fillId="2" borderId="1" xfId="0" applyFill="1" applyBorder="1" applyAlignment="1">
      <alignment horizontal="center"/>
    </xf>
    <xf numFmtId="6" fontId="2" fillId="2" borderId="1" xfId="0" applyNumberFormat="1" applyFont="1" applyFill="1" applyBorder="1" applyAlignment="1">
      <alignment horizontal="center"/>
    </xf>
    <xf numFmtId="6" fontId="0" fillId="0" borderId="1" xfId="0" applyNumberFormat="1" applyBorder="1"/>
    <xf numFmtId="6" fontId="2" fillId="6" borderId="0" xfId="0" applyNumberFormat="1" applyFont="1" applyFill="1"/>
    <xf numFmtId="0" fontId="2" fillId="0" borderId="0" xfId="0" applyFont="1" applyAlignment="1">
      <alignment horizontal="right"/>
    </xf>
    <xf numFmtId="0" fontId="4" fillId="0" borderId="0" xfId="0" applyFont="1" applyAlignment="1">
      <alignment horizontal="right"/>
    </xf>
    <xf numFmtId="164" fontId="9" fillId="0" borderId="0" xfId="0" applyNumberFormat="1" applyFont="1"/>
    <xf numFmtId="0" fontId="10" fillId="0" borderId="0" xfId="0" applyFont="1" applyAlignment="1">
      <alignment horizontal="right"/>
    </xf>
    <xf numFmtId="0" fontId="10" fillId="0" borderId="0" xfId="0" applyFont="1"/>
    <xf numFmtId="0" fontId="10" fillId="0" borderId="0" xfId="0" applyFont="1" applyAlignment="1">
      <alignment horizontal="center"/>
    </xf>
    <xf numFmtId="0" fontId="4" fillId="2" borderId="1" xfId="0" applyFont="1" applyFill="1" applyBorder="1" applyAlignment="1">
      <alignment horizontal="center"/>
    </xf>
    <xf numFmtId="0" fontId="0" fillId="0" borderId="0" xfId="0" applyFill="1" applyBorder="1" applyAlignment="1">
      <alignment horizontal="right"/>
    </xf>
    <xf numFmtId="0" fontId="0" fillId="0" borderId="0" xfId="0" applyAlignment="1">
      <alignment horizontal="left"/>
    </xf>
    <xf numFmtId="0" fontId="4" fillId="7" borderId="0" xfId="0" applyFont="1" applyFill="1"/>
    <xf numFmtId="0" fontId="4" fillId="0" borderId="5" xfId="0" applyFont="1" applyBorder="1"/>
    <xf numFmtId="0" fontId="11" fillId="5" borderId="0" xfId="0" applyFont="1" applyFill="1"/>
    <xf numFmtId="0" fontId="4" fillId="4" borderId="0" xfId="0" applyFont="1" applyFill="1" applyAlignment="1">
      <alignment vertical="center"/>
    </xf>
    <xf numFmtId="6" fontId="4" fillId="6" borderId="0" xfId="0" applyNumberFormat="1" applyFont="1" applyFill="1"/>
    <xf numFmtId="6" fontId="4" fillId="6" borderId="0" xfId="0" applyNumberFormat="1" applyFont="1" applyFill="1" applyAlignment="1">
      <alignment horizontal="right"/>
    </xf>
    <xf numFmtId="0" fontId="0" fillId="0" borderId="1" xfId="0" applyBorder="1" applyAlignment="1">
      <alignment horizontal="center"/>
    </xf>
    <xf numFmtId="0" fontId="2" fillId="0" borderId="0" xfId="0" applyFont="1"/>
    <xf numFmtId="0" fontId="11" fillId="0" borderId="0" xfId="0" applyFont="1"/>
    <xf numFmtId="0" fontId="0" fillId="3" borderId="0" xfId="0" applyFill="1"/>
    <xf numFmtId="0" fontId="12" fillId="3" borderId="0" xfId="0" applyFont="1" applyFill="1"/>
    <xf numFmtId="0" fontId="0" fillId="0" borderId="0" xfId="0" applyAlignment="1">
      <alignment horizontal="center" wrapText="1"/>
    </xf>
    <xf numFmtId="166" fontId="0" fillId="0" borderId="0" xfId="1" applyNumberFormat="1" applyFont="1"/>
    <xf numFmtId="166" fontId="0" fillId="0" borderId="0" xfId="0" applyNumberFormat="1"/>
    <xf numFmtId="0" fontId="0" fillId="0" borderId="0" xfId="0" applyAlignment="1">
      <alignment vertical="center"/>
    </xf>
    <xf numFmtId="0" fontId="0" fillId="3" borderId="0" xfId="0" applyFill="1" applyAlignment="1">
      <alignment vertical="center" wrapText="1"/>
    </xf>
    <xf numFmtId="0" fontId="0" fillId="3" borderId="0" xfId="0" applyFill="1" applyAlignment="1">
      <alignment vertical="center"/>
    </xf>
    <xf numFmtId="0" fontId="0" fillId="0" borderId="0" xfId="0" applyAlignment="1">
      <alignment vertical="center" wrapText="1"/>
    </xf>
    <xf numFmtId="0" fontId="0" fillId="8" borderId="0" xfId="0" applyFill="1" applyAlignment="1">
      <alignment vertical="center"/>
    </xf>
    <xf numFmtId="6" fontId="10" fillId="9" borderId="1" xfId="0" applyNumberFormat="1" applyFont="1" applyFill="1" applyBorder="1" applyAlignment="1">
      <alignment horizontal="center"/>
    </xf>
    <xf numFmtId="0" fontId="0" fillId="9" borderId="0" xfId="0" applyFill="1" applyAlignment="1">
      <alignment horizontal="center" wrapText="1"/>
    </xf>
    <xf numFmtId="0" fontId="0" fillId="5" borderId="0" xfId="0" applyFill="1" applyAlignment="1">
      <alignment horizontal="right"/>
    </xf>
    <xf numFmtId="0" fontId="2" fillId="5" borderId="0" xfId="0" applyFont="1" applyFill="1" applyAlignment="1">
      <alignment horizontal="right"/>
    </xf>
    <xf numFmtId="0" fontId="2" fillId="5" borderId="0" xfId="0" applyFont="1" applyFill="1"/>
    <xf numFmtId="166" fontId="2" fillId="0" borderId="0" xfId="1" applyNumberFormat="1" applyFont="1"/>
    <xf numFmtId="166" fontId="10" fillId="0" borderId="0" xfId="1" applyNumberFormat="1" applyFont="1"/>
    <xf numFmtId="0" fontId="0" fillId="0" borderId="12" xfId="0" applyBorder="1" applyAlignment="1">
      <alignment horizontal="center"/>
    </xf>
    <xf numFmtId="6" fontId="10" fillId="9" borderId="12" xfId="0" applyNumberFormat="1" applyFont="1" applyFill="1" applyBorder="1" applyAlignment="1">
      <alignment horizontal="center"/>
    </xf>
    <xf numFmtId="0" fontId="0" fillId="0" borderId="13" xfId="0" applyBorder="1" applyAlignment="1">
      <alignment horizontal="center"/>
    </xf>
    <xf numFmtId="6" fontId="2" fillId="2" borderId="13" xfId="0" applyNumberFormat="1" applyFont="1" applyFill="1" applyBorder="1" applyAlignment="1">
      <alignment horizontal="center"/>
    </xf>
    <xf numFmtId="0" fontId="0" fillId="0" borderId="2" xfId="0" applyBorder="1" applyAlignment="1">
      <alignment horizontal="center" wrapText="1"/>
    </xf>
    <xf numFmtId="0" fontId="0" fillId="0" borderId="4" xfId="0" applyBorder="1" applyAlignment="1">
      <alignment horizontal="center" wrapText="1"/>
    </xf>
    <xf numFmtId="0" fontId="0" fillId="3" borderId="5" xfId="0" applyFill="1" applyBorder="1" applyAlignment="1">
      <alignment vertical="center"/>
    </xf>
    <xf numFmtId="0" fontId="0" fillId="3" borderId="6" xfId="0" applyFill="1" applyBorder="1" applyAlignment="1">
      <alignment vertical="center"/>
    </xf>
    <xf numFmtId="0" fontId="0" fillId="0" borderId="5" xfId="0" applyBorder="1" applyAlignment="1">
      <alignment vertical="center"/>
    </xf>
    <xf numFmtId="0" fontId="0" fillId="8" borderId="6" xfId="0" applyFill="1" applyBorder="1" applyAlignment="1">
      <alignment vertical="center"/>
    </xf>
    <xf numFmtId="0" fontId="0" fillId="0" borderId="6" xfId="0" applyBorder="1" applyAlignment="1">
      <alignment vertical="center"/>
    </xf>
    <xf numFmtId="0" fontId="0" fillId="0" borderId="14" xfId="0" applyBorder="1" applyAlignment="1">
      <alignment horizontal="center"/>
    </xf>
    <xf numFmtId="0" fontId="0" fillId="0" borderId="15" xfId="0" applyBorder="1" applyAlignment="1">
      <alignment horizontal="center"/>
    </xf>
    <xf numFmtId="6" fontId="2" fillId="2" borderId="14" xfId="0" applyNumberFormat="1" applyFont="1" applyFill="1" applyBorder="1" applyAlignment="1">
      <alignment horizontal="center"/>
    </xf>
    <xf numFmtId="6" fontId="2" fillId="2" borderId="15" xfId="0" applyNumberFormat="1" applyFont="1" applyFill="1" applyBorder="1" applyAlignment="1">
      <alignment horizontal="center"/>
    </xf>
    <xf numFmtId="166" fontId="2" fillId="0" borderId="5" xfId="1" applyNumberFormat="1" applyFont="1" applyBorder="1"/>
    <xf numFmtId="166" fontId="2" fillId="0" borderId="6" xfId="1" applyNumberFormat="1" applyFont="1" applyBorder="1"/>
    <xf numFmtId="166" fontId="2" fillId="5" borderId="5" xfId="0" applyNumberFormat="1" applyFont="1" applyFill="1" applyBorder="1"/>
    <xf numFmtId="166" fontId="2" fillId="5" borderId="6" xfId="0" applyNumberFormat="1" applyFont="1" applyFill="1" applyBorder="1"/>
    <xf numFmtId="166" fontId="0" fillId="0" borderId="7" xfId="0" applyNumberFormat="1" applyBorder="1"/>
    <xf numFmtId="166" fontId="0" fillId="0" borderId="9" xfId="0" applyNumberFormat="1" applyBorder="1"/>
    <xf numFmtId="6" fontId="10" fillId="2" borderId="1" xfId="0" applyNumberFormat="1" applyFont="1" applyFill="1" applyBorder="1" applyAlignment="1">
      <alignment horizontal="center"/>
    </xf>
    <xf numFmtId="0" fontId="0" fillId="0" borderId="1" xfId="0" applyBorder="1"/>
    <xf numFmtId="166" fontId="0" fillId="0" borderId="1" xfId="0" applyNumberFormat="1" applyBorder="1"/>
    <xf numFmtId="166" fontId="10" fillId="0" borderId="1" xfId="1" applyNumberFormat="1" applyFont="1" applyBorder="1"/>
    <xf numFmtId="166" fontId="2" fillId="5" borderId="1" xfId="0" applyNumberFormat="1" applyFont="1" applyFill="1" applyBorder="1"/>
    <xf numFmtId="166" fontId="10" fillId="5" borderId="1" xfId="0" applyNumberFormat="1" applyFont="1" applyFill="1" applyBorder="1"/>
    <xf numFmtId="0" fontId="13" fillId="0" borderId="0" xfId="0" applyFont="1" applyAlignment="1">
      <alignment horizontal="center"/>
    </xf>
    <xf numFmtId="0" fontId="13" fillId="0" borderId="0" xfId="0" applyFont="1" applyAlignment="1">
      <alignment horizontal="center" wrapText="1"/>
    </xf>
    <xf numFmtId="44" fontId="0" fillId="0" borderId="0" xfId="0" applyNumberFormat="1"/>
    <xf numFmtId="167" fontId="0" fillId="0" borderId="0" xfId="0" applyNumberFormat="1"/>
    <xf numFmtId="166" fontId="0" fillId="0" borderId="0" xfId="0" applyNumberFormat="1" applyAlignment="1">
      <alignment horizontal="center"/>
    </xf>
    <xf numFmtId="166" fontId="0" fillId="3" borderId="1" xfId="0" applyNumberFormat="1" applyFill="1" applyBorder="1"/>
    <xf numFmtId="0" fontId="2" fillId="3" borderId="0" xfId="0" applyFont="1" applyFill="1" applyAlignment="1">
      <alignment horizontal="center"/>
    </xf>
    <xf numFmtId="0" fontId="4" fillId="3" borderId="0" xfId="0" applyFont="1" applyFill="1"/>
    <xf numFmtId="166" fontId="0" fillId="0" borderId="1" xfId="1" applyNumberFormat="1" applyFont="1" applyBorder="1"/>
    <xf numFmtId="0" fontId="0" fillId="6" borderId="1" xfId="0" applyFill="1" applyBorder="1" applyAlignment="1">
      <alignment horizontal="center"/>
    </xf>
    <xf numFmtId="166" fontId="0" fillId="3" borderId="0" xfId="0" applyNumberFormat="1" applyFill="1" applyAlignment="1"/>
    <xf numFmtId="166" fontId="0" fillId="0" borderId="13" xfId="1" applyNumberFormat="1" applyFont="1" applyBorder="1"/>
    <xf numFmtId="167" fontId="0" fillId="0" borderId="1" xfId="0" applyNumberFormat="1" applyBorder="1"/>
    <xf numFmtId="168" fontId="0" fillId="0" borderId="0" xfId="0" applyNumberFormat="1"/>
    <xf numFmtId="168" fontId="0" fillId="0" borderId="1" xfId="0" applyNumberFormat="1" applyBorder="1" applyAlignment="1">
      <alignment horizontal="center"/>
    </xf>
    <xf numFmtId="9" fontId="0" fillId="6" borderId="12" xfId="0" applyNumberFormat="1" applyFill="1" applyBorder="1" applyAlignment="1">
      <alignment horizontal="center"/>
    </xf>
    <xf numFmtId="168" fontId="0" fillId="0" borderId="13" xfId="0" applyNumberFormat="1" applyBorder="1" applyAlignment="1">
      <alignment horizontal="center"/>
    </xf>
    <xf numFmtId="165" fontId="0" fillId="3" borderId="1" xfId="0" applyNumberFormat="1" applyFill="1" applyBorder="1" applyAlignment="1">
      <alignment horizontal="center"/>
    </xf>
    <xf numFmtId="165" fontId="0" fillId="0" borderId="1" xfId="0" applyNumberFormat="1" applyBorder="1" applyAlignment="1">
      <alignment horizontal="center"/>
    </xf>
    <xf numFmtId="165" fontId="4" fillId="0" borderId="0" xfId="0" applyNumberFormat="1" applyFont="1" applyAlignment="1">
      <alignment horizontal="center"/>
    </xf>
    <xf numFmtId="166" fontId="0" fillId="7" borderId="1" xfId="0" applyNumberFormat="1" applyFill="1" applyBorder="1"/>
    <xf numFmtId="0" fontId="0" fillId="7" borderId="0" xfId="0" applyFill="1" applyAlignment="1">
      <alignment horizontal="left"/>
    </xf>
    <xf numFmtId="0" fontId="0" fillId="10" borderId="0" xfId="0" applyFill="1"/>
    <xf numFmtId="0" fontId="2" fillId="3" borderId="0" xfId="0" applyFont="1" applyFill="1" applyAlignment="1">
      <alignment horizontal="right"/>
    </xf>
    <xf numFmtId="0" fontId="2" fillId="3" borderId="0" xfId="0" applyFont="1" applyFill="1" applyBorder="1" applyAlignment="1">
      <alignment horizontal="right"/>
    </xf>
    <xf numFmtId="0" fontId="0" fillId="7" borderId="1" xfId="0" applyFill="1" applyBorder="1" applyAlignment="1">
      <alignment horizontal="center"/>
    </xf>
    <xf numFmtId="165" fontId="0" fillId="6" borderId="1" xfId="0" applyNumberFormat="1" applyFill="1" applyBorder="1" applyAlignment="1">
      <alignment horizontal="center"/>
    </xf>
    <xf numFmtId="0" fontId="0" fillId="2" borderId="0" xfId="0" applyFill="1" applyAlignment="1">
      <alignment horizontal="right"/>
    </xf>
    <xf numFmtId="3" fontId="2" fillId="2" borderId="0" xfId="0" applyNumberFormat="1" applyFont="1" applyFill="1"/>
    <xf numFmtId="166" fontId="4" fillId="0" borderId="1" xfId="0" applyNumberFormat="1" applyFont="1" applyBorder="1"/>
    <xf numFmtId="0" fontId="0" fillId="0" borderId="16" xfId="0" applyBorder="1" applyAlignment="1">
      <alignment horizontal="center"/>
    </xf>
    <xf numFmtId="0" fontId="0" fillId="0" borderId="17" xfId="0" applyBorder="1" applyAlignment="1">
      <alignment horizontal="center"/>
    </xf>
    <xf numFmtId="0" fontId="5" fillId="0" borderId="1" xfId="0" applyFont="1" applyBorder="1" applyAlignment="1">
      <alignment horizontal="center"/>
    </xf>
    <xf numFmtId="165" fontId="0" fillId="0" borderId="11" xfId="0" applyNumberFormat="1" applyBorder="1"/>
    <xf numFmtId="9" fontId="0" fillId="3" borderId="11" xfId="0" applyNumberFormat="1" applyFill="1" applyBorder="1" applyAlignment="1">
      <alignment horizontal="center"/>
    </xf>
    <xf numFmtId="0" fontId="2" fillId="0" borderId="0" xfId="0" applyFont="1" applyBorder="1" applyAlignment="1">
      <alignment horizontal="center"/>
    </xf>
    <xf numFmtId="166" fontId="2" fillId="5" borderId="0" xfId="0" applyNumberFormat="1" applyFont="1" applyFill="1" applyBorder="1"/>
    <xf numFmtId="166" fontId="10" fillId="5" borderId="0" xfId="0" applyNumberFormat="1" applyFont="1" applyFill="1" applyBorder="1"/>
    <xf numFmtId="0" fontId="2" fillId="0" borderId="12" xfId="0" applyFont="1" applyBorder="1" applyAlignment="1">
      <alignment horizontal="center"/>
    </xf>
    <xf numFmtId="0" fontId="2" fillId="0" borderId="13" xfId="0" applyFont="1" applyBorder="1" applyAlignment="1">
      <alignment horizontal="center"/>
    </xf>
  </cellXfs>
  <cellStyles count="2">
    <cellStyle name="Currency" xfId="1" builtinId="4"/>
    <cellStyle name="Normal" xfId="0" builtinId="0"/>
  </cellStyles>
  <dxfs count="0"/>
  <tableStyles count="0" defaultTableStyle="TableStyleMedium2" defaultPivotStyle="PivotStyleLight16"/>
  <colors>
    <mruColors>
      <color rgb="FFFF99CC"/>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Comparison of</a:t>
            </a:r>
            <a:r>
              <a:rPr lang="en-US" b="1" baseline="0"/>
              <a:t> FID Costs for 5 Well Lower Tertiary Development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'2018 RBS Costing for TOTAL'!$K$3</c:f>
              <c:strCache>
                <c:ptCount val="1"/>
                <c:pt idx="0">
                  <c:v>Hull and Topsides</c:v>
                </c:pt>
              </c:strCache>
            </c:strRef>
          </c:tx>
          <c:spPr>
            <a:solidFill>
              <a:schemeClr val="accent1"/>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TOTAL'!$L$3:$P$3</c:f>
              <c:numCache>
                <c:formatCode>_("$"* #,##0_);_("$"* \(#,##0\);_("$"* "-"??_);_(@_)</c:formatCode>
                <c:ptCount val="5"/>
                <c:pt idx="0">
                  <c:v>380000000</c:v>
                </c:pt>
                <c:pt idx="2">
                  <c:v>1100000000</c:v>
                </c:pt>
                <c:pt idx="4">
                  <c:v>1300000000</c:v>
                </c:pt>
              </c:numCache>
            </c:numRef>
          </c:val>
          <c:extLst>
            <c:ext xmlns:c16="http://schemas.microsoft.com/office/drawing/2014/chart" uri="{C3380CC4-5D6E-409C-BE32-E72D297353CC}">
              <c16:uniqueId val="{00000000-9CE0-4B5E-B609-DDE65B6E55D1}"/>
            </c:ext>
          </c:extLst>
        </c:ser>
        <c:ser>
          <c:idx val="1"/>
          <c:order val="1"/>
          <c:tx>
            <c:strRef>
              <c:f>'2018 RBS Costing for TOTAL'!$K$4</c:f>
              <c:strCache>
                <c:ptCount val="1"/>
                <c:pt idx="0">
                  <c:v>Installation</c:v>
                </c:pt>
              </c:strCache>
            </c:strRef>
          </c:tx>
          <c:spPr>
            <a:solidFill>
              <a:schemeClr val="accent2"/>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TOTAL'!$L$4:$P$4</c:f>
              <c:numCache>
                <c:formatCode>_("$"* #,##0_);_("$"* \(#,##0\);_("$"* "-"??_);_(@_)</c:formatCode>
                <c:ptCount val="5"/>
                <c:pt idx="0">
                  <c:v>110000000</c:v>
                </c:pt>
                <c:pt idx="2">
                  <c:v>250000000</c:v>
                </c:pt>
                <c:pt idx="4">
                  <c:v>250000000</c:v>
                </c:pt>
              </c:numCache>
            </c:numRef>
          </c:val>
          <c:extLst>
            <c:ext xmlns:c16="http://schemas.microsoft.com/office/drawing/2014/chart" uri="{C3380CC4-5D6E-409C-BE32-E72D297353CC}">
              <c16:uniqueId val="{00000001-9CE0-4B5E-B609-DDE65B6E55D1}"/>
            </c:ext>
          </c:extLst>
        </c:ser>
        <c:ser>
          <c:idx val="2"/>
          <c:order val="2"/>
          <c:tx>
            <c:strRef>
              <c:f>'2018 RBS Costing for TOTAL'!$K$5</c:f>
              <c:strCache>
                <c:ptCount val="1"/>
                <c:pt idx="0">
                  <c:v>HUC</c:v>
                </c:pt>
              </c:strCache>
            </c:strRef>
          </c:tx>
          <c:spPr>
            <a:solidFill>
              <a:schemeClr val="accent3"/>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TOTAL'!$L$5:$P$5</c:f>
              <c:numCache>
                <c:formatCode>_("$"* #,##0_);_("$"* \(#,##0\);_("$"* "-"??_);_(@_)</c:formatCode>
                <c:ptCount val="5"/>
                <c:pt idx="0">
                  <c:v>75000000</c:v>
                </c:pt>
                <c:pt idx="2">
                  <c:v>150000000</c:v>
                </c:pt>
                <c:pt idx="4">
                  <c:v>150000000</c:v>
                </c:pt>
              </c:numCache>
            </c:numRef>
          </c:val>
          <c:extLst>
            <c:ext xmlns:c16="http://schemas.microsoft.com/office/drawing/2014/chart" uri="{C3380CC4-5D6E-409C-BE32-E72D297353CC}">
              <c16:uniqueId val="{00000002-9CE0-4B5E-B609-DDE65B6E55D1}"/>
            </c:ext>
          </c:extLst>
        </c:ser>
        <c:ser>
          <c:idx val="3"/>
          <c:order val="3"/>
          <c:tx>
            <c:strRef>
              <c:f>'2018 RBS Costing for TOTAL'!$K$6</c:f>
              <c:strCache>
                <c:ptCount val="1"/>
                <c:pt idx="0">
                  <c:v>Mooring System</c:v>
                </c:pt>
              </c:strCache>
            </c:strRef>
          </c:tx>
          <c:spPr>
            <a:solidFill>
              <a:schemeClr val="accent4"/>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TOTAL'!$L$6:$P$6</c:f>
              <c:numCache>
                <c:formatCode>_("$"* #,##0_);_("$"* \(#,##0\);_("$"* "-"??_);_(@_)</c:formatCode>
                <c:ptCount val="5"/>
                <c:pt idx="0">
                  <c:v>150000000</c:v>
                </c:pt>
                <c:pt idx="2">
                  <c:v>150000000</c:v>
                </c:pt>
                <c:pt idx="4">
                  <c:v>150000000</c:v>
                </c:pt>
              </c:numCache>
            </c:numRef>
          </c:val>
          <c:extLst>
            <c:ext xmlns:c16="http://schemas.microsoft.com/office/drawing/2014/chart" uri="{C3380CC4-5D6E-409C-BE32-E72D297353CC}">
              <c16:uniqueId val="{00000003-9CE0-4B5E-B609-DDE65B6E55D1}"/>
            </c:ext>
          </c:extLst>
        </c:ser>
        <c:ser>
          <c:idx val="4"/>
          <c:order val="4"/>
          <c:tx>
            <c:strRef>
              <c:f>'2018 RBS Costing for TOTAL'!$K$7</c:f>
              <c:strCache>
                <c:ptCount val="1"/>
                <c:pt idx="0">
                  <c:v>Well Systems/Subsea</c:v>
                </c:pt>
              </c:strCache>
            </c:strRef>
          </c:tx>
          <c:spPr>
            <a:solidFill>
              <a:schemeClr val="accent5"/>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TOTAL'!$L$7:$P$7</c:f>
              <c:numCache>
                <c:formatCode>_("$"* #,##0_);_("$"* \(#,##0\);_("$"* "-"??_);_(@_)</c:formatCode>
                <c:ptCount val="5"/>
                <c:pt idx="0">
                  <c:v>195000000</c:v>
                </c:pt>
                <c:pt idx="2">
                  <c:v>550000000</c:v>
                </c:pt>
                <c:pt idx="4">
                  <c:v>2160000000</c:v>
                </c:pt>
              </c:numCache>
            </c:numRef>
          </c:val>
          <c:extLst>
            <c:ext xmlns:c16="http://schemas.microsoft.com/office/drawing/2014/chart" uri="{C3380CC4-5D6E-409C-BE32-E72D297353CC}">
              <c16:uniqueId val="{00000004-9CE0-4B5E-B609-DDE65B6E55D1}"/>
            </c:ext>
          </c:extLst>
        </c:ser>
        <c:ser>
          <c:idx val="5"/>
          <c:order val="5"/>
          <c:tx>
            <c:strRef>
              <c:f>'2018 RBS Costing for TOTAL'!$K$8</c:f>
              <c:strCache>
                <c:ptCount val="1"/>
                <c:pt idx="0">
                  <c:v>Drilling/Completion Tangibles</c:v>
                </c:pt>
              </c:strCache>
            </c:strRef>
          </c:tx>
          <c:spPr>
            <a:solidFill>
              <a:schemeClr val="accent6"/>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TOTAL'!$L$8:$P$8</c:f>
              <c:numCache>
                <c:formatCode>_("$"* #,##0_);_("$"* \(#,##0\);_("$"* "-"??_);_(@_)</c:formatCode>
                <c:ptCount val="5"/>
                <c:pt idx="0">
                  <c:v>150000000</c:v>
                </c:pt>
                <c:pt idx="2">
                  <c:v>200000000</c:v>
                </c:pt>
                <c:pt idx="4">
                  <c:v>960000000</c:v>
                </c:pt>
              </c:numCache>
            </c:numRef>
          </c:val>
          <c:extLst>
            <c:ext xmlns:c16="http://schemas.microsoft.com/office/drawing/2014/chart" uri="{C3380CC4-5D6E-409C-BE32-E72D297353CC}">
              <c16:uniqueId val="{00000005-9CE0-4B5E-B609-DDE65B6E55D1}"/>
            </c:ext>
          </c:extLst>
        </c:ser>
        <c:ser>
          <c:idx val="6"/>
          <c:order val="6"/>
          <c:tx>
            <c:strRef>
              <c:f>'2018 RBS Costing for TOTAL'!$K$9</c:f>
              <c:strCache>
                <c:ptCount val="1"/>
                <c:pt idx="0">
                  <c:v>Well Construction</c:v>
                </c:pt>
              </c:strCache>
            </c:strRef>
          </c:tx>
          <c:spPr>
            <a:solidFill>
              <a:schemeClr val="accent1">
                <a:lumMod val="60000"/>
              </a:schemeClr>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TOTAL'!$L$9:$P$9</c:f>
              <c:numCache>
                <c:formatCode>_("$"* #,##0_);_("$"* \(#,##0\);_("$"* "-"??_);_(@_)</c:formatCode>
                <c:ptCount val="5"/>
                <c:pt idx="0">
                  <c:v>978920000</c:v>
                </c:pt>
                <c:pt idx="2">
                  <c:v>1668200000</c:v>
                </c:pt>
                <c:pt idx="4">
                  <c:v>2468400000</c:v>
                </c:pt>
              </c:numCache>
            </c:numRef>
          </c:val>
          <c:extLst>
            <c:ext xmlns:c16="http://schemas.microsoft.com/office/drawing/2014/chart" uri="{C3380CC4-5D6E-409C-BE32-E72D297353CC}">
              <c16:uniqueId val="{00000006-9CE0-4B5E-B609-DDE65B6E55D1}"/>
            </c:ext>
          </c:extLst>
        </c:ser>
        <c:ser>
          <c:idx val="7"/>
          <c:order val="7"/>
          <c:tx>
            <c:strRef>
              <c:f>'2018 RBS Costing for TOTAL'!$K$10</c:f>
              <c:strCache>
                <c:ptCount val="1"/>
                <c:pt idx="0">
                  <c:v>Export Pipelines  2 x 60 miles</c:v>
                </c:pt>
              </c:strCache>
            </c:strRef>
          </c:tx>
          <c:spPr>
            <a:solidFill>
              <a:schemeClr val="accent2">
                <a:lumMod val="60000"/>
              </a:schemeClr>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TOTAL'!$L$10:$P$10</c:f>
              <c:numCache>
                <c:formatCode>_("$"* #,##0_);_("$"* \(#,##0\);_("$"* "-"??_);_(@_)</c:formatCode>
                <c:ptCount val="5"/>
                <c:pt idx="0">
                  <c:v>150000000</c:v>
                </c:pt>
                <c:pt idx="2">
                  <c:v>300000000</c:v>
                </c:pt>
                <c:pt idx="4">
                  <c:v>300000000</c:v>
                </c:pt>
              </c:numCache>
            </c:numRef>
          </c:val>
          <c:extLst>
            <c:ext xmlns:c16="http://schemas.microsoft.com/office/drawing/2014/chart" uri="{C3380CC4-5D6E-409C-BE32-E72D297353CC}">
              <c16:uniqueId val="{00000007-9CE0-4B5E-B609-DDE65B6E55D1}"/>
            </c:ext>
          </c:extLst>
        </c:ser>
        <c:ser>
          <c:idx val="8"/>
          <c:order val="8"/>
          <c:tx>
            <c:strRef>
              <c:f>'2018 RBS Costing for TOTAL'!$K$11</c:f>
              <c:strCache>
                <c:ptCount val="1"/>
                <c:pt idx="0">
                  <c:v>Export Risers</c:v>
                </c:pt>
              </c:strCache>
            </c:strRef>
          </c:tx>
          <c:spPr>
            <a:solidFill>
              <a:schemeClr val="accent3">
                <a:lumMod val="60000"/>
              </a:schemeClr>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TOTAL'!$L$11:$P$11</c:f>
              <c:numCache>
                <c:formatCode>_("$"* #,##0_);_("$"* \(#,##0\);_("$"* "-"??_);_(@_)</c:formatCode>
                <c:ptCount val="5"/>
                <c:pt idx="0">
                  <c:v>20000000</c:v>
                </c:pt>
                <c:pt idx="2">
                  <c:v>30000000</c:v>
                </c:pt>
                <c:pt idx="4">
                  <c:v>30000000</c:v>
                </c:pt>
              </c:numCache>
            </c:numRef>
          </c:val>
          <c:extLst>
            <c:ext xmlns:c16="http://schemas.microsoft.com/office/drawing/2014/chart" uri="{C3380CC4-5D6E-409C-BE32-E72D297353CC}">
              <c16:uniqueId val="{00000008-9CE0-4B5E-B609-DDE65B6E55D1}"/>
            </c:ext>
          </c:extLst>
        </c:ser>
        <c:ser>
          <c:idx val="9"/>
          <c:order val="9"/>
          <c:tx>
            <c:strRef>
              <c:f>'2018 RBS Costing for TOTAL'!$K$12</c:f>
              <c:strCache>
                <c:ptCount val="1"/>
                <c:pt idx="0">
                  <c:v>Engineering &amp; Prj Mgt @ 4%</c:v>
                </c:pt>
              </c:strCache>
            </c:strRef>
          </c:tx>
          <c:spPr>
            <a:solidFill>
              <a:schemeClr val="accent4">
                <a:lumMod val="60000"/>
              </a:schemeClr>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TOTAL'!$L$12:$P$12</c:f>
              <c:numCache>
                <c:formatCode>_("$"* #,##0_);_("$"* \(#,##0\);_("$"* "-"??_);_(@_)</c:formatCode>
                <c:ptCount val="5"/>
                <c:pt idx="0">
                  <c:v>88356800</c:v>
                </c:pt>
                <c:pt idx="1">
                  <c:v>17671360</c:v>
                </c:pt>
                <c:pt idx="2">
                  <c:v>175928000</c:v>
                </c:pt>
                <c:pt idx="3" formatCode="_(&quot;$&quot;* #,##0.00_);_(&quot;$&quot;* \(#,##0.00\);_(&quot;$&quot;* &quot;-&quot;??_);_(@_)">
                  <c:v>11728533.333333334</c:v>
                </c:pt>
                <c:pt idx="4">
                  <c:v>310736000</c:v>
                </c:pt>
              </c:numCache>
            </c:numRef>
          </c:val>
          <c:extLst>
            <c:ext xmlns:c16="http://schemas.microsoft.com/office/drawing/2014/chart" uri="{C3380CC4-5D6E-409C-BE32-E72D297353CC}">
              <c16:uniqueId val="{00000009-9CE0-4B5E-B609-DDE65B6E55D1}"/>
            </c:ext>
          </c:extLst>
        </c:ser>
        <c:ser>
          <c:idx val="10"/>
          <c:order val="10"/>
          <c:tx>
            <c:strRef>
              <c:f>'2018 RBS Costing for TOTAL'!$K$13</c:f>
              <c:strCache>
                <c:ptCount val="1"/>
                <c:pt idx="0">
                  <c:v>Contingency @15%</c:v>
                </c:pt>
              </c:strCache>
            </c:strRef>
          </c:tx>
          <c:spPr>
            <a:solidFill>
              <a:schemeClr val="accent5">
                <a:lumMod val="60000"/>
              </a:schemeClr>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TOTAL'!$L$13:$P$13</c:f>
              <c:numCache>
                <c:formatCode>_("$"* #,##0_);_("$"* \(#,##0\);_("$"* "-"??_);_(@_)</c:formatCode>
                <c:ptCount val="5"/>
                <c:pt idx="0">
                  <c:v>344591520</c:v>
                </c:pt>
                <c:pt idx="1">
                  <c:v>34459152</c:v>
                </c:pt>
                <c:pt idx="2">
                  <c:v>686119200</c:v>
                </c:pt>
                <c:pt idx="3">
                  <c:v>159074613.33333334</c:v>
                </c:pt>
                <c:pt idx="4">
                  <c:v>1211870400</c:v>
                </c:pt>
              </c:numCache>
            </c:numRef>
          </c:val>
          <c:extLst>
            <c:ext xmlns:c16="http://schemas.microsoft.com/office/drawing/2014/chart" uri="{C3380CC4-5D6E-409C-BE32-E72D297353CC}">
              <c16:uniqueId val="{0000000A-9CE0-4B5E-B609-DDE65B6E55D1}"/>
            </c:ext>
          </c:extLst>
        </c:ser>
        <c:dLbls>
          <c:showLegendKey val="0"/>
          <c:showVal val="0"/>
          <c:showCatName val="0"/>
          <c:showSerName val="0"/>
          <c:showPercent val="0"/>
          <c:showBubbleSize val="0"/>
        </c:dLbls>
        <c:gapWidth val="150"/>
        <c:overlap val="100"/>
        <c:axId val="640463984"/>
        <c:axId val="640468248"/>
      </c:barChart>
      <c:catAx>
        <c:axId val="64046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468248"/>
        <c:crosses val="autoZero"/>
        <c:auto val="1"/>
        <c:lblAlgn val="ctr"/>
        <c:lblOffset val="100"/>
        <c:noMultiLvlLbl val="0"/>
      </c:catAx>
      <c:valAx>
        <c:axId val="64046824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46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'2018 RBS Costing for TOTAL'!$W$2</c:f>
              <c:strCache>
                <c:ptCount val="1"/>
                <c:pt idx="0">
                  <c:v>Facilites</c:v>
                </c:pt>
              </c:strCache>
            </c:strRef>
          </c:tx>
          <c:spPr>
            <a:solidFill>
              <a:schemeClr val="accent1"/>
            </a:solidFill>
            <a:ln>
              <a:noFill/>
            </a:ln>
            <a:effectLst/>
          </c:spPr>
          <c:invertIfNegative val="0"/>
          <c:cat>
            <c:strRef>
              <c:f>'2018 RBS Costing for TOTAL'!$X$1:$Z$1</c:f>
              <c:strCache>
                <c:ptCount val="3"/>
                <c:pt idx="0">
                  <c:v>APS</c:v>
                </c:pt>
                <c:pt idx="1">
                  <c:v>20K Subsea</c:v>
                </c:pt>
                <c:pt idx="2">
                  <c:v>MD2</c:v>
                </c:pt>
              </c:strCache>
            </c:strRef>
          </c:cat>
          <c:val>
            <c:numRef>
              <c:f>'2018 RBS Costing for TOTAL'!$X$2:$Z$2</c:f>
              <c:numCache>
                <c:formatCode>_("$"* #,##0_);_("$"* \(#,##0\);_("$"* "-"??_);_(@_)</c:formatCode>
                <c:ptCount val="3"/>
                <c:pt idx="0">
                  <c:v>1157948320</c:v>
                </c:pt>
                <c:pt idx="1">
                  <c:v>2662047200</c:v>
                </c:pt>
                <c:pt idx="2">
                  <c:v>5132606400</c:v>
                </c:pt>
              </c:numCache>
            </c:numRef>
          </c:val>
          <c:extLst>
            <c:ext xmlns:c16="http://schemas.microsoft.com/office/drawing/2014/chart" uri="{C3380CC4-5D6E-409C-BE32-E72D297353CC}">
              <c16:uniqueId val="{00000000-8A69-4E43-B613-52DC20BAF6F1}"/>
            </c:ext>
          </c:extLst>
        </c:ser>
        <c:ser>
          <c:idx val="1"/>
          <c:order val="1"/>
          <c:tx>
            <c:strRef>
              <c:f>'2018 RBS Costing for TOTAL'!$W$3</c:f>
              <c:strCache>
                <c:ptCount val="1"/>
                <c:pt idx="0">
                  <c:v>Drilling and Completion</c:v>
                </c:pt>
              </c:strCache>
            </c:strRef>
          </c:tx>
          <c:spPr>
            <a:solidFill>
              <a:srgbClr val="FF0000"/>
            </a:solidFill>
            <a:ln>
              <a:noFill/>
            </a:ln>
            <a:effectLst/>
          </c:spPr>
          <c:invertIfNegative val="0"/>
          <c:cat>
            <c:strRef>
              <c:f>'2018 RBS Costing for TOTAL'!$X$1:$Z$1</c:f>
              <c:strCache>
                <c:ptCount val="3"/>
                <c:pt idx="0">
                  <c:v>APS</c:v>
                </c:pt>
                <c:pt idx="1">
                  <c:v>20K Subsea</c:v>
                </c:pt>
                <c:pt idx="2">
                  <c:v>MD2</c:v>
                </c:pt>
              </c:strCache>
            </c:strRef>
          </c:cat>
          <c:val>
            <c:numRef>
              <c:f>'2018 RBS Costing for TOTAL'!$X$3:$Z$3</c:f>
              <c:numCache>
                <c:formatCode>_("$"* #,##0_);_("$"* \(#,##0\);_("$"* "-"??_);_(@_)</c:formatCode>
                <c:ptCount val="3"/>
                <c:pt idx="0">
                  <c:v>1128920000</c:v>
                </c:pt>
                <c:pt idx="1">
                  <c:v>1868200000</c:v>
                </c:pt>
                <c:pt idx="2">
                  <c:v>3428400000</c:v>
                </c:pt>
              </c:numCache>
            </c:numRef>
          </c:val>
          <c:extLst>
            <c:ext xmlns:c16="http://schemas.microsoft.com/office/drawing/2014/chart" uri="{C3380CC4-5D6E-409C-BE32-E72D297353CC}">
              <c16:uniqueId val="{00000001-8A69-4E43-B613-52DC20BAF6F1}"/>
            </c:ext>
          </c:extLst>
        </c:ser>
        <c:ser>
          <c:idx val="2"/>
          <c:order val="2"/>
          <c:tx>
            <c:strRef>
              <c:f>'2018 RBS Costing for TOTAL'!$W$4</c:f>
              <c:strCache>
                <c:ptCount val="1"/>
                <c:pt idx="0">
                  <c:v>Export</c:v>
                </c:pt>
              </c:strCache>
            </c:strRef>
          </c:tx>
          <c:spPr>
            <a:solidFill>
              <a:srgbClr val="00B050"/>
            </a:solidFill>
            <a:ln>
              <a:noFill/>
            </a:ln>
            <a:effectLst/>
          </c:spPr>
          <c:invertIfNegative val="0"/>
          <c:cat>
            <c:strRef>
              <c:f>'2018 RBS Costing for TOTAL'!$X$1:$Z$1</c:f>
              <c:strCache>
                <c:ptCount val="3"/>
                <c:pt idx="0">
                  <c:v>APS</c:v>
                </c:pt>
                <c:pt idx="1">
                  <c:v>20K Subsea</c:v>
                </c:pt>
                <c:pt idx="2">
                  <c:v>MD2</c:v>
                </c:pt>
              </c:strCache>
            </c:strRef>
          </c:cat>
          <c:val>
            <c:numRef>
              <c:f>'2018 RBS Costing for TOTAL'!$X$4:$Z$4</c:f>
              <c:numCache>
                <c:formatCode>_("$"* #,##0_);_("$"* \(#,##0\);_("$"* "-"??_);_(@_)</c:formatCode>
                <c:ptCount val="3"/>
                <c:pt idx="0">
                  <c:v>170000000</c:v>
                </c:pt>
                <c:pt idx="1">
                  <c:v>330000000</c:v>
                </c:pt>
                <c:pt idx="2">
                  <c:v>330000000</c:v>
                </c:pt>
              </c:numCache>
            </c:numRef>
          </c:val>
          <c:extLst>
            <c:ext xmlns:c16="http://schemas.microsoft.com/office/drawing/2014/chart" uri="{C3380CC4-5D6E-409C-BE32-E72D297353CC}">
              <c16:uniqueId val="{00000002-8A69-4E43-B613-52DC20BAF6F1}"/>
            </c:ext>
          </c:extLst>
        </c:ser>
        <c:ser>
          <c:idx val="3"/>
          <c:order val="3"/>
          <c:tx>
            <c:strRef>
              <c:f>'2018 RBS Costing for TOTAL'!$W$5</c:f>
              <c:strCache>
                <c:ptCount val="1"/>
                <c:pt idx="0">
                  <c:v>Installation and HUC</c:v>
                </c:pt>
              </c:strCache>
            </c:strRef>
          </c:tx>
          <c:spPr>
            <a:solidFill>
              <a:schemeClr val="accent4"/>
            </a:solidFill>
            <a:ln>
              <a:noFill/>
            </a:ln>
            <a:effectLst/>
          </c:spPr>
          <c:invertIfNegative val="0"/>
          <c:cat>
            <c:strRef>
              <c:f>'2018 RBS Costing for TOTAL'!$X$1:$Z$1</c:f>
              <c:strCache>
                <c:ptCount val="3"/>
                <c:pt idx="0">
                  <c:v>APS</c:v>
                </c:pt>
                <c:pt idx="1">
                  <c:v>20K Subsea</c:v>
                </c:pt>
                <c:pt idx="2">
                  <c:v>MD2</c:v>
                </c:pt>
              </c:strCache>
            </c:strRef>
          </c:cat>
          <c:val>
            <c:numRef>
              <c:f>'2018 RBS Costing for TOTAL'!$X$5:$Z$5</c:f>
              <c:numCache>
                <c:formatCode>_("$"* #,##0_);_("$"* \(#,##0\);_("$"* "-"??_);_(@_)</c:formatCode>
                <c:ptCount val="3"/>
                <c:pt idx="0">
                  <c:v>185000000</c:v>
                </c:pt>
                <c:pt idx="1">
                  <c:v>400000000</c:v>
                </c:pt>
                <c:pt idx="2">
                  <c:v>400000000</c:v>
                </c:pt>
              </c:numCache>
            </c:numRef>
          </c:val>
          <c:extLst>
            <c:ext xmlns:c16="http://schemas.microsoft.com/office/drawing/2014/chart" uri="{C3380CC4-5D6E-409C-BE32-E72D297353CC}">
              <c16:uniqueId val="{00000003-8A69-4E43-B613-52DC20BAF6F1}"/>
            </c:ext>
          </c:extLst>
        </c:ser>
        <c:dLbls>
          <c:showLegendKey val="0"/>
          <c:showVal val="0"/>
          <c:showCatName val="0"/>
          <c:showSerName val="0"/>
          <c:showPercent val="0"/>
          <c:showBubbleSize val="0"/>
        </c:dLbls>
        <c:gapWidth val="150"/>
        <c:overlap val="100"/>
        <c:axId val="408354232"/>
        <c:axId val="408354560"/>
      </c:barChart>
      <c:catAx>
        <c:axId val="408354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54560"/>
        <c:crosses val="autoZero"/>
        <c:auto val="1"/>
        <c:lblAlgn val="ctr"/>
        <c:lblOffset val="100"/>
        <c:noMultiLvlLbl val="0"/>
      </c:catAx>
      <c:valAx>
        <c:axId val="4083545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54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FID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'2018 RBS Costing for TOTAL'!$W$2</c:f>
              <c:strCache>
                <c:ptCount val="1"/>
                <c:pt idx="0">
                  <c:v>Facilites</c:v>
                </c:pt>
              </c:strCache>
            </c:strRef>
          </c:tx>
          <c:spPr>
            <a:solidFill>
              <a:schemeClr val="accent1"/>
            </a:solidFill>
            <a:ln>
              <a:noFill/>
            </a:ln>
            <a:effectLst/>
          </c:spPr>
          <c:invertIfNegative val="0"/>
          <c:cat>
            <c:strRef>
              <c:f>'2018 RBS Costing for TOTAL'!$X$1:$Y$1</c:f>
              <c:strCache>
                <c:ptCount val="2"/>
                <c:pt idx="0">
                  <c:v>APS</c:v>
                </c:pt>
                <c:pt idx="1">
                  <c:v>20K Subsea</c:v>
                </c:pt>
              </c:strCache>
            </c:strRef>
          </c:cat>
          <c:val>
            <c:numRef>
              <c:f>'2018 RBS Costing for TOTAL'!$X$2:$Y$2</c:f>
              <c:numCache>
                <c:formatCode>_("$"* #,##0_);_("$"* \(#,##0\);_("$"* "-"??_);_(@_)</c:formatCode>
                <c:ptCount val="2"/>
                <c:pt idx="0">
                  <c:v>1157948320</c:v>
                </c:pt>
                <c:pt idx="1">
                  <c:v>2662047200</c:v>
                </c:pt>
              </c:numCache>
            </c:numRef>
          </c:val>
          <c:extLst>
            <c:ext xmlns:c16="http://schemas.microsoft.com/office/drawing/2014/chart" uri="{C3380CC4-5D6E-409C-BE32-E72D297353CC}">
              <c16:uniqueId val="{00000000-24CA-4337-A218-370A7F601628}"/>
            </c:ext>
          </c:extLst>
        </c:ser>
        <c:ser>
          <c:idx val="1"/>
          <c:order val="1"/>
          <c:tx>
            <c:strRef>
              <c:f>'2018 RBS Costing for TOTAL'!$W$3</c:f>
              <c:strCache>
                <c:ptCount val="1"/>
                <c:pt idx="0">
                  <c:v>Drilling and Completion</c:v>
                </c:pt>
              </c:strCache>
            </c:strRef>
          </c:tx>
          <c:spPr>
            <a:solidFill>
              <a:schemeClr val="accent2"/>
            </a:solidFill>
            <a:ln>
              <a:noFill/>
            </a:ln>
            <a:effectLst/>
          </c:spPr>
          <c:invertIfNegative val="0"/>
          <c:cat>
            <c:strRef>
              <c:f>'2018 RBS Costing for TOTAL'!$X$1:$Y$1</c:f>
              <c:strCache>
                <c:ptCount val="2"/>
                <c:pt idx="0">
                  <c:v>APS</c:v>
                </c:pt>
                <c:pt idx="1">
                  <c:v>20K Subsea</c:v>
                </c:pt>
              </c:strCache>
            </c:strRef>
          </c:cat>
          <c:val>
            <c:numRef>
              <c:f>'2018 RBS Costing for TOTAL'!$X$3:$Y$3</c:f>
              <c:numCache>
                <c:formatCode>_("$"* #,##0_);_("$"* \(#,##0\);_("$"* "-"??_);_(@_)</c:formatCode>
                <c:ptCount val="2"/>
                <c:pt idx="0">
                  <c:v>1128920000</c:v>
                </c:pt>
                <c:pt idx="1">
                  <c:v>1868200000</c:v>
                </c:pt>
              </c:numCache>
            </c:numRef>
          </c:val>
          <c:extLst>
            <c:ext xmlns:c16="http://schemas.microsoft.com/office/drawing/2014/chart" uri="{C3380CC4-5D6E-409C-BE32-E72D297353CC}">
              <c16:uniqueId val="{00000001-24CA-4337-A218-370A7F601628}"/>
            </c:ext>
          </c:extLst>
        </c:ser>
        <c:ser>
          <c:idx val="2"/>
          <c:order val="2"/>
          <c:tx>
            <c:strRef>
              <c:f>'2018 RBS Costing for TOTAL'!$W$4</c:f>
              <c:strCache>
                <c:ptCount val="1"/>
                <c:pt idx="0">
                  <c:v>Export</c:v>
                </c:pt>
              </c:strCache>
            </c:strRef>
          </c:tx>
          <c:spPr>
            <a:solidFill>
              <a:schemeClr val="accent3"/>
            </a:solidFill>
            <a:ln>
              <a:noFill/>
            </a:ln>
            <a:effectLst/>
          </c:spPr>
          <c:invertIfNegative val="0"/>
          <c:cat>
            <c:strRef>
              <c:f>'2018 RBS Costing for TOTAL'!$X$1:$Y$1</c:f>
              <c:strCache>
                <c:ptCount val="2"/>
                <c:pt idx="0">
                  <c:v>APS</c:v>
                </c:pt>
                <c:pt idx="1">
                  <c:v>20K Subsea</c:v>
                </c:pt>
              </c:strCache>
            </c:strRef>
          </c:cat>
          <c:val>
            <c:numRef>
              <c:f>'2018 RBS Costing for TOTAL'!$X$4:$Y$4</c:f>
              <c:numCache>
                <c:formatCode>_("$"* #,##0_);_("$"* \(#,##0\);_("$"* "-"??_);_(@_)</c:formatCode>
                <c:ptCount val="2"/>
                <c:pt idx="0">
                  <c:v>170000000</c:v>
                </c:pt>
                <c:pt idx="1">
                  <c:v>330000000</c:v>
                </c:pt>
              </c:numCache>
            </c:numRef>
          </c:val>
          <c:extLst>
            <c:ext xmlns:c16="http://schemas.microsoft.com/office/drawing/2014/chart" uri="{C3380CC4-5D6E-409C-BE32-E72D297353CC}">
              <c16:uniqueId val="{00000002-24CA-4337-A218-370A7F601628}"/>
            </c:ext>
          </c:extLst>
        </c:ser>
        <c:ser>
          <c:idx val="3"/>
          <c:order val="3"/>
          <c:tx>
            <c:strRef>
              <c:f>'2018 RBS Costing for TOTAL'!$W$5</c:f>
              <c:strCache>
                <c:ptCount val="1"/>
                <c:pt idx="0">
                  <c:v>Installation and HUC</c:v>
                </c:pt>
              </c:strCache>
            </c:strRef>
          </c:tx>
          <c:spPr>
            <a:solidFill>
              <a:schemeClr val="accent4"/>
            </a:solidFill>
            <a:ln>
              <a:noFill/>
            </a:ln>
            <a:effectLst/>
          </c:spPr>
          <c:invertIfNegative val="0"/>
          <c:cat>
            <c:strRef>
              <c:f>'2018 RBS Costing for TOTAL'!$X$1:$Y$1</c:f>
              <c:strCache>
                <c:ptCount val="2"/>
                <c:pt idx="0">
                  <c:v>APS</c:v>
                </c:pt>
                <c:pt idx="1">
                  <c:v>20K Subsea</c:v>
                </c:pt>
              </c:strCache>
            </c:strRef>
          </c:cat>
          <c:val>
            <c:numRef>
              <c:f>'2018 RBS Costing for TOTAL'!$X$5:$Y$5</c:f>
              <c:numCache>
                <c:formatCode>_("$"* #,##0_);_("$"* \(#,##0\);_("$"* "-"??_);_(@_)</c:formatCode>
                <c:ptCount val="2"/>
                <c:pt idx="0">
                  <c:v>185000000</c:v>
                </c:pt>
                <c:pt idx="1">
                  <c:v>400000000</c:v>
                </c:pt>
              </c:numCache>
            </c:numRef>
          </c:val>
          <c:extLst>
            <c:ext xmlns:c16="http://schemas.microsoft.com/office/drawing/2014/chart" uri="{C3380CC4-5D6E-409C-BE32-E72D297353CC}">
              <c16:uniqueId val="{00000003-24CA-4337-A218-370A7F601628}"/>
            </c:ext>
          </c:extLst>
        </c:ser>
        <c:dLbls>
          <c:showLegendKey val="0"/>
          <c:showVal val="0"/>
          <c:showCatName val="0"/>
          <c:showSerName val="0"/>
          <c:showPercent val="0"/>
          <c:showBubbleSize val="0"/>
        </c:dLbls>
        <c:gapWidth val="150"/>
        <c:overlap val="100"/>
        <c:axId val="400894768"/>
        <c:axId val="400894112"/>
      </c:barChart>
      <c:catAx>
        <c:axId val="40089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94112"/>
        <c:crosses val="autoZero"/>
        <c:auto val="1"/>
        <c:lblAlgn val="ctr"/>
        <c:lblOffset val="100"/>
        <c:noMultiLvlLbl val="0"/>
      </c:catAx>
      <c:valAx>
        <c:axId val="40089411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9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4.emf"/></Relationships>
</file>

<file path=xl/drawings/_rels/drawing7.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11</xdr:col>
      <xdr:colOff>95250</xdr:colOff>
      <xdr:row>1</xdr:row>
      <xdr:rowOff>127000</xdr:rowOff>
    </xdr:from>
    <xdr:to>
      <xdr:col>18</xdr:col>
      <xdr:colOff>520701</xdr:colOff>
      <xdr:row>25</xdr:row>
      <xdr:rowOff>177800</xdr:rowOff>
    </xdr:to>
    <xdr:pic>
      <xdr:nvPicPr>
        <xdr:cNvPr id="2" name="Picture 1">
          <a:extLst>
            <a:ext uri="{FF2B5EF4-FFF2-40B4-BE49-F238E27FC236}">
              <a16:creationId xmlns:a16="http://schemas.microsoft.com/office/drawing/2014/main" id="{4CA3B1D7-6B2C-49DE-B6E4-BFD83CFF234C}"/>
            </a:ext>
          </a:extLst>
        </xdr:cNvPr>
        <xdr:cNvPicPr>
          <a:picLocks noChangeAspect="1"/>
        </xdr:cNvPicPr>
      </xdr:nvPicPr>
      <xdr:blipFill rotWithShape="1">
        <a:blip xmlns:r="http://schemas.openxmlformats.org/officeDocument/2006/relationships" r:embed="rId1"/>
        <a:srcRect t="10185" r="26686" b="7275"/>
        <a:stretch/>
      </xdr:blipFill>
      <xdr:spPr>
        <a:xfrm>
          <a:off x="6915150" y="361950"/>
          <a:ext cx="4692650" cy="3962400"/>
        </a:xfrm>
        <a:prstGeom prst="rect">
          <a:avLst/>
        </a:prstGeom>
      </xdr:spPr>
    </xdr:pic>
    <xdr:clientData/>
  </xdr:twoCellAnchor>
  <xdr:twoCellAnchor editAs="oneCell">
    <xdr:from>
      <xdr:col>11</xdr:col>
      <xdr:colOff>184150</xdr:colOff>
      <xdr:row>26</xdr:row>
      <xdr:rowOff>71688</xdr:rowOff>
    </xdr:from>
    <xdr:to>
      <xdr:col>18</xdr:col>
      <xdr:colOff>311480</xdr:colOff>
      <xdr:row>46</xdr:row>
      <xdr:rowOff>32029</xdr:rowOff>
    </xdr:to>
    <xdr:pic>
      <xdr:nvPicPr>
        <xdr:cNvPr id="3" name="Picture 2">
          <a:extLst>
            <a:ext uri="{FF2B5EF4-FFF2-40B4-BE49-F238E27FC236}">
              <a16:creationId xmlns:a16="http://schemas.microsoft.com/office/drawing/2014/main" id="{7B13157C-3CD1-414D-93F0-2482CC1D7B69}"/>
            </a:ext>
          </a:extLst>
        </xdr:cNvPr>
        <xdr:cNvPicPr>
          <a:picLocks noChangeAspect="1"/>
        </xdr:cNvPicPr>
      </xdr:nvPicPr>
      <xdr:blipFill>
        <a:blip xmlns:r="http://schemas.openxmlformats.org/officeDocument/2006/relationships" r:embed="rId2"/>
        <a:stretch>
          <a:fillRect/>
        </a:stretch>
      </xdr:blipFill>
      <xdr:spPr>
        <a:xfrm>
          <a:off x="7004050" y="4275388"/>
          <a:ext cx="4394529" cy="3744941"/>
        </a:xfrm>
        <a:prstGeom prst="rect">
          <a:avLst/>
        </a:prstGeom>
      </xdr:spPr>
    </xdr:pic>
    <xdr:clientData/>
  </xdr:twoCellAnchor>
  <xdr:twoCellAnchor editAs="oneCell">
    <xdr:from>
      <xdr:col>19</xdr:col>
      <xdr:colOff>203200</xdr:colOff>
      <xdr:row>12</xdr:row>
      <xdr:rowOff>152400</xdr:rowOff>
    </xdr:from>
    <xdr:to>
      <xdr:col>21</xdr:col>
      <xdr:colOff>212725</xdr:colOff>
      <xdr:row>21</xdr:row>
      <xdr:rowOff>76200</xdr:rowOff>
    </xdr:to>
    <xdr:pic>
      <xdr:nvPicPr>
        <xdr:cNvPr id="6" name="Picture 5">
          <a:extLst>
            <a:ext uri="{FF2B5EF4-FFF2-40B4-BE49-F238E27FC236}">
              <a16:creationId xmlns:a16="http://schemas.microsoft.com/office/drawing/2014/main" id="{128829C6-7517-46EC-84E4-803FF6486ACC}"/>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99900" y="2667000"/>
          <a:ext cx="1228725" cy="16002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31751</xdr:colOff>
      <xdr:row>2</xdr:row>
      <xdr:rowOff>107245</xdr:rowOff>
    </xdr:from>
    <xdr:to>
      <xdr:col>18</xdr:col>
      <xdr:colOff>460023</xdr:colOff>
      <xdr:row>22</xdr:row>
      <xdr:rowOff>143933</xdr:rowOff>
    </xdr:to>
    <xdr:pic>
      <xdr:nvPicPr>
        <xdr:cNvPr id="3" name="Picture 2">
          <a:extLst>
            <a:ext uri="{FF2B5EF4-FFF2-40B4-BE49-F238E27FC236}">
              <a16:creationId xmlns:a16="http://schemas.microsoft.com/office/drawing/2014/main" id="{2842F788-B264-4017-BA7E-FC2988B64E60}"/>
            </a:ext>
          </a:extLst>
        </xdr:cNvPr>
        <xdr:cNvPicPr>
          <a:picLocks noChangeAspect="1"/>
        </xdr:cNvPicPr>
      </xdr:nvPicPr>
      <xdr:blipFill rotWithShape="1">
        <a:blip xmlns:r="http://schemas.openxmlformats.org/officeDocument/2006/relationships" r:embed="rId1"/>
        <a:srcRect t="10185" r="26686" b="7275"/>
        <a:stretch/>
      </xdr:blipFill>
      <xdr:spPr>
        <a:xfrm>
          <a:off x="9345084" y="537634"/>
          <a:ext cx="4675717" cy="39454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59265</xdr:colOff>
      <xdr:row>6</xdr:row>
      <xdr:rowOff>26109</xdr:rowOff>
    </xdr:from>
    <xdr:to>
      <xdr:col>17</xdr:col>
      <xdr:colOff>331610</xdr:colOff>
      <xdr:row>19</xdr:row>
      <xdr:rowOff>35278</xdr:rowOff>
    </xdr:to>
    <xdr:sp macro="" textlink="">
      <xdr:nvSpPr>
        <xdr:cNvPr id="2" name="TextBox 1">
          <a:extLst>
            <a:ext uri="{FF2B5EF4-FFF2-40B4-BE49-F238E27FC236}">
              <a16:creationId xmlns:a16="http://schemas.microsoft.com/office/drawing/2014/main" id="{FD4555E9-FAED-4D20-AA50-ECF160D991CE}"/>
            </a:ext>
          </a:extLst>
        </xdr:cNvPr>
        <xdr:cNvSpPr txBox="1"/>
      </xdr:nvSpPr>
      <xdr:spPr>
        <a:xfrm>
          <a:off x="9908821" y="209553"/>
          <a:ext cx="5126567" cy="331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ROY, 20200908</a:t>
          </a:r>
        </a:p>
        <a:p>
          <a:r>
            <a:rPr lang="en-US" sz="1200">
              <a:solidFill>
                <a:schemeClr val="dk1"/>
              </a:solidFill>
              <a:effectLst/>
              <a:latin typeface="+mn-lt"/>
              <a:ea typeface="+mn-ea"/>
              <a:cs typeface="+mn-cs"/>
            </a:rPr>
            <a:t>Here are some more updates.</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Average of 4 developments = 8 completions for $7.14B</a:t>
          </a:r>
        </a:p>
        <a:p>
          <a:r>
            <a:rPr lang="en-US" sz="1200">
              <a:solidFill>
                <a:schemeClr val="dk1"/>
              </a:solidFill>
              <a:effectLst/>
              <a:latin typeface="+mn-lt"/>
              <a:ea typeface="+mn-ea"/>
              <a:cs typeface="+mn-cs"/>
            </a:rPr>
            <a:t>For 5 completions = $4.48B</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FrPS = 5 completions for $2.53B</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Recovery from first completion is about 28M bbls</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Recovery from first completion + redrill and recompletion = 60.5M bbls.</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The cost of 5 subsea redrills (with 1 sidetrack each) = $2,072M</a:t>
          </a:r>
        </a:p>
        <a:p>
          <a:r>
            <a:rPr lang="en-US" sz="1200">
              <a:solidFill>
                <a:schemeClr val="dk1"/>
              </a:solidFill>
              <a:effectLst/>
              <a:latin typeface="+mn-lt"/>
              <a:ea typeface="+mn-ea"/>
              <a:cs typeface="+mn-cs"/>
            </a:rPr>
            <a:t>The Cost of 5 FrPs redrils (with 1 sidetrack each) = $890M</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Cost of 5 subsea with redrills = $6.55B</a:t>
          </a:r>
        </a:p>
        <a:p>
          <a:r>
            <a:rPr lang="en-US" sz="1200">
              <a:solidFill>
                <a:schemeClr val="dk1"/>
              </a:solidFill>
              <a:effectLst/>
              <a:latin typeface="+mn-lt"/>
              <a:ea typeface="+mn-ea"/>
              <a:cs typeface="+mn-cs"/>
            </a:rPr>
            <a:t>Cost of 5 FrPs with redrills = $3.42B</a:t>
          </a:r>
        </a:p>
      </xdr:txBody>
    </xdr:sp>
    <xdr:clientData/>
  </xdr:twoCellAnchor>
  <xdr:twoCellAnchor editAs="oneCell">
    <xdr:from>
      <xdr:col>9</xdr:col>
      <xdr:colOff>42807</xdr:colOff>
      <xdr:row>19</xdr:row>
      <xdr:rowOff>141111</xdr:rowOff>
    </xdr:from>
    <xdr:to>
      <xdr:col>16</xdr:col>
      <xdr:colOff>577889</xdr:colOff>
      <xdr:row>36</xdr:row>
      <xdr:rowOff>162278</xdr:rowOff>
    </xdr:to>
    <xdr:pic>
      <xdr:nvPicPr>
        <xdr:cNvPr id="3" name="Picture 2">
          <a:extLst>
            <a:ext uri="{FF2B5EF4-FFF2-40B4-BE49-F238E27FC236}">
              <a16:creationId xmlns:a16="http://schemas.microsoft.com/office/drawing/2014/main" id="{B6DA2930-2025-4DE5-8874-69E32FBEF08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2714"/>
        <a:stretch/>
      </xdr:blipFill>
      <xdr:spPr bwMode="auto">
        <a:xfrm>
          <a:off x="9892363" y="3633611"/>
          <a:ext cx="4782527" cy="31467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95251</xdr:colOff>
      <xdr:row>16</xdr:row>
      <xdr:rowOff>127000</xdr:rowOff>
    </xdr:from>
    <xdr:to>
      <xdr:col>8</xdr:col>
      <xdr:colOff>552451</xdr:colOff>
      <xdr:row>41</xdr:row>
      <xdr:rowOff>146049</xdr:rowOff>
    </xdr:to>
    <xdr:graphicFrame macro="">
      <xdr:nvGraphicFramePr>
        <xdr:cNvPr id="2" name="Chart 1">
          <a:extLst>
            <a:ext uri="{FF2B5EF4-FFF2-40B4-BE49-F238E27FC236}">
              <a16:creationId xmlns:a16="http://schemas.microsoft.com/office/drawing/2014/main" id="{A194BC00-5AB9-492E-B08D-90580A3A7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473075</xdr:colOff>
      <xdr:row>14</xdr:row>
      <xdr:rowOff>66675</xdr:rowOff>
    </xdr:from>
    <xdr:to>
      <xdr:col>35</xdr:col>
      <xdr:colOff>168275</xdr:colOff>
      <xdr:row>29</xdr:row>
      <xdr:rowOff>47625</xdr:rowOff>
    </xdr:to>
    <xdr:graphicFrame macro="">
      <xdr:nvGraphicFramePr>
        <xdr:cNvPr id="3" name="Chart 2">
          <a:extLst>
            <a:ext uri="{FF2B5EF4-FFF2-40B4-BE49-F238E27FC236}">
              <a16:creationId xmlns:a16="http://schemas.microsoft.com/office/drawing/2014/main" id="{7F4B26D0-5021-450E-A9AD-E5BE70512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196850</xdr:colOff>
      <xdr:row>7</xdr:row>
      <xdr:rowOff>50799</xdr:rowOff>
    </xdr:from>
    <xdr:to>
      <xdr:col>36</xdr:col>
      <xdr:colOff>488950</xdr:colOff>
      <xdr:row>32</xdr:row>
      <xdr:rowOff>60324</xdr:rowOff>
    </xdr:to>
    <xdr:graphicFrame macro="">
      <xdr:nvGraphicFramePr>
        <xdr:cNvPr id="4" name="Chart 3">
          <a:extLst>
            <a:ext uri="{FF2B5EF4-FFF2-40B4-BE49-F238E27FC236}">
              <a16:creationId xmlns:a16="http://schemas.microsoft.com/office/drawing/2014/main" id="{909D8628-7A7E-46DD-810F-18653092B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0.19449</cdr:x>
      <cdr:y>0.07509</cdr:y>
    </cdr:from>
    <cdr:to>
      <cdr:x>0.83531</cdr:x>
      <cdr:y>0.12087</cdr:y>
    </cdr:to>
    <cdr:sp macro="" textlink="">
      <cdr:nvSpPr>
        <cdr:cNvPr id="2" name="TextBox 1">
          <a:extLst xmlns:a="http://schemas.openxmlformats.org/drawingml/2006/main">
            <a:ext uri="{FF2B5EF4-FFF2-40B4-BE49-F238E27FC236}">
              <a16:creationId xmlns:a16="http://schemas.microsoft.com/office/drawing/2014/main" id="{58620306-D1CF-4F1C-B51C-215B8359D2D4}"/>
            </a:ext>
          </a:extLst>
        </cdr:cNvPr>
        <cdr:cNvSpPr txBox="1"/>
      </cdr:nvSpPr>
      <cdr:spPr>
        <a:xfrm xmlns:a="http://schemas.openxmlformats.org/drawingml/2006/main">
          <a:off x="1867377" y="390540"/>
          <a:ext cx="6152641" cy="2380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Reference Sanction Costs Announced</a:t>
          </a:r>
          <a:r>
            <a:rPr lang="en-US" sz="1100" b="1" baseline="0"/>
            <a:t> By BP for Mad Dog 2 - 20 Wells</a:t>
          </a:r>
          <a:endParaRPr lang="en-US" sz="1100" b="1"/>
        </a:p>
      </cdr:txBody>
    </cdr:sp>
  </cdr:relSizeAnchor>
  <cdr:relSizeAnchor xmlns:cdr="http://schemas.openxmlformats.org/drawingml/2006/chartDrawing">
    <cdr:from>
      <cdr:x>0.14729</cdr:x>
      <cdr:y>0.33333</cdr:y>
    </cdr:from>
    <cdr:to>
      <cdr:x>0.46512</cdr:x>
      <cdr:y>0.36813</cdr:y>
    </cdr:to>
    <cdr:sp macro="" textlink="">
      <cdr:nvSpPr>
        <cdr:cNvPr id="3" name="TextBox 2">
          <a:extLst xmlns:a="http://schemas.openxmlformats.org/drawingml/2006/main">
            <a:ext uri="{FF2B5EF4-FFF2-40B4-BE49-F238E27FC236}">
              <a16:creationId xmlns:a16="http://schemas.microsoft.com/office/drawing/2014/main" id="{B9C5307E-7F3B-41AB-B84A-344A2BF50E56}"/>
            </a:ext>
          </a:extLst>
        </cdr:cNvPr>
        <cdr:cNvSpPr txBox="1"/>
      </cdr:nvSpPr>
      <cdr:spPr>
        <a:xfrm xmlns:a="http://schemas.openxmlformats.org/drawingml/2006/main">
          <a:off x="1085850" y="1733550"/>
          <a:ext cx="2343150" cy="180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Purpose Built</a:t>
          </a:r>
          <a:r>
            <a:rPr lang="en-US" sz="1100" b="1" baseline="0"/>
            <a:t> Semi with 20K Subsea</a:t>
          </a:r>
          <a:endParaRPr lang="en-US" sz="1100" b="1"/>
        </a:p>
      </cdr:txBody>
    </cdr:sp>
  </cdr:relSizeAnchor>
  <cdr:relSizeAnchor xmlns:cdr="http://schemas.openxmlformats.org/drawingml/2006/chartDrawing">
    <cdr:from>
      <cdr:x>0.0857</cdr:x>
      <cdr:y>0.55372</cdr:y>
    </cdr:from>
    <cdr:to>
      <cdr:x>0.31654</cdr:x>
      <cdr:y>0.60623</cdr:y>
    </cdr:to>
    <cdr:sp macro="" textlink="">
      <cdr:nvSpPr>
        <cdr:cNvPr id="4" name="TextBox 1">
          <a:extLst xmlns:a="http://schemas.openxmlformats.org/drawingml/2006/main">
            <a:ext uri="{FF2B5EF4-FFF2-40B4-BE49-F238E27FC236}">
              <a16:creationId xmlns:a16="http://schemas.microsoft.com/office/drawing/2014/main" id="{52FB6B85-9E99-4EC5-A53C-7EFA902D57FE}"/>
            </a:ext>
          </a:extLst>
        </cdr:cNvPr>
        <cdr:cNvSpPr txBox="1"/>
      </cdr:nvSpPr>
      <cdr:spPr>
        <a:xfrm xmlns:a="http://schemas.openxmlformats.org/drawingml/2006/main">
          <a:off x="631825" y="2879725"/>
          <a:ext cx="1701800" cy="2730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Converted 6th Gen APS</a:t>
          </a:r>
        </a:p>
      </cdr:txBody>
    </cdr:sp>
  </cdr:relSizeAnchor>
</c:userShapes>
</file>

<file path=xl/drawings/drawing6.xml><?xml version="1.0" encoding="utf-8"?>
<xdr:wsDr xmlns:xdr="http://schemas.openxmlformats.org/drawingml/2006/spreadsheetDrawing" xmlns:a="http://schemas.openxmlformats.org/drawingml/2006/main">
  <xdr:twoCellAnchor>
    <xdr:from>
      <xdr:col>8</xdr:col>
      <xdr:colOff>134056</xdr:colOff>
      <xdr:row>0</xdr:row>
      <xdr:rowOff>108656</xdr:rowOff>
    </xdr:from>
    <xdr:to>
      <xdr:col>19</xdr:col>
      <xdr:colOff>518584</xdr:colOff>
      <xdr:row>20</xdr:row>
      <xdr:rowOff>177801</xdr:rowOff>
    </xdr:to>
    <xdr:sp macro="" textlink="">
      <xdr:nvSpPr>
        <xdr:cNvPr id="2" name="TextBox 1">
          <a:extLst>
            <a:ext uri="{FF2B5EF4-FFF2-40B4-BE49-F238E27FC236}">
              <a16:creationId xmlns:a16="http://schemas.microsoft.com/office/drawing/2014/main" id="{A2AC39E4-3206-4CE5-B2BB-9621E6BC9A84}"/>
            </a:ext>
          </a:extLst>
        </xdr:cNvPr>
        <xdr:cNvSpPr txBox="1"/>
      </xdr:nvSpPr>
      <xdr:spPr>
        <a:xfrm>
          <a:off x="6032500" y="108656"/>
          <a:ext cx="7059084" cy="37944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from</a:t>
          </a:r>
          <a:r>
            <a:rPr lang="en-US" sz="1100" b="1" baseline="0">
              <a:solidFill>
                <a:schemeClr val="dk1"/>
              </a:solidFill>
              <a:effectLst/>
              <a:latin typeface="+mn-lt"/>
              <a:ea typeface="+mn-ea"/>
              <a:cs typeface="+mn-cs"/>
            </a:rPr>
            <a:t> ROY 20200827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 I have been able to locate this same information in a couple of different articles.   </a:t>
          </a:r>
        </a:p>
        <a:p>
          <a:r>
            <a:rPr lang="en-US" sz="1100">
              <a:solidFill>
                <a:schemeClr val="dk1"/>
              </a:solidFill>
              <a:effectLst/>
              <a:latin typeface="+mn-lt"/>
              <a:ea typeface="+mn-ea"/>
              <a:cs typeface="+mn-cs"/>
            </a:rPr>
            <a:t>Looks like the initial project sanction of </a:t>
          </a:r>
          <a:r>
            <a:rPr lang="en-US" sz="1100" b="1">
              <a:solidFill>
                <a:schemeClr val="dk1"/>
              </a:solidFill>
              <a:effectLst/>
              <a:latin typeface="+mn-lt"/>
              <a:ea typeface="+mn-ea"/>
              <a:cs typeface="+mn-cs"/>
            </a:rPr>
            <a:t>the [JSM]</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subsea system included 12 wells, manifolds, pumps, controls, flowlines, chokes etc. for $2.5 billion or 2500000000/12 = $200M per well</a:t>
          </a:r>
          <a:r>
            <a:rPr lang="en-US" sz="1100">
              <a:solidFill>
                <a:schemeClr val="dk1"/>
              </a:solidFill>
              <a:effectLst/>
              <a:latin typeface="+mn-lt"/>
              <a:ea typeface="+mn-ea"/>
              <a:cs typeface="+mn-cs"/>
            </a:rPr>
            <a:t>.  Combined with the drilling and completion costs of about $250 - $300 per well, the total cost of subsea producer with SURF is about $500M per well.  We probably should note these references in the paper, so people know where they came from.</a:t>
          </a:r>
        </a:p>
        <a:p>
          <a:r>
            <a:rPr lang="en-US" sz="1100" b="1">
              <a:solidFill>
                <a:schemeClr val="dk1"/>
              </a:solidFill>
              <a:effectLst/>
              <a:latin typeface="+mn-lt"/>
              <a:ea typeface="+mn-ea"/>
              <a:cs typeface="+mn-cs"/>
            </a:rPr>
            <a:t>For a dry tree well</a:t>
          </a:r>
          <a:r>
            <a:rPr lang="en-US" sz="1100">
              <a:solidFill>
                <a:schemeClr val="dk1"/>
              </a:solidFill>
              <a:effectLst/>
              <a:latin typeface="+mn-lt"/>
              <a:ea typeface="+mn-ea"/>
              <a:cs typeface="+mn-cs"/>
            </a:rPr>
            <a:t>, assume ½ the drilling takes place with a MODU finished by the FrPS = 85 days * 800000$/day + 85*400000$/day </a:t>
          </a:r>
          <a:r>
            <a:rPr lang="en-US" sz="1100" b="1">
              <a:solidFill>
                <a:schemeClr val="dk1"/>
              </a:solidFill>
              <a:effectLst/>
              <a:latin typeface="+mn-lt"/>
              <a:ea typeface="+mn-ea"/>
              <a:cs typeface="+mn-cs"/>
            </a:rPr>
            <a:t>+ $20M for tangibles </a:t>
          </a:r>
          <a:r>
            <a:rPr lang="en-US" sz="1100">
              <a:solidFill>
                <a:schemeClr val="dk1"/>
              </a:solidFill>
              <a:effectLst/>
              <a:latin typeface="+mn-lt"/>
              <a:ea typeface="+mn-ea"/>
              <a:cs typeface="+mn-cs"/>
            </a:rPr>
            <a:t>= $122M.  Completion by the FrPS 90 days*400000$/day+$20M for tangibles = $56M.  Total FrPS well cost = $178M</a:t>
          </a:r>
        </a:p>
        <a:p>
          <a:r>
            <a:rPr lang="en-US" sz="1100">
              <a:solidFill>
                <a:schemeClr val="dk1"/>
              </a:solidFill>
              <a:effectLst/>
              <a:latin typeface="+mn-lt"/>
              <a:ea typeface="+mn-ea"/>
              <a:cs typeface="+mn-cs"/>
            </a:rPr>
            <a:t>As far as estimated recovery for a subsea well, if we look at Stones, you could assume that a well starts around 15,000 bbl/day and declines about 165 bbls/day/per month, hence the life of one well is less than 7 years and estimated recovery is 20,680,000 bbls per well </a:t>
          </a:r>
        </a:p>
        <a:p>
          <a:endParaRPr lang="en-US" sz="1100">
            <a:solidFill>
              <a:schemeClr val="dk1"/>
            </a:solidFill>
            <a:effectLst/>
            <a:latin typeface="+mn-lt"/>
            <a:ea typeface="+mn-ea"/>
            <a:cs typeface="+mn-cs"/>
          </a:endParaRPr>
        </a:p>
        <a:p>
          <a:r>
            <a:rPr lang="en-US" sz="1100"/>
            <a:t>Then on 20200828 - </a:t>
          </a:r>
        </a:p>
        <a:p>
          <a:r>
            <a:rPr lang="en-US" sz="1100">
              <a:solidFill>
                <a:schemeClr val="dk1"/>
              </a:solidFill>
              <a:effectLst/>
              <a:latin typeface="+mn-lt"/>
              <a:ea typeface="+mn-ea"/>
              <a:cs typeface="+mn-cs"/>
            </a:rPr>
            <a:t>I don’t think that the well will continue to produce down to less than 1,000 bbl per day and it is very likely that completion problems may shut the well in sooner.    At rates below a few thousand bbls per day a recompletion and redrill may not be economic.   </a:t>
          </a:r>
        </a:p>
        <a:p>
          <a:r>
            <a:rPr lang="en-US" sz="1100">
              <a:solidFill>
                <a:schemeClr val="dk1"/>
              </a:solidFill>
              <a:effectLst/>
              <a:latin typeface="+mn-lt"/>
              <a:ea typeface="+mn-ea"/>
              <a:cs typeface="+mn-cs"/>
            </a:rPr>
            <a:t>Also, looking at the spreadsheet, it looks like </a:t>
          </a:r>
          <a:r>
            <a:rPr lang="en-US" sz="1100" b="1">
              <a:solidFill>
                <a:schemeClr val="dk1"/>
              </a:solidFill>
              <a:effectLst/>
              <a:latin typeface="+mn-lt"/>
              <a:ea typeface="+mn-ea"/>
              <a:cs typeface="+mn-cs"/>
            </a:rPr>
            <a:t>through the end of 2019 Shell had drilled at least 20 wellbores (including sidetracks) on Stones</a:t>
          </a:r>
          <a:r>
            <a:rPr lang="en-US" sz="1100">
              <a:solidFill>
                <a:schemeClr val="dk1"/>
              </a:solidFill>
              <a:effectLst/>
              <a:latin typeface="+mn-lt"/>
              <a:ea typeface="+mn-ea"/>
              <a:cs typeface="+mn-cs"/>
            </a:rPr>
            <a:t>, but had only 7 completions or about 33% of the wells.  From the production data, only 2 of those completions appear to be any good or about 10% of the wells.  I added up the total drilling and completion days for a total of 2120 days or about 2120*1100000+(16*20000000+7*20000000) = $2,792,000,00 drilling and completion dollars for 2 decent completions.</a:t>
          </a:r>
          <a:endParaRPr lang="en-US" sz="1100"/>
        </a:p>
      </xdr:txBody>
    </xdr:sp>
    <xdr:clientData/>
  </xdr:twoCellAnchor>
  <xdr:twoCellAnchor>
    <xdr:from>
      <xdr:col>14</xdr:col>
      <xdr:colOff>560209</xdr:colOff>
      <xdr:row>19</xdr:row>
      <xdr:rowOff>181329</xdr:rowOff>
    </xdr:from>
    <xdr:to>
      <xdr:col>21</xdr:col>
      <xdr:colOff>282222</xdr:colOff>
      <xdr:row>29</xdr:row>
      <xdr:rowOff>176390</xdr:rowOff>
    </xdr:to>
    <xdr:sp macro="" textlink="">
      <xdr:nvSpPr>
        <xdr:cNvPr id="3" name="TextBox 2">
          <a:extLst>
            <a:ext uri="{FF2B5EF4-FFF2-40B4-BE49-F238E27FC236}">
              <a16:creationId xmlns:a16="http://schemas.microsoft.com/office/drawing/2014/main" id="{C95DC159-5495-4790-A9E2-A9A2344B9F62}"/>
            </a:ext>
          </a:extLst>
        </xdr:cNvPr>
        <xdr:cNvSpPr txBox="1"/>
      </xdr:nvSpPr>
      <xdr:spPr>
        <a:xfrm>
          <a:off x="9711265" y="3709107"/>
          <a:ext cx="3969457" cy="18436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OFFSHORE STAFF (20150123) - OneSubsea, through one of its predecessors, was awarded the subsea production systems contract in 2010. The scope included the delivery of </a:t>
          </a:r>
          <a:r>
            <a:rPr lang="en-US" sz="1200" b="1"/>
            <a:t>12</a:t>
          </a:r>
          <a:r>
            <a:rPr lang="en-US" sz="1100"/>
            <a:t> 15,000-psi subsea wellhead trees, production controls, 4 manifolds and associated connection systems, engineering and project management.</a:t>
          </a:r>
        </a:p>
        <a:p>
          <a:r>
            <a:rPr lang="en-US" sz="1100"/>
            <a:t>In 2011, through another of its predecessor companies was awarded the subsea processing systems contract for 3 pump stations, 3 subsea pump control modules and associated control and instrumentation equipment.</a:t>
          </a:r>
        </a:p>
      </xdr:txBody>
    </xdr:sp>
    <xdr:clientData/>
  </xdr:twoCellAnchor>
  <xdr:twoCellAnchor>
    <xdr:from>
      <xdr:col>8</xdr:col>
      <xdr:colOff>296332</xdr:colOff>
      <xdr:row>21</xdr:row>
      <xdr:rowOff>35279</xdr:rowOff>
    </xdr:from>
    <xdr:to>
      <xdr:col>13</xdr:col>
      <xdr:colOff>551743</xdr:colOff>
      <xdr:row>34</xdr:row>
      <xdr:rowOff>31752</xdr:rowOff>
    </xdr:to>
    <xdr:sp macro="" textlink="">
      <xdr:nvSpPr>
        <xdr:cNvPr id="4" name="TextBox 3">
          <a:extLst>
            <a:ext uri="{FF2B5EF4-FFF2-40B4-BE49-F238E27FC236}">
              <a16:creationId xmlns:a16="http://schemas.microsoft.com/office/drawing/2014/main" id="{6749151D-0AE1-485D-9076-55E082186A72}"/>
            </a:ext>
          </a:extLst>
        </xdr:cNvPr>
        <xdr:cNvSpPr txBox="1"/>
      </xdr:nvSpPr>
      <xdr:spPr>
        <a:xfrm>
          <a:off x="6194776" y="3944057"/>
          <a:ext cx="3289300" cy="2381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EIA – UPSTREAM COST STUDY</a:t>
          </a:r>
          <a:r>
            <a:rPr lang="en-US" sz="1100"/>
            <a:t>, IHS March</a:t>
          </a:r>
          <a:r>
            <a:rPr lang="en-US" sz="1100" baseline="0"/>
            <a:t> 2016</a:t>
          </a:r>
          <a:endParaRPr lang="en-US" sz="1100"/>
        </a:p>
        <a:p>
          <a:r>
            <a:rPr lang="en-US" sz="1100"/>
            <a:t>Figure 9-20 shows that of the total $12 billion estimated project cost, 60% will be spent on drilling and completion of subsea wells (each costing  about $240MM per well, which is a typical well cost for Lower Tertiary HPHT wells).  A cost of $1.5 billion is estimated for the semisubmersible platform.   </a:t>
          </a:r>
          <a:r>
            <a:rPr lang="en-US" sz="1100" b="1"/>
            <a:t>A $2.5 billion subsea system cost is comprised of 4 subsea clusters, 3 flowlines connecting clusters to risers, 2 flexible risers reaching the platform, 6 water injection subsea manifolds, and one subsea pump</a:t>
          </a:r>
          <a:r>
            <a:rPr lang="en-US" sz="1100"/>
            <a:t>. A </a:t>
          </a:r>
          <a:r>
            <a:rPr lang="en-US" sz="1100" b="1">
              <a:solidFill>
                <a:srgbClr val="FF0000"/>
              </a:solidFill>
            </a:rPr>
            <a:t>HPHT resistant subsea pump costs around $300MM</a:t>
          </a:r>
          <a:r>
            <a:rPr lang="en-US" sz="1100"/>
            <a:t>.</a:t>
          </a:r>
        </a:p>
      </xdr:txBody>
    </xdr:sp>
    <xdr:clientData/>
  </xdr:twoCellAnchor>
  <xdr:twoCellAnchor editAs="oneCell">
    <xdr:from>
      <xdr:col>2</xdr:col>
      <xdr:colOff>670754</xdr:colOff>
      <xdr:row>23</xdr:row>
      <xdr:rowOff>112889</xdr:rowOff>
    </xdr:from>
    <xdr:to>
      <xdr:col>7</xdr:col>
      <xdr:colOff>393426</xdr:colOff>
      <xdr:row>37</xdr:row>
      <xdr:rowOff>105834</xdr:rowOff>
    </xdr:to>
    <xdr:pic>
      <xdr:nvPicPr>
        <xdr:cNvPr id="8" name="Picture 7">
          <a:extLst>
            <a:ext uri="{FF2B5EF4-FFF2-40B4-BE49-F238E27FC236}">
              <a16:creationId xmlns:a16="http://schemas.microsoft.com/office/drawing/2014/main" id="{048A34A6-44CD-4C49-834E-4C3A3AC28E4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2714"/>
        <a:stretch/>
      </xdr:blipFill>
      <xdr:spPr bwMode="auto">
        <a:xfrm>
          <a:off x="2152421" y="4402667"/>
          <a:ext cx="3892505" cy="25611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186266</xdr:colOff>
      <xdr:row>0</xdr:row>
      <xdr:rowOff>131940</xdr:rowOff>
    </xdr:from>
    <xdr:to>
      <xdr:col>15</xdr:col>
      <xdr:colOff>56444</xdr:colOff>
      <xdr:row>18</xdr:row>
      <xdr:rowOff>49389</xdr:rowOff>
    </xdr:to>
    <xdr:sp macro="" textlink="">
      <xdr:nvSpPr>
        <xdr:cNvPr id="3" name="TextBox 2">
          <a:extLst>
            <a:ext uri="{FF2B5EF4-FFF2-40B4-BE49-F238E27FC236}">
              <a16:creationId xmlns:a16="http://schemas.microsoft.com/office/drawing/2014/main" id="{817D05AB-215B-46DD-9382-49D1C6FF8AFF}"/>
            </a:ext>
          </a:extLst>
        </xdr:cNvPr>
        <xdr:cNvSpPr txBox="1"/>
      </xdr:nvSpPr>
      <xdr:spPr>
        <a:xfrm>
          <a:off x="6296377" y="131940"/>
          <a:ext cx="4117623" cy="32617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ROY, 20200908</a:t>
          </a:r>
        </a:p>
        <a:p>
          <a:r>
            <a:rPr lang="en-US" sz="1100">
              <a:solidFill>
                <a:schemeClr val="dk1"/>
              </a:solidFill>
              <a:effectLst/>
              <a:latin typeface="+mn-lt"/>
              <a:ea typeface="+mn-ea"/>
              <a:cs typeface="+mn-cs"/>
            </a:rPr>
            <a:t>Here are some more updates.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Average of 4 developments = 8 completions for $7.14B</a:t>
          </a:r>
        </a:p>
        <a:p>
          <a:r>
            <a:rPr lang="en-US" sz="1100">
              <a:solidFill>
                <a:schemeClr val="dk1"/>
              </a:solidFill>
              <a:effectLst/>
              <a:latin typeface="+mn-lt"/>
              <a:ea typeface="+mn-ea"/>
              <a:cs typeface="+mn-cs"/>
            </a:rPr>
            <a:t>For 5 completions = $4.48B</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FrPS = 5 completions for $2.53B</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Recovery from first completion is about 28M bbls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Recovery from first completion + redrill and recompletion = 60.5M bbls.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cost of 5 subsea redrills (with 1 sidetrack each) = $2,072M</a:t>
          </a:r>
        </a:p>
        <a:p>
          <a:r>
            <a:rPr lang="en-US" sz="1100">
              <a:solidFill>
                <a:schemeClr val="dk1"/>
              </a:solidFill>
              <a:effectLst/>
              <a:latin typeface="+mn-lt"/>
              <a:ea typeface="+mn-ea"/>
              <a:cs typeface="+mn-cs"/>
            </a:rPr>
            <a:t>The Cost of 5 FrPs redrils (with 1 sidetrack each) = $890M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Cost of 5 subsea with redrills = $6.55B</a:t>
          </a:r>
        </a:p>
        <a:p>
          <a:r>
            <a:rPr lang="en-US" sz="1100">
              <a:solidFill>
                <a:schemeClr val="dk1"/>
              </a:solidFill>
              <a:effectLst/>
              <a:latin typeface="+mn-lt"/>
              <a:ea typeface="+mn-ea"/>
              <a:cs typeface="+mn-cs"/>
            </a:rPr>
            <a:t>Cost of 5 FrPs with redrills = $3.42B</a:t>
          </a:r>
        </a:p>
        <a:p>
          <a:endParaRPr lang="en-US" sz="1100"/>
        </a:p>
      </xdr:txBody>
    </xdr:sp>
    <xdr:clientData/>
  </xdr:twoCellAnchor>
  <xdr:twoCellAnchor editAs="oneCell">
    <xdr:from>
      <xdr:col>10</xdr:col>
      <xdr:colOff>332087</xdr:colOff>
      <xdr:row>19</xdr:row>
      <xdr:rowOff>98778</xdr:rowOff>
    </xdr:from>
    <xdr:to>
      <xdr:col>18</xdr:col>
      <xdr:colOff>3035</xdr:colOff>
      <xdr:row>35</xdr:row>
      <xdr:rowOff>84666</xdr:rowOff>
    </xdr:to>
    <xdr:pic>
      <xdr:nvPicPr>
        <xdr:cNvPr id="5" name="Picture 4">
          <a:extLst>
            <a:ext uri="{FF2B5EF4-FFF2-40B4-BE49-F238E27FC236}">
              <a16:creationId xmlns:a16="http://schemas.microsoft.com/office/drawing/2014/main" id="{10818FA5-651F-4953-A692-F43EDFB9871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2714"/>
        <a:stretch/>
      </xdr:blipFill>
      <xdr:spPr bwMode="auto">
        <a:xfrm>
          <a:off x="7655754" y="3626556"/>
          <a:ext cx="4525170" cy="2977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F3888-222A-4489-A584-7FEAB8E47C1C}">
  <dimension ref="B1:U35"/>
  <sheetViews>
    <sheetView zoomScale="80" zoomScaleNormal="80" workbookViewId="0">
      <selection activeCell="D50" sqref="D50"/>
    </sheetView>
  </sheetViews>
  <sheetFormatPr defaultRowHeight="15" x14ac:dyDescent="0.25"/>
  <cols>
    <col min="1" max="1" width="5.7109375" customWidth="1"/>
    <col min="3" max="3" width="10.7109375" customWidth="1"/>
    <col min="4" max="4" width="14.7109375" customWidth="1"/>
    <col min="7" max="7" width="6.5703125" customWidth="1"/>
    <col min="9" max="9" width="7.85546875" customWidth="1"/>
    <col min="11" max="11" width="11.5703125" customWidth="1"/>
  </cols>
  <sheetData>
    <row r="1" spans="2:21" ht="18.75" x14ac:dyDescent="0.3">
      <c r="B1" s="62" t="s">
        <v>211</v>
      </c>
      <c r="D1" s="7" t="s">
        <v>10</v>
      </c>
      <c r="E1" t="s">
        <v>11</v>
      </c>
      <c r="J1" s="4" t="s">
        <v>7</v>
      </c>
      <c r="K1" s="5" t="s">
        <v>8</v>
      </c>
    </row>
    <row r="2" spans="2:21" ht="18.75" hidden="1" x14ac:dyDescent="0.25">
      <c r="B2" s="2" t="s">
        <v>1</v>
      </c>
    </row>
    <row r="3" spans="2:21" ht="18.75" hidden="1" x14ac:dyDescent="0.25">
      <c r="B3" s="2" t="s">
        <v>61</v>
      </c>
    </row>
    <row r="4" spans="2:21" ht="18.75" hidden="1" x14ac:dyDescent="0.25">
      <c r="B4" s="2" t="s">
        <v>2</v>
      </c>
    </row>
    <row r="5" spans="2:21" ht="18.75" hidden="1" x14ac:dyDescent="0.3">
      <c r="B5" s="1" t="s">
        <v>0</v>
      </c>
      <c r="T5" t="s">
        <v>35</v>
      </c>
    </row>
    <row r="6" spans="2:21" x14ac:dyDescent="0.25">
      <c r="B6" s="13"/>
      <c r="C6" s="13"/>
      <c r="D6" s="10">
        <v>45</v>
      </c>
      <c r="E6" t="s">
        <v>14</v>
      </c>
      <c r="T6" s="8">
        <v>56.99</v>
      </c>
      <c r="U6" s="53">
        <v>2019</v>
      </c>
    </row>
    <row r="7" spans="2:21" ht="15.75" x14ac:dyDescent="0.25">
      <c r="B7" s="57" t="s">
        <v>20</v>
      </c>
      <c r="C7" s="13"/>
      <c r="D7" s="8">
        <v>30</v>
      </c>
      <c r="E7" t="s">
        <v>12</v>
      </c>
      <c r="T7" s="8">
        <v>65.23</v>
      </c>
      <c r="U7" s="53">
        <v>2018</v>
      </c>
    </row>
    <row r="8" spans="2:21" x14ac:dyDescent="0.25">
      <c r="B8" s="13"/>
      <c r="C8" s="13"/>
      <c r="D8" s="8">
        <v>60</v>
      </c>
      <c r="E8" t="s">
        <v>13</v>
      </c>
      <c r="T8" s="8">
        <v>50.8</v>
      </c>
      <c r="U8" s="53">
        <v>2017</v>
      </c>
    </row>
    <row r="9" spans="2:21" x14ac:dyDescent="0.25">
      <c r="B9" s="13"/>
      <c r="C9" s="13"/>
      <c r="T9" s="8">
        <v>43.29</v>
      </c>
      <c r="U9" s="53">
        <v>2016</v>
      </c>
    </row>
    <row r="10" spans="2:21" x14ac:dyDescent="0.25">
      <c r="B10" s="13"/>
      <c r="C10" s="13"/>
      <c r="D10" s="10">
        <v>15</v>
      </c>
      <c r="E10" t="s">
        <v>17</v>
      </c>
      <c r="T10" s="8">
        <v>48.66</v>
      </c>
      <c r="U10" s="53">
        <v>2015</v>
      </c>
    </row>
    <row r="11" spans="2:21" ht="18.75" x14ac:dyDescent="0.3">
      <c r="B11" s="13"/>
      <c r="C11" s="13"/>
      <c r="D11" s="10">
        <v>6</v>
      </c>
      <c r="E11" t="s">
        <v>18</v>
      </c>
      <c r="T11" s="47">
        <f>AVERAGE(T6:T10)</f>
        <v>52.993999999999993</v>
      </c>
    </row>
    <row r="12" spans="2:21" x14ac:dyDescent="0.25">
      <c r="B12" s="13"/>
      <c r="C12" s="13"/>
    </row>
    <row r="13" spans="2:21" x14ac:dyDescent="0.25">
      <c r="B13" s="13"/>
      <c r="C13" s="13"/>
      <c r="D13" s="9">
        <v>50000000</v>
      </c>
      <c r="E13" t="s">
        <v>194</v>
      </c>
    </row>
    <row r="15" spans="2:21" ht="15.75" x14ac:dyDescent="0.25">
      <c r="B15" s="54" t="s">
        <v>21</v>
      </c>
      <c r="C15" s="21"/>
      <c r="D15" s="12">
        <v>1300</v>
      </c>
      <c r="E15" t="s">
        <v>182</v>
      </c>
    </row>
    <row r="16" spans="2:21" x14ac:dyDescent="0.25">
      <c r="B16" s="21"/>
      <c r="C16" s="22"/>
      <c r="D16" s="12">
        <v>1000</v>
      </c>
      <c r="E16" t="s">
        <v>181</v>
      </c>
    </row>
    <row r="17" spans="2:10" x14ac:dyDescent="0.25">
      <c r="B17" s="21"/>
      <c r="C17" s="21"/>
      <c r="D17" s="12">
        <v>1750</v>
      </c>
      <c r="E17" t="s">
        <v>183</v>
      </c>
    </row>
    <row r="18" spans="2:10" x14ac:dyDescent="0.25">
      <c r="B18" s="21"/>
      <c r="C18" s="21"/>
      <c r="D18" s="11">
        <v>0.5</v>
      </c>
      <c r="E18" t="s">
        <v>19</v>
      </c>
    </row>
    <row r="19" spans="2:10" x14ac:dyDescent="0.25">
      <c r="B19" s="21"/>
      <c r="C19" s="21"/>
      <c r="D19" s="20">
        <f>ENHANCE/3</f>
        <v>0.16666666666666666</v>
      </c>
      <c r="E19" t="s">
        <v>196</v>
      </c>
    </row>
    <row r="20" spans="2:10" x14ac:dyDescent="0.25">
      <c r="B20" s="21"/>
      <c r="C20" s="21"/>
      <c r="D20" s="20">
        <f>ENHANCE*2</f>
        <v>1</v>
      </c>
      <c r="E20" t="s">
        <v>197</v>
      </c>
    </row>
    <row r="21" spans="2:10" ht="15.75" thickBot="1" x14ac:dyDescent="0.3"/>
    <row r="22" spans="2:10" x14ac:dyDescent="0.25">
      <c r="B22" s="25"/>
      <c r="C22" s="26"/>
      <c r="D22" s="37">
        <v>20</v>
      </c>
      <c r="E22" s="26" t="s">
        <v>16</v>
      </c>
      <c r="F22" s="26"/>
      <c r="G22" s="26"/>
      <c r="H22" s="26"/>
      <c r="I22" s="28"/>
    </row>
    <row r="23" spans="2:10" ht="15.75" x14ac:dyDescent="0.25">
      <c r="B23" s="55" t="s">
        <v>62</v>
      </c>
      <c r="C23" s="30"/>
      <c r="D23" s="8">
        <v>15</v>
      </c>
      <c r="E23" s="30" t="s">
        <v>15</v>
      </c>
      <c r="F23" s="30"/>
      <c r="G23" s="30"/>
      <c r="H23" s="30"/>
      <c r="I23" s="31"/>
    </row>
    <row r="24" spans="2:10" ht="15.75" thickBot="1" x14ac:dyDescent="0.3">
      <c r="B24" s="34"/>
      <c r="C24" s="35"/>
      <c r="D24" s="38">
        <v>25</v>
      </c>
      <c r="E24" s="35" t="s">
        <v>195</v>
      </c>
      <c r="F24" s="35"/>
      <c r="G24" s="35"/>
      <c r="H24" s="35"/>
      <c r="I24" s="36"/>
    </row>
    <row r="26" spans="2:10" x14ac:dyDescent="0.25">
      <c r="B26" s="14"/>
      <c r="C26" s="75" t="s">
        <v>25</v>
      </c>
      <c r="D26" s="12">
        <v>1600</v>
      </c>
      <c r="E26" s="14" t="s">
        <v>22</v>
      </c>
      <c r="F26" s="14"/>
      <c r="G26" s="14"/>
      <c r="H26" s="11">
        <v>1</v>
      </c>
      <c r="I26" t="s">
        <v>23</v>
      </c>
    </row>
    <row r="27" spans="2:10" ht="18.75" x14ac:dyDescent="0.3">
      <c r="B27" s="56" t="s">
        <v>6</v>
      </c>
      <c r="C27" s="14"/>
      <c r="D27" s="12">
        <v>1200</v>
      </c>
      <c r="E27" s="14" t="s">
        <v>184</v>
      </c>
      <c r="F27" s="14"/>
      <c r="G27" s="14"/>
      <c r="I27" s="20">
        <f>Increase/ENHANCE-1</f>
        <v>1</v>
      </c>
      <c r="J27" t="s">
        <v>210</v>
      </c>
    </row>
    <row r="28" spans="2:10" x14ac:dyDescent="0.25">
      <c r="B28" s="14"/>
      <c r="C28" s="14"/>
      <c r="D28" s="12">
        <v>1900</v>
      </c>
      <c r="E28" s="14" t="s">
        <v>185</v>
      </c>
      <c r="F28" s="14"/>
      <c r="G28" s="14"/>
      <c r="H28" s="20">
        <f>Increase/3</f>
        <v>0.33333333333333331</v>
      </c>
      <c r="I28" t="s">
        <v>32</v>
      </c>
    </row>
    <row r="29" spans="2:10" x14ac:dyDescent="0.25">
      <c r="H29" s="20">
        <f>Increase*2</f>
        <v>2</v>
      </c>
      <c r="I29" t="s">
        <v>33</v>
      </c>
    </row>
    <row r="30" spans="2:10" ht="18.75" x14ac:dyDescent="0.3">
      <c r="B30" s="56" t="s">
        <v>67</v>
      </c>
      <c r="C30" s="14"/>
      <c r="D30" s="4" t="s">
        <v>68</v>
      </c>
      <c r="E30" s="138" t="s">
        <v>71</v>
      </c>
    </row>
    <row r="31" spans="2:10" x14ac:dyDescent="0.25">
      <c r="D31" s="4" t="s">
        <v>73</v>
      </c>
      <c r="E31" s="137">
        <v>2</v>
      </c>
    </row>
    <row r="32" spans="2:10" x14ac:dyDescent="0.25">
      <c r="D32" s="4" t="s">
        <v>69</v>
      </c>
      <c r="E32" s="60">
        <v>5</v>
      </c>
    </row>
    <row r="33" spans="4:6" x14ac:dyDescent="0.25">
      <c r="D33" s="4" t="s">
        <v>70</v>
      </c>
      <c r="E33" s="41">
        <v>2</v>
      </c>
      <c r="F33" t="s">
        <v>188</v>
      </c>
    </row>
    <row r="34" spans="4:6" x14ac:dyDescent="0.25">
      <c r="D34" s="4" t="s">
        <v>72</v>
      </c>
      <c r="E34" s="41">
        <v>3</v>
      </c>
      <c r="F34" t="s">
        <v>188</v>
      </c>
    </row>
    <row r="35" spans="4:6" x14ac:dyDescent="0.25">
      <c r="D35" s="4" t="s">
        <v>189</v>
      </c>
      <c r="E35">
        <f>SUM(E33:E34)</f>
        <v>5</v>
      </c>
      <c r="F35" t="s">
        <v>111</v>
      </c>
    </row>
  </sheetData>
  <pageMargins left="0.7" right="0.7" top="0.75" bottom="0.75" header="0.3" footer="0.3"/>
  <pageSetup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26B82-DDD2-4D76-A9BA-732AF6E28D05}">
  <dimension ref="B1:J36"/>
  <sheetViews>
    <sheetView tabSelected="1" zoomScale="80" zoomScaleNormal="80" workbookViewId="0">
      <selection activeCell="I28" sqref="I28"/>
    </sheetView>
  </sheetViews>
  <sheetFormatPr defaultRowHeight="15" x14ac:dyDescent="0.25"/>
  <cols>
    <col min="1" max="1" width="5.85546875" customWidth="1"/>
    <col min="2" max="2" width="20.140625" bestFit="1" customWidth="1"/>
    <col min="3" max="3" width="15.42578125" customWidth="1"/>
    <col min="4" max="4" width="9.7109375" bestFit="1" customWidth="1"/>
    <col min="5" max="5" width="15" customWidth="1"/>
    <col min="6" max="6" width="8.42578125" bestFit="1" customWidth="1"/>
    <col min="7" max="7" width="15.140625" customWidth="1"/>
    <col min="8" max="8" width="5.42578125" bestFit="1" customWidth="1"/>
    <col min="9" max="9" width="21.28515625" customWidth="1"/>
    <col min="10" max="10" width="6.5703125" customWidth="1"/>
    <col min="11" max="11" width="15.85546875" bestFit="1" customWidth="1"/>
  </cols>
  <sheetData>
    <row r="1" spans="2:10" ht="18.75" x14ac:dyDescent="0.3">
      <c r="B1" s="3" t="s">
        <v>211</v>
      </c>
      <c r="H1" s="4" t="s">
        <v>7</v>
      </c>
      <c r="I1" s="139" t="s">
        <v>8</v>
      </c>
    </row>
    <row r="3" spans="2:10" ht="15.75" x14ac:dyDescent="0.25">
      <c r="C3" s="61" t="s">
        <v>34</v>
      </c>
      <c r="E3" t="s">
        <v>24</v>
      </c>
      <c r="G3" s="6" t="s">
        <v>28</v>
      </c>
      <c r="I3" s="40" t="s">
        <v>205</v>
      </c>
    </row>
    <row r="4" spans="2:10" x14ac:dyDescent="0.25">
      <c r="B4" s="13"/>
      <c r="E4" s="15">
        <f>Reserves*(highPRICE-OPEXwet)</f>
        <v>2250000000</v>
      </c>
      <c r="F4" t="s">
        <v>26</v>
      </c>
      <c r="G4" s="18">
        <v>0.3</v>
      </c>
      <c r="J4" s="13"/>
    </row>
    <row r="5" spans="2:10" ht="18.75" x14ac:dyDescent="0.3">
      <c r="B5" s="24" t="s">
        <v>3</v>
      </c>
      <c r="C5" s="135">
        <f>Reserves</f>
        <v>50000000</v>
      </c>
      <c r="D5" t="s">
        <v>9</v>
      </c>
      <c r="E5" s="15">
        <f>Reserves*(PRICE-OPEXwet)</f>
        <v>1500000000</v>
      </c>
      <c r="F5" t="s">
        <v>25</v>
      </c>
      <c r="G5" s="18">
        <v>0.4</v>
      </c>
      <c r="I5" s="39">
        <f>E4*G4+E5*G5+E6*G6</f>
        <v>1500000000</v>
      </c>
      <c r="J5" s="13"/>
    </row>
    <row r="6" spans="2:10" x14ac:dyDescent="0.25">
      <c r="B6" s="13"/>
      <c r="C6" s="134" t="s">
        <v>30</v>
      </c>
      <c r="D6" s="13"/>
      <c r="E6" s="15">
        <f>Reserves*(lowPRICE-OPEXwet)</f>
        <v>750000000</v>
      </c>
      <c r="F6" t="s">
        <v>27</v>
      </c>
      <c r="G6" s="18">
        <v>0.3</v>
      </c>
      <c r="H6" s="13"/>
      <c r="I6" s="13"/>
      <c r="J6" s="13"/>
    </row>
    <row r="8" spans="2:10" x14ac:dyDescent="0.25">
      <c r="B8" s="21"/>
      <c r="E8" t="s">
        <v>24</v>
      </c>
      <c r="H8" s="21"/>
      <c r="I8" s="21"/>
      <c r="J8" s="21"/>
    </row>
    <row r="9" spans="2:10" ht="18.75" x14ac:dyDescent="0.25">
      <c r="B9" s="23" t="s">
        <v>4</v>
      </c>
      <c r="C9" s="17">
        <f>Reserves*(1+ENHANCEhigh)</f>
        <v>100000000</v>
      </c>
      <c r="D9" t="s">
        <v>9</v>
      </c>
      <c r="E9" s="15">
        <f>C9*(highPRICE-OPEXwet)-wetCAPEXhigh*1000000</f>
        <v>2750000000</v>
      </c>
      <c r="F9" t="s">
        <v>26</v>
      </c>
      <c r="G9" s="18">
        <v>0.3</v>
      </c>
      <c r="J9" s="21"/>
    </row>
    <row r="10" spans="2:10" ht="15.75" x14ac:dyDescent="0.25">
      <c r="B10" s="21"/>
      <c r="C10" s="17">
        <f>Reserves*(1+ENHANCE)</f>
        <v>75000000</v>
      </c>
      <c r="D10" t="s">
        <v>9</v>
      </c>
      <c r="E10" s="15">
        <f>C10*(PRICE-OPEXwet)-wetCAPEX*1000000</f>
        <v>950000000</v>
      </c>
      <c r="F10" t="s">
        <v>25</v>
      </c>
      <c r="G10" s="18">
        <v>0.4</v>
      </c>
      <c r="I10" s="39">
        <f>G9*E9+G10*E10+G11*E11</f>
        <v>1167500000</v>
      </c>
      <c r="J10" s="21"/>
    </row>
    <row r="11" spans="2:10" x14ac:dyDescent="0.25">
      <c r="B11" s="21"/>
      <c r="C11" s="17">
        <f>Reserves*(1+ENHANCElow)</f>
        <v>58333333.333333336</v>
      </c>
      <c r="D11" t="s">
        <v>9</v>
      </c>
      <c r="E11" s="15">
        <f>C11*(lowPRICE-OPEXwet)-wetCAPEXlow*1000000</f>
        <v>-125000000</v>
      </c>
      <c r="F11" t="s">
        <v>27</v>
      </c>
      <c r="G11" s="18">
        <v>0.3</v>
      </c>
      <c r="J11" s="21"/>
    </row>
    <row r="12" spans="2:10" x14ac:dyDescent="0.25">
      <c r="B12" s="21"/>
      <c r="C12" s="21"/>
      <c r="D12" s="21"/>
      <c r="E12" s="21" t="s">
        <v>193</v>
      </c>
      <c r="F12" s="21"/>
      <c r="G12" s="21"/>
      <c r="H12" s="21"/>
      <c r="I12" s="21"/>
      <c r="J12" s="21"/>
    </row>
    <row r="13" spans="2:10" x14ac:dyDescent="0.25">
      <c r="B13" s="21"/>
      <c r="C13" s="21"/>
      <c r="D13" s="21" t="s">
        <v>31</v>
      </c>
      <c r="E13" s="21"/>
      <c r="F13" s="21"/>
      <c r="G13" s="21"/>
      <c r="H13" s="21"/>
      <c r="I13" s="21"/>
      <c r="J13" s="21"/>
    </row>
    <row r="14" spans="2:10" ht="15.75" thickBot="1" x14ac:dyDescent="0.3"/>
    <row r="15" spans="2:10" x14ac:dyDescent="0.25">
      <c r="B15" s="25"/>
      <c r="C15" s="26"/>
      <c r="D15" s="26"/>
      <c r="E15" s="26" t="s">
        <v>24</v>
      </c>
      <c r="F15" s="26"/>
      <c r="G15" s="27"/>
      <c r="H15" s="26"/>
      <c r="I15" s="26"/>
      <c r="J15" s="28"/>
    </row>
    <row r="16" spans="2:10" x14ac:dyDescent="0.25">
      <c r="B16" s="29"/>
      <c r="C16" s="30"/>
      <c r="D16" s="30"/>
      <c r="E16" s="15">
        <f>Reserves*SELLhigh</f>
        <v>1250000000</v>
      </c>
      <c r="F16" s="30" t="s">
        <v>26</v>
      </c>
      <c r="G16" s="18">
        <v>0.3</v>
      </c>
      <c r="H16" s="30"/>
      <c r="I16" s="30"/>
      <c r="J16" s="31"/>
    </row>
    <row r="17" spans="2:10" ht="18.75" x14ac:dyDescent="0.25">
      <c r="B17" s="32" t="s">
        <v>5</v>
      </c>
      <c r="C17" s="33">
        <f>Reserves</f>
        <v>50000000</v>
      </c>
      <c r="D17" s="30" t="s">
        <v>9</v>
      </c>
      <c r="E17" s="15">
        <f>Reserves*SELL</f>
        <v>1000000000</v>
      </c>
      <c r="F17" s="30" t="s">
        <v>25</v>
      </c>
      <c r="G17" s="18">
        <v>0.4</v>
      </c>
      <c r="H17" s="30"/>
      <c r="I17" s="39">
        <f>G16*E16+G17*E17+G18*E18</f>
        <v>1000000000</v>
      </c>
      <c r="J17" s="31"/>
    </row>
    <row r="18" spans="2:10" ht="15.75" thickBot="1" x14ac:dyDescent="0.3">
      <c r="B18" s="34"/>
      <c r="C18" s="35"/>
      <c r="D18" s="35"/>
      <c r="E18" s="140">
        <f>Reserves*SELLlow</f>
        <v>750000000</v>
      </c>
      <c r="F18" s="35" t="s">
        <v>27</v>
      </c>
      <c r="G18" s="141">
        <v>0.3</v>
      </c>
      <c r="H18" s="35"/>
      <c r="I18" s="35"/>
      <c r="J18" s="36"/>
    </row>
    <row r="20" spans="2:10" ht="18.75" x14ac:dyDescent="0.3">
      <c r="B20" s="56" t="s">
        <v>6</v>
      </c>
      <c r="C20" s="21" t="s">
        <v>198</v>
      </c>
      <c r="D20" s="21"/>
      <c r="E20" s="21"/>
      <c r="F20" s="21"/>
      <c r="G20" s="21"/>
      <c r="H20" s="21"/>
      <c r="I20" s="21"/>
      <c r="J20" s="21"/>
    </row>
    <row r="21" spans="2:10" x14ac:dyDescent="0.25">
      <c r="B21" s="14"/>
      <c r="D21" s="21" t="s">
        <v>199</v>
      </c>
      <c r="E21" s="21"/>
      <c r="F21" s="21"/>
      <c r="G21" s="21"/>
      <c r="H21" s="21"/>
      <c r="I21" s="21"/>
      <c r="J21" s="21"/>
    </row>
    <row r="22" spans="2:10" x14ac:dyDescent="0.25">
      <c r="B22" s="14"/>
      <c r="E22" t="s">
        <v>24</v>
      </c>
      <c r="H22" s="6"/>
    </row>
    <row r="23" spans="2:10" x14ac:dyDescent="0.25">
      <c r="B23" s="14"/>
      <c r="E23" s="15">
        <f>C24*(highPRICE-OPEXdry)-dryCAPEXhigh*1000000</f>
        <v>6200000000</v>
      </c>
      <c r="F23" s="18">
        <v>0.3</v>
      </c>
      <c r="G23" s="6" t="s">
        <v>204</v>
      </c>
      <c r="H23" s="6"/>
    </row>
    <row r="24" spans="2:10" x14ac:dyDescent="0.25">
      <c r="B24" s="75" t="s">
        <v>190</v>
      </c>
      <c r="C24" s="17">
        <f>Reserves*(1+IncreaseHIGH)</f>
        <v>150000000</v>
      </c>
      <c r="D24" t="s">
        <v>9</v>
      </c>
      <c r="E24" s="15">
        <f>C24*(PRICE-OPEXdry)-dryCAPEXhigh*1000000</f>
        <v>3950000000</v>
      </c>
      <c r="F24" s="18">
        <v>0.4</v>
      </c>
      <c r="G24" s="133">
        <f>E23*F23+E24*F24+E25*F25</f>
        <v>3950000000</v>
      </c>
      <c r="H24" s="18">
        <v>0.3</v>
      </c>
    </row>
    <row r="25" spans="2:10" x14ac:dyDescent="0.25">
      <c r="B25" s="14"/>
      <c r="C25" t="s">
        <v>200</v>
      </c>
      <c r="E25" s="15">
        <f>C24*(lowPRICE-OPEXdry)-dryCAPEXhigh*1000000</f>
        <v>1700000000</v>
      </c>
      <c r="F25" s="18">
        <v>0.3</v>
      </c>
      <c r="G25" s="6" t="s">
        <v>203</v>
      </c>
    </row>
    <row r="26" spans="2:10" ht="15.75" x14ac:dyDescent="0.25">
      <c r="B26" s="14"/>
      <c r="I26" s="40" t="s">
        <v>29</v>
      </c>
    </row>
    <row r="27" spans="2:10" x14ac:dyDescent="0.25">
      <c r="B27" s="14"/>
      <c r="E27" s="15">
        <f>C28*(highPRICE-OPEXdry)-dryCAPEX*1000000</f>
        <v>3800000000</v>
      </c>
      <c r="F27" s="18">
        <v>0.3</v>
      </c>
      <c r="I27" s="6" t="s">
        <v>206</v>
      </c>
    </row>
    <row r="28" spans="2:10" ht="15.75" x14ac:dyDescent="0.25">
      <c r="B28" s="75" t="s">
        <v>191</v>
      </c>
      <c r="C28" s="17">
        <f>Reserves*(1+Increase)</f>
        <v>100000000</v>
      </c>
      <c r="D28" t="s">
        <v>9</v>
      </c>
      <c r="E28" s="15">
        <f>C28*(PRICE-OPEXdry)-dryCAPEX*1000000</f>
        <v>2300000000</v>
      </c>
      <c r="F28" s="18">
        <v>0.4</v>
      </c>
      <c r="G28" s="16">
        <f>E27*F27+E28*F28+E29*F29</f>
        <v>2300000000</v>
      </c>
      <c r="H28" s="18">
        <v>0.4</v>
      </c>
      <c r="I28" s="39">
        <f>G24*H24+G28*H28+G32*H32</f>
        <v>2525000000</v>
      </c>
    </row>
    <row r="29" spans="2:10" x14ac:dyDescent="0.25">
      <c r="B29" s="75"/>
      <c r="C29" t="s">
        <v>201</v>
      </c>
      <c r="E29" s="15">
        <f>C28*(lowPRICE-OPEXdry)-dryCAPEX*1000000</f>
        <v>800000000</v>
      </c>
      <c r="F29" s="18">
        <v>0.3</v>
      </c>
      <c r="I29" s="6" t="s">
        <v>207</v>
      </c>
    </row>
    <row r="30" spans="2:10" x14ac:dyDescent="0.25">
      <c r="B30" s="75"/>
      <c r="F30" s="4"/>
      <c r="I30" s="6" t="s">
        <v>208</v>
      </c>
    </row>
    <row r="31" spans="2:10" x14ac:dyDescent="0.25">
      <c r="B31" s="75"/>
      <c r="E31" s="15">
        <f>C32*(highPRICE-OPEXdry)-dryCAPEXlow*1000000</f>
        <v>2400000000</v>
      </c>
      <c r="F31" s="18">
        <v>0.3</v>
      </c>
      <c r="I31" s="6" t="s">
        <v>209</v>
      </c>
    </row>
    <row r="32" spans="2:10" x14ac:dyDescent="0.25">
      <c r="B32" s="75" t="s">
        <v>192</v>
      </c>
      <c r="C32" s="17">
        <f>Reserves*(1+IncreaseLOW)</f>
        <v>66666666.666666664</v>
      </c>
      <c r="D32" t="s">
        <v>9</v>
      </c>
      <c r="E32" s="15">
        <f>C32*(PRICE-OPEXdry)-dryCAPEXlow*1000000</f>
        <v>1400000000</v>
      </c>
      <c r="F32" s="18">
        <v>0.4</v>
      </c>
      <c r="G32" s="16">
        <f>E31*F31+E32*F32+E33*F33</f>
        <v>1400000000</v>
      </c>
      <c r="H32" s="18">
        <v>0.3</v>
      </c>
    </row>
    <row r="33" spans="2:6" x14ac:dyDescent="0.25">
      <c r="B33" s="14"/>
      <c r="C33" t="s">
        <v>202</v>
      </c>
      <c r="E33" s="15">
        <f>C32*(lowPRICE-OPEXdry)-dryCAPEXlow*1000000</f>
        <v>400000000</v>
      </c>
      <c r="F33" s="18">
        <v>0.3</v>
      </c>
    </row>
    <row r="36" spans="2:6" x14ac:dyDescent="0.25">
      <c r="F36" s="4"/>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5E035-EBAB-4EA6-8A13-AFF3469CEAB0}">
  <dimension ref="A1:K30"/>
  <sheetViews>
    <sheetView topLeftCell="A3" workbookViewId="0">
      <selection activeCell="C15" sqref="C15"/>
    </sheetView>
  </sheetViews>
  <sheetFormatPr defaultRowHeight="15" x14ac:dyDescent="0.25"/>
  <cols>
    <col min="1" max="1" width="7.140625" customWidth="1"/>
    <col min="2" max="2" width="23" bestFit="1" customWidth="1"/>
    <col min="3" max="3" width="9.7109375" bestFit="1" customWidth="1"/>
    <col min="4" max="4" width="10" bestFit="1" customWidth="1"/>
    <col min="5" max="5" width="7.42578125" bestFit="1" customWidth="1"/>
    <col min="6" max="6" width="8.140625" bestFit="1" customWidth="1"/>
    <col min="7" max="7" width="3.85546875" customWidth="1"/>
    <col min="8" max="8" width="17.5703125" customWidth="1"/>
    <col min="9" max="9" width="16.7109375" customWidth="1"/>
    <col min="10" max="10" width="16.28515625" customWidth="1"/>
    <col min="11" max="11" width="13.140625" bestFit="1" customWidth="1"/>
  </cols>
  <sheetData>
    <row r="1" spans="1:11" ht="18.75" x14ac:dyDescent="0.3">
      <c r="A1" s="62" t="s">
        <v>157</v>
      </c>
      <c r="C1" t="s">
        <v>158</v>
      </c>
    </row>
    <row r="2" spans="1:11" ht="18.75" x14ac:dyDescent="0.3">
      <c r="A2" s="62"/>
      <c r="C2" s="61" t="s">
        <v>170</v>
      </c>
      <c r="G2" s="129"/>
    </row>
    <row r="3" spans="1:11" x14ac:dyDescent="0.25">
      <c r="A3" s="116" t="s">
        <v>10</v>
      </c>
      <c r="C3" s="6" t="s">
        <v>169</v>
      </c>
      <c r="D3" s="6" t="s">
        <v>159</v>
      </c>
      <c r="E3" s="6" t="s">
        <v>160</v>
      </c>
      <c r="F3" s="6" t="s">
        <v>161</v>
      </c>
      <c r="G3" s="129"/>
      <c r="H3" s="113" t="s">
        <v>176</v>
      </c>
      <c r="I3" s="6" t="s">
        <v>159</v>
      </c>
      <c r="J3" s="6" t="s">
        <v>160</v>
      </c>
      <c r="K3" s="6" t="s">
        <v>161</v>
      </c>
    </row>
    <row r="4" spans="1:11" x14ac:dyDescent="0.25">
      <c r="B4" s="102" t="s">
        <v>130</v>
      </c>
      <c r="C4" s="125">
        <f>D4+E4+F4</f>
        <v>290</v>
      </c>
      <c r="D4" s="123">
        <v>50</v>
      </c>
      <c r="E4" s="121">
        <v>200</v>
      </c>
      <c r="F4" s="121">
        <v>40</v>
      </c>
      <c r="G4" s="129"/>
      <c r="H4" s="115">
        <f>100000000+200000000+80000000</f>
        <v>380000000</v>
      </c>
      <c r="I4" s="118">
        <f>100000000</f>
        <v>100000000</v>
      </c>
      <c r="J4" s="115">
        <f>200000000</f>
        <v>200000000</v>
      </c>
      <c r="K4" s="115">
        <f>80000000</f>
        <v>80000000</v>
      </c>
    </row>
    <row r="5" spans="1:11" x14ac:dyDescent="0.25">
      <c r="B5" s="102" t="s">
        <v>136</v>
      </c>
      <c r="C5" s="125">
        <v>150</v>
      </c>
      <c r="D5" s="120" t="s">
        <v>171</v>
      </c>
      <c r="E5" s="120"/>
      <c r="F5" s="120"/>
      <c r="G5" s="129"/>
      <c r="H5" s="103">
        <v>150000000</v>
      </c>
      <c r="I5" s="67"/>
      <c r="J5" s="6" t="s">
        <v>132</v>
      </c>
      <c r="K5" s="6" t="s">
        <v>134</v>
      </c>
    </row>
    <row r="6" spans="1:11" x14ac:dyDescent="0.25">
      <c r="B6" s="102" t="s">
        <v>152</v>
      </c>
      <c r="C6" s="125">
        <v>100</v>
      </c>
      <c r="D6" s="120"/>
      <c r="E6" s="120"/>
      <c r="F6" s="120"/>
      <c r="G6" s="129"/>
      <c r="H6" s="119">
        <f>J6+K6</f>
        <v>185000000</v>
      </c>
      <c r="I6" s="67"/>
      <c r="J6" s="115">
        <v>110000000</v>
      </c>
      <c r="K6" s="115">
        <v>75000000</v>
      </c>
    </row>
    <row r="7" spans="1:11" x14ac:dyDescent="0.25">
      <c r="B7" s="102" t="s">
        <v>134</v>
      </c>
      <c r="C7" s="125">
        <v>50</v>
      </c>
      <c r="D7" s="120"/>
      <c r="E7" s="120"/>
      <c r="F7" s="120"/>
      <c r="G7" s="129"/>
    </row>
    <row r="8" spans="1:11" x14ac:dyDescent="0.25">
      <c r="B8" s="102" t="s">
        <v>154</v>
      </c>
      <c r="C8" s="125">
        <v>40</v>
      </c>
      <c r="D8" s="120" t="s">
        <v>173</v>
      </c>
      <c r="E8" s="120"/>
      <c r="F8" s="120"/>
      <c r="G8" s="129"/>
      <c r="H8" s="103">
        <v>170000000</v>
      </c>
      <c r="I8" t="s">
        <v>162</v>
      </c>
    </row>
    <row r="9" spans="1:11" x14ac:dyDescent="0.25">
      <c r="B9" s="102" t="s">
        <v>163</v>
      </c>
      <c r="C9" s="125">
        <v>150</v>
      </c>
      <c r="D9" s="67">
        <f>C9/5</f>
        <v>30</v>
      </c>
      <c r="E9" s="67" t="s">
        <v>174</v>
      </c>
      <c r="F9" s="120"/>
      <c r="G9" s="129"/>
      <c r="H9" s="119">
        <v>195000000</v>
      </c>
      <c r="I9" s="67">
        <f>H9/5</f>
        <v>39000000</v>
      </c>
      <c r="J9" s="67" t="s">
        <v>53</v>
      </c>
    </row>
    <row r="10" spans="1:11" x14ac:dyDescent="0.25">
      <c r="B10" s="102" t="s">
        <v>141</v>
      </c>
      <c r="C10" s="124" t="s">
        <v>172</v>
      </c>
      <c r="D10" s="120"/>
      <c r="E10" s="120"/>
      <c r="F10" s="120"/>
      <c r="G10" s="129"/>
      <c r="H10" s="103">
        <v>1128920000</v>
      </c>
      <c r="I10" s="67">
        <f>H10/5</f>
        <v>225784000</v>
      </c>
      <c r="J10" s="67" t="s">
        <v>164</v>
      </c>
    </row>
    <row r="11" spans="1:11" x14ac:dyDescent="0.25">
      <c r="A11" s="122">
        <v>0.04</v>
      </c>
      <c r="B11" s="102" t="s">
        <v>166</v>
      </c>
      <c r="C11" s="125">
        <f>A11*SUM(C4:C10)</f>
        <v>31.2</v>
      </c>
      <c r="D11" s="120"/>
      <c r="E11" s="120"/>
      <c r="F11" s="120"/>
      <c r="G11" s="129"/>
      <c r="H11" s="103">
        <v>88356800</v>
      </c>
      <c r="I11" s="117" t="s">
        <v>167</v>
      </c>
    </row>
    <row r="12" spans="1:11" x14ac:dyDescent="0.25">
      <c r="A12" s="122">
        <v>0.15</v>
      </c>
      <c r="B12" s="102" t="s">
        <v>165</v>
      </c>
      <c r="C12" s="125">
        <f>A12*SUM(C4:C10)</f>
        <v>117</v>
      </c>
      <c r="D12" s="120"/>
      <c r="E12" s="120"/>
      <c r="F12" s="120"/>
      <c r="G12" s="129"/>
      <c r="H12" s="103">
        <v>344591520</v>
      </c>
      <c r="I12" s="117" t="s">
        <v>168</v>
      </c>
    </row>
    <row r="13" spans="1:11" ht="15.75" x14ac:dyDescent="0.25">
      <c r="B13" s="46" t="s">
        <v>112</v>
      </c>
      <c r="C13" s="126">
        <f>SUM(C4:C12)</f>
        <v>928.2</v>
      </c>
      <c r="D13" t="s">
        <v>177</v>
      </c>
      <c r="G13" s="129"/>
      <c r="H13" s="67">
        <f>SUM(H4:H12)</f>
        <v>2641868320</v>
      </c>
      <c r="I13" t="s">
        <v>112</v>
      </c>
      <c r="J13" s="67">
        <v>2641868320</v>
      </c>
    </row>
    <row r="14" spans="1:11" x14ac:dyDescent="0.25">
      <c r="B14" s="130" t="s">
        <v>178</v>
      </c>
      <c r="C14" s="127">
        <f>C13+'Sidetracks-Recomps'!E3/1000000</f>
        <v>2076.6000000000004</v>
      </c>
      <c r="D14" s="128" t="s">
        <v>117</v>
      </c>
      <c r="E14" s="21"/>
      <c r="G14" s="129"/>
    </row>
    <row r="15" spans="1:11" x14ac:dyDescent="0.25">
      <c r="B15" s="131" t="s">
        <v>179</v>
      </c>
      <c r="C15" s="127">
        <f>C13+'Sidetracks-Recomps'!D3/1000000</f>
        <v>1846.2</v>
      </c>
      <c r="D15" s="128" t="s">
        <v>116</v>
      </c>
      <c r="E15" s="21"/>
      <c r="G15" s="129"/>
      <c r="I15" s="6"/>
    </row>
    <row r="16" spans="1:11" x14ac:dyDescent="0.25">
      <c r="C16" s="67">
        <f>C14-C15</f>
        <v>230.40000000000032</v>
      </c>
      <c r="D16" s="109">
        <f>C16/5</f>
        <v>46.080000000000062</v>
      </c>
      <c r="E16" t="s">
        <v>180</v>
      </c>
    </row>
    <row r="17" spans="1:7" ht="18.75" x14ac:dyDescent="0.3">
      <c r="A17" s="62"/>
      <c r="C17" s="61" t="s">
        <v>175</v>
      </c>
      <c r="G17" s="129"/>
    </row>
    <row r="18" spans="1:7" x14ac:dyDescent="0.25">
      <c r="A18" s="116" t="s">
        <v>10</v>
      </c>
      <c r="C18" s="6" t="s">
        <v>169</v>
      </c>
      <c r="D18" s="6" t="s">
        <v>159</v>
      </c>
      <c r="E18" s="6" t="s">
        <v>160</v>
      </c>
      <c r="F18" s="6" t="s">
        <v>161</v>
      </c>
      <c r="G18" s="129"/>
    </row>
    <row r="19" spans="1:7" x14ac:dyDescent="0.25">
      <c r="B19" s="102" t="s">
        <v>130</v>
      </c>
      <c r="C19" s="125">
        <f>D19+E19+F19</f>
        <v>360</v>
      </c>
      <c r="D19" s="123">
        <v>100</v>
      </c>
      <c r="E19" s="121">
        <v>200</v>
      </c>
      <c r="F19" s="121">
        <v>60</v>
      </c>
      <c r="G19" s="129"/>
    </row>
    <row r="20" spans="1:7" x14ac:dyDescent="0.25">
      <c r="B20" s="102" t="s">
        <v>136</v>
      </c>
      <c r="C20" s="125">
        <v>180</v>
      </c>
      <c r="D20" s="120" t="s">
        <v>171</v>
      </c>
      <c r="E20" s="120"/>
      <c r="F20" s="120"/>
      <c r="G20" s="129"/>
    </row>
    <row r="21" spans="1:7" x14ac:dyDescent="0.25">
      <c r="B21" s="102" t="s">
        <v>152</v>
      </c>
      <c r="C21" s="125">
        <v>120</v>
      </c>
      <c r="D21" s="120"/>
      <c r="E21" s="120"/>
      <c r="F21" s="120"/>
      <c r="G21" s="129"/>
    </row>
    <row r="22" spans="1:7" x14ac:dyDescent="0.25">
      <c r="B22" s="102" t="s">
        <v>134</v>
      </c>
      <c r="C22" s="125">
        <v>70</v>
      </c>
      <c r="D22" s="120"/>
      <c r="E22" s="120"/>
      <c r="F22" s="120"/>
      <c r="G22" s="129"/>
    </row>
    <row r="23" spans="1:7" x14ac:dyDescent="0.25">
      <c r="B23" s="102" t="s">
        <v>154</v>
      </c>
      <c r="C23" s="125">
        <v>50</v>
      </c>
      <c r="D23" s="120" t="s">
        <v>173</v>
      </c>
      <c r="E23" s="120"/>
      <c r="F23" s="120"/>
      <c r="G23" s="129"/>
    </row>
    <row r="24" spans="1:7" x14ac:dyDescent="0.25">
      <c r="B24" s="102" t="s">
        <v>163</v>
      </c>
      <c r="C24" s="125">
        <v>200</v>
      </c>
      <c r="D24" s="67">
        <f>C24/5</f>
        <v>40</v>
      </c>
      <c r="E24" s="67" t="s">
        <v>174</v>
      </c>
      <c r="F24" s="120"/>
      <c r="G24" s="129"/>
    </row>
    <row r="25" spans="1:7" x14ac:dyDescent="0.25">
      <c r="B25" s="102" t="s">
        <v>141</v>
      </c>
      <c r="C25" s="124" t="s">
        <v>172</v>
      </c>
      <c r="D25" s="120"/>
      <c r="E25" s="120"/>
      <c r="F25" s="120"/>
      <c r="G25" s="129"/>
    </row>
    <row r="26" spans="1:7" x14ac:dyDescent="0.25">
      <c r="A26" s="122">
        <v>0.04</v>
      </c>
      <c r="B26" s="102" t="s">
        <v>166</v>
      </c>
      <c r="C26" s="125">
        <f>A26*SUM(C19:C25)</f>
        <v>39.200000000000003</v>
      </c>
      <c r="D26" s="120"/>
      <c r="E26" s="120"/>
      <c r="F26" s="120"/>
      <c r="G26" s="129"/>
    </row>
    <row r="27" spans="1:7" x14ac:dyDescent="0.25">
      <c r="A27" s="122">
        <v>0.2</v>
      </c>
      <c r="B27" s="102" t="s">
        <v>165</v>
      </c>
      <c r="C27" s="125">
        <f>A27*SUM(C19:C25)</f>
        <v>196</v>
      </c>
      <c r="D27" s="120"/>
      <c r="E27" s="120"/>
      <c r="F27" s="120"/>
      <c r="G27" s="129"/>
    </row>
    <row r="28" spans="1:7" ht="15.75" x14ac:dyDescent="0.25">
      <c r="B28" s="46" t="s">
        <v>112</v>
      </c>
      <c r="C28" s="126">
        <f>SUM(C19:C27)</f>
        <v>1215.2</v>
      </c>
      <c r="D28" t="s">
        <v>177</v>
      </c>
      <c r="G28" s="129"/>
    </row>
    <row r="29" spans="1:7" x14ac:dyDescent="0.25">
      <c r="B29" s="130" t="s">
        <v>178</v>
      </c>
      <c r="C29" s="127">
        <f>C28+'Sidetracks-Recomps'!E3/1000000</f>
        <v>2363.6000000000004</v>
      </c>
      <c r="D29" s="128" t="s">
        <v>117</v>
      </c>
      <c r="G29" s="129"/>
    </row>
    <row r="30" spans="1:7" x14ac:dyDescent="0.25">
      <c r="B30" s="131" t="s">
        <v>179</v>
      </c>
      <c r="C30" s="127">
        <f>C28+'Sidetracks-Recomps'!D3/1000000</f>
        <v>2133.1999999999998</v>
      </c>
      <c r="D30" s="128" t="s">
        <v>116</v>
      </c>
      <c r="G30" s="12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71E10-49A6-4EE3-9FD0-9BD1F5A2C6D5}">
  <dimension ref="A1:I32"/>
  <sheetViews>
    <sheetView zoomScale="80" zoomScaleNormal="80" workbookViewId="0">
      <selection activeCell="H22" sqref="H22"/>
    </sheetView>
  </sheetViews>
  <sheetFormatPr defaultRowHeight="15" x14ac:dyDescent="0.25"/>
  <cols>
    <col min="1" max="1" width="36.42578125" customWidth="1"/>
    <col min="2" max="2" width="15.140625" customWidth="1"/>
    <col min="3" max="3" width="14.85546875" bestFit="1" customWidth="1"/>
    <col min="4" max="4" width="19" customWidth="1"/>
    <col min="5" max="5" width="20.140625" customWidth="1"/>
    <col min="6" max="6" width="16.140625" customWidth="1"/>
    <col min="7" max="8" width="19" customWidth="1"/>
    <col min="9" max="9" width="15.7109375" bestFit="1" customWidth="1"/>
  </cols>
  <sheetData>
    <row r="1" spans="1:9" x14ac:dyDescent="0.25">
      <c r="A1" s="61" t="s">
        <v>119</v>
      </c>
      <c r="C1" t="s">
        <v>78</v>
      </c>
    </row>
    <row r="2" spans="1:9" ht="15.75" x14ac:dyDescent="0.25">
      <c r="A2" s="114" t="s">
        <v>113</v>
      </c>
      <c r="B2" s="113" t="s">
        <v>156</v>
      </c>
      <c r="D2" s="6" t="s">
        <v>116</v>
      </c>
      <c r="E2" s="6" t="s">
        <v>117</v>
      </c>
    </row>
    <row r="3" spans="1:9" ht="15.75" x14ac:dyDescent="0.25">
      <c r="A3" s="4" t="s">
        <v>186</v>
      </c>
      <c r="B3" s="132">
        <v>0</v>
      </c>
      <c r="C3" s="46" t="s">
        <v>68</v>
      </c>
      <c r="D3" s="136">
        <f>B4*D30+B3*E30</f>
        <v>918000000</v>
      </c>
      <c r="E3" s="136">
        <f>B4*D29+B3*E29</f>
        <v>1148400000</v>
      </c>
      <c r="F3" s="145" t="s">
        <v>118</v>
      </c>
      <c r="G3" s="146"/>
      <c r="H3" s="142"/>
      <c r="I3" s="19"/>
    </row>
    <row r="4" spans="1:9" x14ac:dyDescent="0.25">
      <c r="A4" s="4" t="s">
        <v>187</v>
      </c>
      <c r="B4" s="132">
        <v>9</v>
      </c>
      <c r="C4" s="4" t="s">
        <v>114</v>
      </c>
      <c r="D4" s="103">
        <f>B4*C31+B3*F31</f>
        <v>1760400000</v>
      </c>
      <c r="E4" s="103">
        <f>B4*C29+B3*F29</f>
        <v>2019600000</v>
      </c>
      <c r="F4" s="105">
        <f>D4-D3</f>
        <v>842400000</v>
      </c>
      <c r="G4" s="105">
        <f>E4-E3</f>
        <v>871200000</v>
      </c>
      <c r="H4" s="143"/>
      <c r="I4" s="53" t="s">
        <v>114</v>
      </c>
    </row>
    <row r="5" spans="1:9" ht="15.75" x14ac:dyDescent="0.25">
      <c r="A5" s="4" t="s">
        <v>112</v>
      </c>
      <c r="B5" s="40">
        <f>B3+B4</f>
        <v>9</v>
      </c>
      <c r="C5" s="4" t="s">
        <v>115</v>
      </c>
      <c r="D5" s="104">
        <f>B4*B31+B3*G31</f>
        <v>3154500000</v>
      </c>
      <c r="E5" s="104">
        <f>B4*B29+B3*G29</f>
        <v>3640500000</v>
      </c>
      <c r="F5" s="106">
        <f>D5-D3</f>
        <v>2236500000</v>
      </c>
      <c r="G5" s="106">
        <f>E5-E3</f>
        <v>2492100000</v>
      </c>
      <c r="H5" s="144"/>
      <c r="I5" s="53" t="s">
        <v>115</v>
      </c>
    </row>
    <row r="6" spans="1:9" x14ac:dyDescent="0.25">
      <c r="F6" s="6" t="s">
        <v>116</v>
      </c>
      <c r="G6" s="6" t="s">
        <v>117</v>
      </c>
      <c r="H6" s="6"/>
    </row>
    <row r="7" spans="1:9" x14ac:dyDescent="0.25">
      <c r="A7" s="4" t="s">
        <v>100</v>
      </c>
      <c r="B7" s="42">
        <v>800000</v>
      </c>
      <c r="G7" s="4"/>
      <c r="H7" s="4"/>
    </row>
    <row r="8" spans="1:9" x14ac:dyDescent="0.25">
      <c r="A8" s="4" t="s">
        <v>102</v>
      </c>
      <c r="B8" s="73">
        <v>1500000</v>
      </c>
      <c r="G8" s="4"/>
      <c r="H8" s="4"/>
    </row>
    <row r="9" spans="1:9" ht="15.75" thickBot="1" x14ac:dyDescent="0.3">
      <c r="A9" s="4" t="s">
        <v>101</v>
      </c>
      <c r="B9" s="42">
        <v>400000</v>
      </c>
      <c r="G9" s="4"/>
      <c r="H9" s="4"/>
    </row>
    <row r="10" spans="1:9" ht="60" x14ac:dyDescent="0.25">
      <c r="B10" s="74" t="s">
        <v>106</v>
      </c>
      <c r="C10" s="65" t="s">
        <v>79</v>
      </c>
      <c r="D10" s="84" t="s">
        <v>108</v>
      </c>
      <c r="E10" s="85" t="s">
        <v>110</v>
      </c>
      <c r="F10" s="65" t="s">
        <v>109</v>
      </c>
      <c r="G10" s="74" t="s">
        <v>107</v>
      </c>
      <c r="H10" s="84" t="s">
        <v>212</v>
      </c>
    </row>
    <row r="11" spans="1:9" s="68" customFormat="1" x14ac:dyDescent="0.25">
      <c r="A11" s="69" t="s">
        <v>80</v>
      </c>
      <c r="B11" s="70">
        <v>7</v>
      </c>
      <c r="C11" s="70">
        <v>7</v>
      </c>
      <c r="D11" s="86">
        <v>7</v>
      </c>
      <c r="E11" s="87">
        <v>7</v>
      </c>
      <c r="F11" s="70">
        <v>7</v>
      </c>
      <c r="G11" s="70">
        <v>7</v>
      </c>
      <c r="H11" s="86">
        <v>2</v>
      </c>
      <c r="I11" s="70" t="s">
        <v>81</v>
      </c>
    </row>
    <row r="12" spans="1:9" s="68" customFormat="1" ht="30" x14ac:dyDescent="0.25">
      <c r="A12" s="69" t="s">
        <v>82</v>
      </c>
      <c r="B12" s="70">
        <v>5</v>
      </c>
      <c r="C12" s="70">
        <v>5</v>
      </c>
      <c r="D12" s="86">
        <v>6</v>
      </c>
      <c r="E12" s="87">
        <v>6</v>
      </c>
      <c r="F12" s="70">
        <v>6</v>
      </c>
      <c r="G12" s="70">
        <v>6</v>
      </c>
      <c r="H12" s="86">
        <v>0</v>
      </c>
      <c r="I12" s="70" t="s">
        <v>81</v>
      </c>
    </row>
    <row r="13" spans="1:9" s="68" customFormat="1" x14ac:dyDescent="0.25">
      <c r="A13" s="69" t="s">
        <v>83</v>
      </c>
      <c r="B13" s="70">
        <v>14</v>
      </c>
      <c r="C13" s="70">
        <v>14</v>
      </c>
      <c r="D13" s="86">
        <v>14</v>
      </c>
      <c r="E13" s="87">
        <v>14</v>
      </c>
      <c r="F13" s="70">
        <v>14</v>
      </c>
      <c r="G13" s="70">
        <v>14</v>
      </c>
      <c r="H13" s="86">
        <v>14</v>
      </c>
      <c r="I13" s="70" t="s">
        <v>81</v>
      </c>
    </row>
    <row r="14" spans="1:9" s="68" customFormat="1" x14ac:dyDescent="0.25">
      <c r="A14" s="69" t="s">
        <v>84</v>
      </c>
      <c r="B14" s="70">
        <v>10</v>
      </c>
      <c r="C14" s="70">
        <v>10</v>
      </c>
      <c r="D14" s="86">
        <v>5</v>
      </c>
      <c r="E14" s="87">
        <v>5</v>
      </c>
      <c r="F14" s="70">
        <v>5</v>
      </c>
      <c r="G14" s="70">
        <v>5</v>
      </c>
      <c r="H14" s="86">
        <v>10</v>
      </c>
      <c r="I14" s="70" t="s">
        <v>81</v>
      </c>
    </row>
    <row r="15" spans="1:9" s="68" customFormat="1" ht="30" x14ac:dyDescent="0.25">
      <c r="A15" s="71" t="s">
        <v>85</v>
      </c>
      <c r="D15" s="88">
        <v>5</v>
      </c>
      <c r="E15" s="89">
        <v>5</v>
      </c>
      <c r="H15" s="88">
        <v>0</v>
      </c>
      <c r="I15" s="68" t="s">
        <v>68</v>
      </c>
    </row>
    <row r="16" spans="1:9" s="68" customFormat="1" x14ac:dyDescent="0.25">
      <c r="A16" s="71" t="s">
        <v>86</v>
      </c>
      <c r="B16" s="72">
        <v>5</v>
      </c>
      <c r="C16" s="72">
        <v>5</v>
      </c>
      <c r="D16" s="88">
        <v>5</v>
      </c>
      <c r="E16" s="90"/>
      <c r="F16" s="72">
        <v>0</v>
      </c>
      <c r="G16" s="72">
        <v>0</v>
      </c>
      <c r="H16" s="88">
        <v>0</v>
      </c>
      <c r="I16" s="68" t="s">
        <v>68</v>
      </c>
    </row>
    <row r="17" spans="1:9" s="68" customFormat="1" ht="30" x14ac:dyDescent="0.25">
      <c r="A17" s="71" t="s">
        <v>87</v>
      </c>
      <c r="B17" s="72">
        <v>5</v>
      </c>
      <c r="C17" s="72">
        <v>5</v>
      </c>
      <c r="D17" s="88">
        <v>5</v>
      </c>
      <c r="E17" s="90"/>
      <c r="F17" s="72">
        <v>0</v>
      </c>
      <c r="G17" s="72">
        <v>0</v>
      </c>
      <c r="H17" s="88">
        <v>5</v>
      </c>
      <c r="I17" s="68" t="s">
        <v>68</v>
      </c>
    </row>
    <row r="18" spans="1:9" s="68" customFormat="1" x14ac:dyDescent="0.25">
      <c r="A18" s="71" t="s">
        <v>88</v>
      </c>
      <c r="B18" s="68">
        <v>72</v>
      </c>
      <c r="C18" s="68">
        <v>72</v>
      </c>
      <c r="D18" s="88">
        <v>72</v>
      </c>
      <c r="E18" s="90">
        <v>0</v>
      </c>
      <c r="F18" s="68">
        <v>0</v>
      </c>
      <c r="G18" s="68">
        <v>0</v>
      </c>
      <c r="H18" s="88">
        <v>72</v>
      </c>
      <c r="I18" s="68" t="s">
        <v>68</v>
      </c>
    </row>
    <row r="19" spans="1:9" s="68" customFormat="1" x14ac:dyDescent="0.25">
      <c r="A19" s="71" t="s">
        <v>89</v>
      </c>
      <c r="B19" s="68">
        <v>10</v>
      </c>
      <c r="C19" s="68">
        <v>10</v>
      </c>
      <c r="D19" s="88">
        <v>10</v>
      </c>
      <c r="E19" s="90">
        <v>0</v>
      </c>
      <c r="F19" s="68">
        <v>0</v>
      </c>
      <c r="G19" s="68">
        <v>0</v>
      </c>
      <c r="H19" s="88">
        <v>10</v>
      </c>
      <c r="I19" s="68" t="s">
        <v>68</v>
      </c>
    </row>
    <row r="20" spans="1:9" s="68" customFormat="1" x14ac:dyDescent="0.25">
      <c r="A20" s="71" t="s">
        <v>90</v>
      </c>
      <c r="B20" s="68">
        <v>10</v>
      </c>
      <c r="C20" s="68">
        <v>10</v>
      </c>
      <c r="D20" s="88">
        <v>10</v>
      </c>
      <c r="E20" s="90">
        <v>0</v>
      </c>
      <c r="F20" s="68">
        <v>0</v>
      </c>
      <c r="G20" s="68">
        <v>0</v>
      </c>
      <c r="H20" s="88">
        <v>8</v>
      </c>
      <c r="I20" s="68" t="s">
        <v>68</v>
      </c>
    </row>
    <row r="21" spans="1:9" s="68" customFormat="1" x14ac:dyDescent="0.25">
      <c r="A21" s="71" t="s">
        <v>91</v>
      </c>
      <c r="D21" s="88">
        <v>3</v>
      </c>
      <c r="E21" s="90">
        <v>3</v>
      </c>
      <c r="H21" s="88">
        <v>0</v>
      </c>
      <c r="I21" s="68" t="s">
        <v>68</v>
      </c>
    </row>
    <row r="22" spans="1:9" s="68" customFormat="1" x14ac:dyDescent="0.25">
      <c r="A22" s="71" t="s">
        <v>92</v>
      </c>
      <c r="B22" s="68">
        <v>95</v>
      </c>
      <c r="C22" s="68">
        <v>95</v>
      </c>
      <c r="D22" s="88">
        <v>90</v>
      </c>
      <c r="E22" s="90">
        <v>90</v>
      </c>
      <c r="F22" s="68">
        <v>95</v>
      </c>
      <c r="G22" s="68">
        <v>95</v>
      </c>
      <c r="H22" s="88">
        <v>90</v>
      </c>
      <c r="I22" s="68" t="s">
        <v>68</v>
      </c>
    </row>
    <row r="23" spans="1:9" s="68" customFormat="1" x14ac:dyDescent="0.25">
      <c r="A23" s="71" t="s">
        <v>93</v>
      </c>
      <c r="B23" s="68">
        <v>5</v>
      </c>
      <c r="C23" s="68">
        <v>5</v>
      </c>
      <c r="D23" s="88"/>
      <c r="E23" s="90"/>
      <c r="F23" s="68">
        <v>5</v>
      </c>
      <c r="G23" s="68">
        <v>5</v>
      </c>
      <c r="H23" s="88"/>
    </row>
    <row r="24" spans="1:9" s="68" customFormat="1" ht="30" x14ac:dyDescent="0.25">
      <c r="A24" s="71" t="s">
        <v>94</v>
      </c>
      <c r="B24" s="68">
        <v>5</v>
      </c>
      <c r="C24" s="68">
        <v>5</v>
      </c>
      <c r="D24" s="88"/>
      <c r="E24" s="90"/>
      <c r="F24" s="68">
        <v>5</v>
      </c>
      <c r="G24" s="68">
        <v>5</v>
      </c>
      <c r="H24" s="88"/>
    </row>
    <row r="25" spans="1:9" x14ac:dyDescent="0.25">
      <c r="A25" s="4" t="s">
        <v>103</v>
      </c>
      <c r="B25" s="80">
        <f t="shared" ref="B25:G25" si="0">SUM(B11:B24)</f>
        <v>243</v>
      </c>
      <c r="C25" s="60">
        <f t="shared" si="0"/>
        <v>243</v>
      </c>
      <c r="D25" s="91">
        <f t="shared" si="0"/>
        <v>232</v>
      </c>
      <c r="E25" s="92">
        <f t="shared" si="0"/>
        <v>130</v>
      </c>
      <c r="F25" s="82">
        <f t="shared" si="0"/>
        <v>137</v>
      </c>
      <c r="G25" s="60">
        <f t="shared" si="0"/>
        <v>137</v>
      </c>
      <c r="H25" s="91">
        <f t="shared" ref="H25" si="1">SUM(H11:H24)</f>
        <v>211</v>
      </c>
      <c r="I25" s="68" t="s">
        <v>104</v>
      </c>
    </row>
    <row r="26" spans="1:9" x14ac:dyDescent="0.25">
      <c r="D26" s="29"/>
      <c r="E26" s="31"/>
      <c r="H26" s="29"/>
    </row>
    <row r="27" spans="1:9" x14ac:dyDescent="0.25">
      <c r="A27" t="s">
        <v>95</v>
      </c>
      <c r="B27" s="81">
        <v>15000000</v>
      </c>
      <c r="C27" s="42">
        <v>10000000</v>
      </c>
      <c r="D27" s="93">
        <v>2000000</v>
      </c>
      <c r="E27" s="94">
        <v>2000000</v>
      </c>
      <c r="F27" s="83">
        <v>10000000</v>
      </c>
      <c r="G27" s="73">
        <v>15000000</v>
      </c>
      <c r="H27" s="93">
        <v>2000000</v>
      </c>
    </row>
    <row r="28" spans="1:9" x14ac:dyDescent="0.25">
      <c r="A28" t="s">
        <v>96</v>
      </c>
      <c r="B28" s="81">
        <v>25000000</v>
      </c>
      <c r="C28" s="42">
        <v>20000000</v>
      </c>
      <c r="D28" s="93">
        <v>20000000</v>
      </c>
      <c r="E28" s="94">
        <v>20000000</v>
      </c>
      <c r="F28" s="83">
        <v>20000000</v>
      </c>
      <c r="G28" s="73">
        <v>25000000</v>
      </c>
      <c r="H28" s="93">
        <v>20000000</v>
      </c>
    </row>
    <row r="29" spans="1:9" x14ac:dyDescent="0.25">
      <c r="A29" s="45" t="s">
        <v>97</v>
      </c>
      <c r="B29" s="79">
        <f>B25*B8+SUM(B27:B28)</f>
        <v>404500000</v>
      </c>
      <c r="C29" s="78">
        <f>C25*B7+SUM(C27:C28)</f>
        <v>224400000</v>
      </c>
      <c r="D29" s="95">
        <f>SUM(D11:D14)*800000+SUM(D15:D22)*400000+SUM(D27:D28)</f>
        <v>127600000</v>
      </c>
      <c r="E29" s="96">
        <f>+SUM(E11:E14)*800000+SUM(E15:E22)*400000+SUM(E27:E28)</f>
        <v>86800000</v>
      </c>
      <c r="F29" s="78">
        <f>F25*B7+SUM(F27:F28)</f>
        <v>139600000</v>
      </c>
      <c r="G29" s="79">
        <f>G25*B8+SUM(G27:G28)</f>
        <v>245500000</v>
      </c>
      <c r="H29" s="95">
        <f>SUM(H11:H14)*800000+SUM(H15:H22)*400000+SUM(H27:H28)</f>
        <v>116800000</v>
      </c>
    </row>
    <row r="30" spans="1:9" x14ac:dyDescent="0.25">
      <c r="A30" s="76" t="s">
        <v>98</v>
      </c>
      <c r="B30" s="77"/>
      <c r="C30" s="77"/>
      <c r="D30" s="97">
        <f>+SUM(D15:D22)*400000+SUM(D27:D28)</f>
        <v>102000000</v>
      </c>
      <c r="E30" s="98">
        <f>+SUM(E15:E22)*400000+SUM(E27:E28)</f>
        <v>61200000</v>
      </c>
      <c r="F30" s="77"/>
      <c r="G30" s="77"/>
      <c r="H30" s="97">
        <f>+SUM(H11:H22)*400000+SUM(H27:H28)</f>
        <v>106400000</v>
      </c>
    </row>
    <row r="31" spans="1:9" x14ac:dyDescent="0.25">
      <c r="A31" t="s">
        <v>99</v>
      </c>
      <c r="B31" s="79">
        <f>SUM(B15:B24)*B8+SUM(B27:B28)</f>
        <v>350500000</v>
      </c>
      <c r="C31" s="67">
        <f>SUM(C15:C24)*B7+SUM(C27:C28)</f>
        <v>195600000</v>
      </c>
      <c r="D31" s="29"/>
      <c r="E31" s="31"/>
      <c r="F31" s="67">
        <f>SUM(F15:F24)*B7+SUM(F27:F28)</f>
        <v>114000000</v>
      </c>
      <c r="G31" s="79">
        <f>SUM(G15:G24)*B8+SUM(G27:G28)</f>
        <v>197500000</v>
      </c>
      <c r="H31" s="29"/>
    </row>
    <row r="32" spans="1:9" ht="15.75" thickBot="1" x14ac:dyDescent="0.3">
      <c r="A32" s="4" t="s">
        <v>105</v>
      </c>
      <c r="B32" s="67">
        <f>B29-B31</f>
        <v>54000000</v>
      </c>
      <c r="C32" s="67">
        <f>C29-C31</f>
        <v>28800000</v>
      </c>
      <c r="D32" s="99">
        <f>D29-D30</f>
        <v>25600000</v>
      </c>
      <c r="E32" s="100">
        <f>E29-E30</f>
        <v>25600000</v>
      </c>
      <c r="F32" s="67">
        <f>F29-F31</f>
        <v>25600000</v>
      </c>
      <c r="G32" s="67">
        <f t="shared" ref="G32" si="2">G29-G31</f>
        <v>48000000</v>
      </c>
      <c r="H32" s="99">
        <f>H29-H30</f>
        <v>10400000</v>
      </c>
    </row>
  </sheetData>
  <mergeCells count="1">
    <mergeCell ref="F3:G3"/>
  </mergeCells>
  <pageMargins left="0.7" right="0.7" top="0.75" bottom="0.75" header="0.3" footer="0.3"/>
  <pageSetup orientation="portrait" horizontalDpi="1200" verticalDpi="12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99065-863C-4AC0-944A-63888A613F6C}">
  <dimension ref="A1:Z32"/>
  <sheetViews>
    <sheetView topLeftCell="A7" workbookViewId="0">
      <selection activeCell="L12" sqref="L12:L13"/>
    </sheetView>
  </sheetViews>
  <sheetFormatPr defaultRowHeight="15" x14ac:dyDescent="0.25"/>
  <cols>
    <col min="1" max="1" width="26.42578125" customWidth="1"/>
    <col min="2" max="2" width="17.140625" bestFit="1" customWidth="1"/>
    <col min="6" max="6" width="32" customWidth="1"/>
    <col min="7" max="7" width="17.42578125" customWidth="1"/>
    <col min="11" max="11" width="32.5703125" bestFit="1" customWidth="1"/>
    <col min="12" max="12" width="16.28515625" bestFit="1" customWidth="1"/>
    <col min="13" max="13" width="15.140625" customWidth="1"/>
    <col min="14" max="14" width="16.28515625" bestFit="1" customWidth="1"/>
    <col min="15" max="15" width="16.28515625" customWidth="1"/>
    <col min="16" max="16" width="15.28515625" bestFit="1" customWidth="1"/>
    <col min="24" max="24" width="15.28515625" bestFit="1" customWidth="1"/>
    <col min="25" max="25" width="15.28515625" customWidth="1"/>
    <col min="26" max="26" width="15.28515625" bestFit="1" customWidth="1"/>
  </cols>
  <sheetData>
    <row r="1" spans="1:26" x14ac:dyDescent="0.25">
      <c r="A1" t="s">
        <v>120</v>
      </c>
      <c r="B1" s="66" t="s">
        <v>121</v>
      </c>
      <c r="F1" t="s">
        <v>122</v>
      </c>
      <c r="G1" s="66"/>
      <c r="L1" s="66"/>
      <c r="M1" s="66"/>
      <c r="X1" s="6" t="s">
        <v>123</v>
      </c>
      <c r="Y1" s="6" t="s">
        <v>122</v>
      </c>
      <c r="Z1" s="6" t="s">
        <v>124</v>
      </c>
    </row>
    <row r="2" spans="1:26" ht="30" x14ac:dyDescent="0.25">
      <c r="K2" s="107" t="s">
        <v>125</v>
      </c>
      <c r="L2" s="108" t="s">
        <v>126</v>
      </c>
      <c r="M2" s="108"/>
      <c r="N2" s="108" t="s">
        <v>127</v>
      </c>
      <c r="O2" s="108"/>
      <c r="P2" s="108" t="s">
        <v>128</v>
      </c>
      <c r="W2" s="4" t="s">
        <v>129</v>
      </c>
      <c r="X2" s="67">
        <f>L3+L6+L7+L12+L13</f>
        <v>1157948320</v>
      </c>
      <c r="Y2" s="67">
        <f>N3+N6+N7+N12+N13</f>
        <v>2662047200</v>
      </c>
      <c r="Z2" s="67">
        <f t="shared" ref="Z2" si="0">P3+P6+P7+P12+P13</f>
        <v>5132606400</v>
      </c>
    </row>
    <row r="3" spans="1:26" x14ac:dyDescent="0.25">
      <c r="A3" t="s">
        <v>130</v>
      </c>
      <c r="B3" s="66">
        <v>1300000000</v>
      </c>
      <c r="F3" t="s">
        <v>130</v>
      </c>
      <c r="G3" s="66">
        <v>1100000000</v>
      </c>
      <c r="K3" s="4" t="s">
        <v>130</v>
      </c>
      <c r="L3" s="66">
        <f>100000000+200000000+80000000</f>
        <v>380000000</v>
      </c>
      <c r="M3" s="66"/>
      <c r="N3" s="67">
        <f t="shared" ref="N3:N8" si="1">G3</f>
        <v>1100000000</v>
      </c>
      <c r="O3" s="67"/>
      <c r="P3" s="67">
        <f t="shared" ref="P3:P13" si="2">B3</f>
        <v>1300000000</v>
      </c>
      <c r="W3" s="4" t="s">
        <v>131</v>
      </c>
      <c r="X3" s="67">
        <f>L8+L9</f>
        <v>1128920000</v>
      </c>
      <c r="Y3" s="67">
        <f>N8+N9</f>
        <v>1868200000</v>
      </c>
      <c r="Z3" s="67">
        <f t="shared" ref="Z3" si="3">P8+P9</f>
        <v>3428400000</v>
      </c>
    </row>
    <row r="4" spans="1:26" x14ac:dyDescent="0.25">
      <c r="A4" t="s">
        <v>132</v>
      </c>
      <c r="B4" s="66">
        <v>250000000</v>
      </c>
      <c r="F4" t="s">
        <v>132</v>
      </c>
      <c r="G4" s="66">
        <v>250000000</v>
      </c>
      <c r="K4" s="4" t="s">
        <v>132</v>
      </c>
      <c r="L4" s="66">
        <v>110000000</v>
      </c>
      <c r="M4" s="66"/>
      <c r="N4" s="67">
        <f t="shared" si="1"/>
        <v>250000000</v>
      </c>
      <c r="O4" s="67"/>
      <c r="P4" s="67">
        <f t="shared" si="2"/>
        <v>250000000</v>
      </c>
      <c r="W4" s="4" t="s">
        <v>133</v>
      </c>
      <c r="X4" s="67">
        <f>+L11+L10</f>
        <v>170000000</v>
      </c>
      <c r="Y4" s="67">
        <f>+N11+N10</f>
        <v>330000000</v>
      </c>
      <c r="Z4" s="67">
        <f t="shared" ref="Z4" si="4">+P11+P10</f>
        <v>330000000</v>
      </c>
    </row>
    <row r="5" spans="1:26" x14ac:dyDescent="0.25">
      <c r="A5" t="s">
        <v>134</v>
      </c>
      <c r="B5" s="66">
        <v>150000000</v>
      </c>
      <c r="F5" t="s">
        <v>134</v>
      </c>
      <c r="G5" s="66">
        <v>150000000</v>
      </c>
      <c r="K5" s="4" t="s">
        <v>134</v>
      </c>
      <c r="L5" s="66">
        <v>75000000</v>
      </c>
      <c r="M5" s="66"/>
      <c r="N5" s="67">
        <f t="shared" si="1"/>
        <v>150000000</v>
      </c>
      <c r="O5" s="67"/>
      <c r="P5" s="67">
        <f t="shared" si="2"/>
        <v>150000000</v>
      </c>
      <c r="W5" s="4" t="s">
        <v>135</v>
      </c>
      <c r="X5" s="67">
        <f>+L4+L5</f>
        <v>185000000</v>
      </c>
      <c r="Y5" s="67">
        <f>+N4+N5</f>
        <v>400000000</v>
      </c>
      <c r="Z5" s="67">
        <f t="shared" ref="Z5" si="5">+P4+P5</f>
        <v>400000000</v>
      </c>
    </row>
    <row r="6" spans="1:26" x14ac:dyDescent="0.25">
      <c r="A6" t="s">
        <v>136</v>
      </c>
      <c r="B6" s="66">
        <v>150000000</v>
      </c>
      <c r="F6" t="s">
        <v>136</v>
      </c>
      <c r="G6" s="66">
        <v>150000000</v>
      </c>
      <c r="K6" s="4" t="s">
        <v>136</v>
      </c>
      <c r="L6" s="66">
        <v>150000000</v>
      </c>
      <c r="M6" s="66"/>
      <c r="N6" s="67">
        <f t="shared" si="1"/>
        <v>150000000</v>
      </c>
      <c r="O6" s="67"/>
      <c r="P6" s="67">
        <f t="shared" si="2"/>
        <v>150000000</v>
      </c>
    </row>
    <row r="7" spans="1:26" x14ac:dyDescent="0.25">
      <c r="A7" t="s">
        <v>137</v>
      </c>
      <c r="B7" s="66">
        <f>90000000*24</f>
        <v>2160000000</v>
      </c>
      <c r="F7" t="s">
        <v>138</v>
      </c>
      <c r="G7" s="66">
        <f>5*110000000</f>
        <v>550000000</v>
      </c>
      <c r="K7" s="4" t="s">
        <v>139</v>
      </c>
      <c r="L7" s="66">
        <f>110000000+65000000+20000000</f>
        <v>195000000</v>
      </c>
      <c r="M7" s="66"/>
      <c r="N7" s="67">
        <f t="shared" si="1"/>
        <v>550000000</v>
      </c>
      <c r="O7" s="67"/>
      <c r="P7" s="67">
        <f t="shared" si="2"/>
        <v>2160000000</v>
      </c>
    </row>
    <row r="8" spans="1:26" x14ac:dyDescent="0.25">
      <c r="A8" t="s">
        <v>140</v>
      </c>
      <c r="B8" s="66">
        <f>40000000*24</f>
        <v>960000000</v>
      </c>
      <c r="F8" t="s">
        <v>140</v>
      </c>
      <c r="G8" s="66">
        <f>40000000*5</f>
        <v>200000000</v>
      </c>
      <c r="K8" s="4" t="s">
        <v>140</v>
      </c>
      <c r="L8" s="66">
        <f>30000000*5</f>
        <v>150000000</v>
      </c>
      <c r="M8" s="66"/>
      <c r="N8" s="67">
        <f t="shared" si="1"/>
        <v>200000000</v>
      </c>
      <c r="O8" s="67"/>
      <c r="P8" s="67">
        <f t="shared" si="2"/>
        <v>960000000</v>
      </c>
      <c r="X8" s="67">
        <f>SUM(X2:X7)</f>
        <v>2641868320</v>
      </c>
      <c r="Y8" s="67">
        <f t="shared" ref="Y8:Z8" si="6">SUM(Y2:Y7)</f>
        <v>5260247200</v>
      </c>
      <c r="Z8" s="67">
        <f t="shared" si="6"/>
        <v>9291006400</v>
      </c>
    </row>
    <row r="9" spans="1:26" x14ac:dyDescent="0.25">
      <c r="A9" t="s">
        <v>141</v>
      </c>
      <c r="B9" s="66">
        <f>24*22000/10000*55*850000</f>
        <v>2468400000</v>
      </c>
      <c r="F9" t="s">
        <v>141</v>
      </c>
      <c r="G9" s="66">
        <f>5*32000/10000*62*850000+5*110*1500000</f>
        <v>1668200000</v>
      </c>
      <c r="K9" s="4" t="s">
        <v>141</v>
      </c>
      <c r="L9" s="66">
        <f>2*32000/10000*62*850000+3*20000/10000*62*850000+2*100*450000+3*12000/10000*62*450000+3*100*450000</f>
        <v>978920000</v>
      </c>
      <c r="M9" s="66"/>
      <c r="N9" s="66">
        <f>5*32000/10000*62*850000+5*110*1500000</f>
        <v>1668200000</v>
      </c>
      <c r="O9" s="66"/>
      <c r="P9" s="67">
        <f t="shared" si="2"/>
        <v>2468400000</v>
      </c>
    </row>
    <row r="10" spans="1:26" x14ac:dyDescent="0.25">
      <c r="A10" t="s">
        <v>142</v>
      </c>
      <c r="B10" s="66">
        <v>300000000</v>
      </c>
      <c r="F10" t="s">
        <v>142</v>
      </c>
      <c r="G10" s="66">
        <v>300000000</v>
      </c>
      <c r="K10" s="4" t="s">
        <v>143</v>
      </c>
      <c r="L10" s="66">
        <v>150000000</v>
      </c>
      <c r="M10" s="66"/>
      <c r="N10" s="67">
        <f>G10</f>
        <v>300000000</v>
      </c>
      <c r="O10" s="67"/>
      <c r="P10" s="67">
        <f t="shared" si="2"/>
        <v>300000000</v>
      </c>
    </row>
    <row r="11" spans="1:26" x14ac:dyDescent="0.25">
      <c r="A11" t="s">
        <v>144</v>
      </c>
      <c r="B11" s="66">
        <v>30000000</v>
      </c>
      <c r="F11" t="s">
        <v>144</v>
      </c>
      <c r="G11" s="66">
        <v>30000000</v>
      </c>
      <c r="K11" s="4" t="s">
        <v>144</v>
      </c>
      <c r="L11" s="66">
        <v>20000000</v>
      </c>
      <c r="M11" s="66"/>
      <c r="N11" s="67">
        <f>G11</f>
        <v>30000000</v>
      </c>
      <c r="O11" s="67"/>
      <c r="P11" s="67">
        <f t="shared" si="2"/>
        <v>30000000</v>
      </c>
    </row>
    <row r="12" spans="1:26" x14ac:dyDescent="0.25">
      <c r="A12" t="s">
        <v>145</v>
      </c>
      <c r="B12" s="66">
        <f>SUM(B3:B11)*0.04</f>
        <v>310736000</v>
      </c>
      <c r="F12" t="s">
        <v>145</v>
      </c>
      <c r="G12" s="66">
        <f>SUM(G3:G11)*0.04</f>
        <v>175928000</v>
      </c>
      <c r="K12" s="4" t="s">
        <v>145</v>
      </c>
      <c r="L12" s="66">
        <f>SUM(L3:L11)*0.04</f>
        <v>88356800</v>
      </c>
      <c r="M12" s="66">
        <f>'2018 RBS Costing for TOTAL'!L12/5</f>
        <v>17671360</v>
      </c>
      <c r="N12" s="67">
        <f>G12</f>
        <v>175928000</v>
      </c>
      <c r="O12" s="109">
        <f>N12/15</f>
        <v>11728533.333333334</v>
      </c>
      <c r="P12" s="67">
        <f t="shared" si="2"/>
        <v>310736000</v>
      </c>
    </row>
    <row r="13" spans="1:26" x14ac:dyDescent="0.25">
      <c r="A13" t="s">
        <v>146</v>
      </c>
      <c r="B13" s="66">
        <f>SUM(B3:B12)*0.15</f>
        <v>1211870400</v>
      </c>
      <c r="F13" t="s">
        <v>146</v>
      </c>
      <c r="G13" s="66">
        <f>SUM(G3:G12)*0.15</f>
        <v>686119200</v>
      </c>
      <c r="K13" s="4" t="s">
        <v>146</v>
      </c>
      <c r="L13" s="66">
        <f>SUM(L3:L12)*0.15</f>
        <v>344591520</v>
      </c>
      <c r="M13" s="66">
        <f>L13/10</f>
        <v>34459152</v>
      </c>
      <c r="N13" s="67">
        <f>G13</f>
        <v>686119200</v>
      </c>
      <c r="O13" s="67">
        <f>(N3+N4+N6+N8+N13)/15</f>
        <v>159074613.33333334</v>
      </c>
      <c r="P13" s="67">
        <f t="shared" si="2"/>
        <v>1211870400</v>
      </c>
    </row>
    <row r="14" spans="1:26" x14ac:dyDescent="0.25">
      <c r="B14" s="66"/>
      <c r="G14" s="66"/>
      <c r="L14" s="66"/>
      <c r="M14" s="66"/>
    </row>
    <row r="15" spans="1:26" x14ac:dyDescent="0.25">
      <c r="A15" t="s">
        <v>112</v>
      </c>
      <c r="B15" s="66">
        <f>SUM(B3:B14)</f>
        <v>9291006400</v>
      </c>
      <c r="F15" t="s">
        <v>112</v>
      </c>
      <c r="G15" s="66">
        <f>SUM(G3:G14)</f>
        <v>5260247200</v>
      </c>
      <c r="K15" s="4" t="s">
        <v>147</v>
      </c>
      <c r="L15" s="66">
        <f>SUM(L3:L14)</f>
        <v>2641868320</v>
      </c>
      <c r="M15" s="66"/>
      <c r="N15" s="67">
        <f>SUM(N3:N14)</f>
        <v>5260247200</v>
      </c>
      <c r="O15" s="67"/>
      <c r="P15" s="67">
        <f>SUM(P3:P14)</f>
        <v>9291006400</v>
      </c>
    </row>
    <row r="16" spans="1:26" x14ac:dyDescent="0.25">
      <c r="B16" s="66"/>
    </row>
    <row r="17" spans="2:15" x14ac:dyDescent="0.25">
      <c r="B17" s="66"/>
      <c r="K17" s="4" t="s">
        <v>148</v>
      </c>
      <c r="L17" s="67">
        <f>SUM(L8:L9)*180/280/5</f>
        <v>145146857.14285713</v>
      </c>
      <c r="M17" s="67"/>
      <c r="N17" s="67">
        <f>SUM(N8:N9)*180/280/5</f>
        <v>240197142.85714287</v>
      </c>
      <c r="O17" s="67"/>
    </row>
    <row r="18" spans="2:15" x14ac:dyDescent="0.25">
      <c r="K18" s="4" t="s">
        <v>149</v>
      </c>
      <c r="L18" s="67">
        <f>SUM(L8:L9)*100/280/5</f>
        <v>80637142.857142851</v>
      </c>
      <c r="M18" s="67"/>
      <c r="N18" s="67">
        <f>SUM(N8:N9)*100/280/5</f>
        <v>133442857.14285715</v>
      </c>
      <c r="O18" s="67"/>
    </row>
    <row r="20" spans="2:15" x14ac:dyDescent="0.25">
      <c r="K20" s="4" t="s">
        <v>112</v>
      </c>
      <c r="L20" s="67">
        <f>SUM(L17:L19)</f>
        <v>225784000</v>
      </c>
      <c r="M20" s="67"/>
      <c r="N20" s="67">
        <f>SUM(N17:N19)</f>
        <v>373640000</v>
      </c>
      <c r="O20" s="67"/>
    </row>
    <row r="22" spans="2:15" x14ac:dyDescent="0.25">
      <c r="K22" s="4" t="s">
        <v>150</v>
      </c>
      <c r="L22" s="67">
        <f>L17/180*90</f>
        <v>72573428.571428567</v>
      </c>
      <c r="M22" s="67"/>
      <c r="N22" s="67">
        <f>N17/180*90</f>
        <v>120098571.42857142</v>
      </c>
      <c r="O22" s="67"/>
    </row>
    <row r="23" spans="2:15" x14ac:dyDescent="0.25">
      <c r="K23" s="4" t="s">
        <v>151</v>
      </c>
      <c r="L23" s="67">
        <f>L18</f>
        <v>80637142.857142851</v>
      </c>
      <c r="M23" s="67"/>
      <c r="N23" s="67">
        <f>N18</f>
        <v>133442857.14285715</v>
      </c>
      <c r="O23" s="67"/>
    </row>
    <row r="25" spans="2:15" x14ac:dyDescent="0.25">
      <c r="K25" s="4" t="s">
        <v>130</v>
      </c>
      <c r="L25" s="67">
        <f>L3</f>
        <v>380000000</v>
      </c>
      <c r="M25" s="67"/>
      <c r="N25" s="67">
        <f>N3</f>
        <v>1100000000</v>
      </c>
      <c r="O25" s="67"/>
    </row>
    <row r="26" spans="2:15" x14ac:dyDescent="0.25">
      <c r="K26" s="4" t="s">
        <v>136</v>
      </c>
      <c r="L26" s="67">
        <f>L6</f>
        <v>150000000</v>
      </c>
      <c r="M26" s="67">
        <f>SUM(L25:L26)</f>
        <v>530000000</v>
      </c>
      <c r="N26" s="67">
        <f>N6</f>
        <v>150000000</v>
      </c>
      <c r="O26" s="109">
        <f>SUM(N25:N26)/15</f>
        <v>83333333.333333328</v>
      </c>
    </row>
    <row r="27" spans="2:15" x14ac:dyDescent="0.25">
      <c r="K27" s="4" t="s">
        <v>152</v>
      </c>
      <c r="L27" s="110">
        <f>SUM(L4:L5)</f>
        <v>185000000</v>
      </c>
      <c r="M27" s="110">
        <f>L27/4</f>
        <v>46250000</v>
      </c>
      <c r="N27" s="110">
        <f>SUM(N4:N5)</f>
        <v>400000000</v>
      </c>
      <c r="O27" s="110"/>
    </row>
    <row r="28" spans="2:15" x14ac:dyDescent="0.25">
      <c r="K28" s="4" t="s">
        <v>153</v>
      </c>
      <c r="L28" s="110">
        <f>L7</f>
        <v>195000000</v>
      </c>
      <c r="M28" s="110"/>
      <c r="N28" s="110">
        <f>N7</f>
        <v>550000000</v>
      </c>
      <c r="O28" s="110"/>
    </row>
    <row r="29" spans="2:15" x14ac:dyDescent="0.25">
      <c r="K29" s="4" t="s">
        <v>154</v>
      </c>
      <c r="L29" s="67">
        <f>SUM(L10:L11)</f>
        <v>170000000</v>
      </c>
      <c r="M29" s="111" t="s">
        <v>53</v>
      </c>
      <c r="N29" s="67">
        <f>SUM(N10:N11)</f>
        <v>330000000</v>
      </c>
      <c r="O29" s="67">
        <f>N29/4</f>
        <v>82500000</v>
      </c>
    </row>
    <row r="30" spans="2:15" x14ac:dyDescent="0.25">
      <c r="K30" s="4" t="s">
        <v>141</v>
      </c>
      <c r="L30" s="67">
        <f>SUM(L8:L9)</f>
        <v>1128920000</v>
      </c>
      <c r="M30" s="112">
        <f>L30/5</f>
        <v>225784000</v>
      </c>
      <c r="N30" s="67">
        <f>SUM(N8:N9)</f>
        <v>1868200000</v>
      </c>
      <c r="O30" s="67"/>
    </row>
    <row r="31" spans="2:15" x14ac:dyDescent="0.25">
      <c r="K31" s="4" t="s">
        <v>155</v>
      </c>
      <c r="L31" s="67">
        <f>SUM(L12:L13)</f>
        <v>432948320</v>
      </c>
      <c r="M31" s="67"/>
      <c r="N31" s="67">
        <f>SUM(N12:N13)</f>
        <v>862047200</v>
      </c>
      <c r="O31" s="67"/>
    </row>
    <row r="32" spans="2:15" x14ac:dyDescent="0.25">
      <c r="K32" s="4" t="s">
        <v>112</v>
      </c>
      <c r="L32" s="67">
        <f>SUM(L25:L31)</f>
        <v>2641868320</v>
      </c>
      <c r="M32" s="67"/>
      <c r="N32" s="67">
        <f>SUM(N25:N31)</f>
        <v>5260247200</v>
      </c>
      <c r="O32" s="67"/>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8A742-9E73-4F61-AE26-D2A5F00A23B8}">
  <dimension ref="A1:G23"/>
  <sheetViews>
    <sheetView topLeftCell="A10" zoomScale="90" zoomScaleNormal="90" workbookViewId="0">
      <selection activeCell="F4" sqref="F4"/>
    </sheetView>
  </sheetViews>
  <sheetFormatPr defaultRowHeight="15" x14ac:dyDescent="0.25"/>
  <cols>
    <col min="2" max="2" width="12.5703125" customWidth="1"/>
    <col min="3" max="3" width="12.85546875" customWidth="1"/>
    <col min="4" max="4" width="6.7109375" customWidth="1"/>
    <col min="6" max="7" width="15.7109375" bestFit="1" customWidth="1"/>
  </cols>
  <sheetData>
    <row r="1" spans="1:7" x14ac:dyDescent="0.25">
      <c r="A1" t="s">
        <v>36</v>
      </c>
    </row>
    <row r="2" spans="1:7" x14ac:dyDescent="0.25">
      <c r="A2" s="41" t="s">
        <v>10</v>
      </c>
    </row>
    <row r="3" spans="1:7" x14ac:dyDescent="0.25">
      <c r="B3" s="4" t="s">
        <v>37</v>
      </c>
      <c r="C3" s="42">
        <v>800000</v>
      </c>
      <c r="E3" s="4" t="s">
        <v>42</v>
      </c>
      <c r="F3" s="42">
        <v>200000000</v>
      </c>
      <c r="G3" t="s">
        <v>53</v>
      </c>
    </row>
    <row r="4" spans="1:7" x14ac:dyDescent="0.25">
      <c r="B4" s="48" t="s">
        <v>54</v>
      </c>
      <c r="C4" s="101">
        <v>1500000</v>
      </c>
      <c r="E4" s="48" t="s">
        <v>42</v>
      </c>
      <c r="F4" s="101">
        <v>260000000</v>
      </c>
      <c r="G4" s="49" t="s">
        <v>55</v>
      </c>
    </row>
    <row r="5" spans="1:7" x14ac:dyDescent="0.25">
      <c r="B5" s="4" t="s">
        <v>38</v>
      </c>
      <c r="C5" s="42">
        <v>400000</v>
      </c>
      <c r="E5" s="4" t="s">
        <v>43</v>
      </c>
      <c r="F5" s="42">
        <v>15000000</v>
      </c>
      <c r="G5" t="s">
        <v>53</v>
      </c>
    </row>
    <row r="6" spans="1:7" x14ac:dyDescent="0.25">
      <c r="E6" s="45" t="s">
        <v>59</v>
      </c>
      <c r="F6" s="42">
        <v>40000000</v>
      </c>
      <c r="G6" t="s">
        <v>64</v>
      </c>
    </row>
    <row r="7" spans="1:7" ht="15.75" x14ac:dyDescent="0.25">
      <c r="B7" s="3" t="s">
        <v>39</v>
      </c>
      <c r="G7" t="s">
        <v>53</v>
      </c>
    </row>
    <row r="8" spans="1:7" x14ac:dyDescent="0.25">
      <c r="B8" s="4" t="s">
        <v>40</v>
      </c>
      <c r="C8" s="41">
        <v>170</v>
      </c>
    </row>
    <row r="9" spans="1:7" x14ac:dyDescent="0.25">
      <c r="B9" s="4" t="s">
        <v>41</v>
      </c>
      <c r="C9" s="41">
        <v>100</v>
      </c>
    </row>
    <row r="10" spans="1:7" x14ac:dyDescent="0.25">
      <c r="B10" s="52" t="s">
        <v>60</v>
      </c>
      <c r="C10" s="6">
        <f>SUM(C8:C9)</f>
        <v>270</v>
      </c>
      <c r="E10" s="4" t="s">
        <v>44</v>
      </c>
      <c r="F10" s="43">
        <f>(C8+C9)*MODUrate+Tangibles</f>
        <v>256000000</v>
      </c>
      <c r="G10" s="43">
        <f>(C8+C9)*hpMODUrate+Tangibles</f>
        <v>445000000</v>
      </c>
    </row>
    <row r="11" spans="1:7" x14ac:dyDescent="0.25">
      <c r="E11" s="45" t="s">
        <v>39</v>
      </c>
      <c r="F11" s="44">
        <f>F10+F3</f>
        <v>456000000</v>
      </c>
      <c r="G11" s="44">
        <f>F4+G10</f>
        <v>705000000</v>
      </c>
    </row>
    <row r="12" spans="1:7" x14ac:dyDescent="0.25">
      <c r="F12" s="4" t="s">
        <v>63</v>
      </c>
      <c r="G12" s="50" t="s">
        <v>55</v>
      </c>
    </row>
    <row r="13" spans="1:7" ht="15.75" x14ac:dyDescent="0.25">
      <c r="B13" s="3" t="s">
        <v>45</v>
      </c>
    </row>
    <row r="14" spans="1:7" x14ac:dyDescent="0.25">
      <c r="B14" s="4" t="s">
        <v>46</v>
      </c>
      <c r="C14" s="41">
        <v>90</v>
      </c>
      <c r="D14" t="s">
        <v>56</v>
      </c>
    </row>
    <row r="15" spans="1:7" x14ac:dyDescent="0.25">
      <c r="B15" s="4" t="s">
        <v>47</v>
      </c>
      <c r="C15" s="41">
        <v>80</v>
      </c>
      <c r="D15" t="s">
        <v>57</v>
      </c>
    </row>
    <row r="16" spans="1:7" x14ac:dyDescent="0.25">
      <c r="B16" s="4" t="s">
        <v>41</v>
      </c>
      <c r="C16" s="41">
        <v>100</v>
      </c>
      <c r="D16" t="s">
        <v>58</v>
      </c>
    </row>
    <row r="17" spans="2:7" x14ac:dyDescent="0.25">
      <c r="B17" s="52" t="s">
        <v>60</v>
      </c>
      <c r="C17" s="6">
        <f>SUM(C14:C16)</f>
        <v>270</v>
      </c>
      <c r="E17" s="4" t="s">
        <v>44</v>
      </c>
      <c r="F17" s="43">
        <f>C14*MODUrate+(C15+C16)*FrPSrate+Tangibles</f>
        <v>184000000</v>
      </c>
    </row>
    <row r="18" spans="2:7" ht="15.75" x14ac:dyDescent="0.25">
      <c r="E18" s="46" t="s">
        <v>45</v>
      </c>
      <c r="F18" s="44">
        <f>F5+F17</f>
        <v>199000000</v>
      </c>
      <c r="G18" t="s">
        <v>53</v>
      </c>
    </row>
    <row r="20" spans="2:7" ht="15.75" x14ac:dyDescent="0.25">
      <c r="B20" s="3" t="s">
        <v>48</v>
      </c>
      <c r="E20" s="4" t="s">
        <v>50</v>
      </c>
      <c r="F20" s="43">
        <f>D21*F11</f>
        <v>4560000000</v>
      </c>
      <c r="G20" s="43">
        <f>D21*G11</f>
        <v>7050000000</v>
      </c>
    </row>
    <row r="21" spans="2:7" ht="15.75" x14ac:dyDescent="0.25">
      <c r="C21" s="4" t="s">
        <v>49</v>
      </c>
      <c r="D21" s="51">
        <v>10</v>
      </c>
      <c r="E21" s="4" t="s">
        <v>51</v>
      </c>
      <c r="F21" s="43">
        <f>D21*F18</f>
        <v>1990000000</v>
      </c>
    </row>
    <row r="22" spans="2:7" ht="15.75" x14ac:dyDescent="0.25">
      <c r="E22" s="59" t="s">
        <v>52</v>
      </c>
      <c r="F22" s="58">
        <f>F20-F21</f>
        <v>2570000000</v>
      </c>
      <c r="G22" s="58">
        <f>G20-F21</f>
        <v>5060000000</v>
      </c>
    </row>
    <row r="23" spans="2:7" x14ac:dyDescent="0.25">
      <c r="F23" s="50" t="s">
        <v>65</v>
      </c>
      <c r="G23" s="50" t="s">
        <v>66</v>
      </c>
    </row>
  </sheetData>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D30C1-E544-4E2A-8E20-93B9FD0D2422}">
  <dimension ref="A1:H27"/>
  <sheetViews>
    <sheetView zoomScale="90" zoomScaleNormal="90" workbookViewId="0">
      <selection activeCell="E3" sqref="E3"/>
    </sheetView>
  </sheetViews>
  <sheetFormatPr defaultRowHeight="15" x14ac:dyDescent="0.25"/>
  <cols>
    <col min="2" max="2" width="12.5703125" customWidth="1"/>
    <col min="3" max="3" width="10.5703125" bestFit="1" customWidth="1"/>
    <col min="4" max="4" width="6.7109375" customWidth="1"/>
    <col min="6" max="6" width="16.85546875" customWidth="1"/>
    <col min="7" max="7" width="17.28515625" customWidth="1"/>
  </cols>
  <sheetData>
    <row r="1" spans="1:8" x14ac:dyDescent="0.25">
      <c r="A1" t="s">
        <v>74</v>
      </c>
    </row>
    <row r="2" spans="1:8" ht="31.5" x14ac:dyDescent="0.5">
      <c r="A2" s="63"/>
      <c r="B2" s="63"/>
      <c r="C2" s="64" t="s">
        <v>77</v>
      </c>
      <c r="D2" s="63"/>
      <c r="E2" s="63"/>
      <c r="F2" s="63"/>
      <c r="G2" s="63"/>
      <c r="H2" s="63"/>
    </row>
    <row r="4" spans="1:8" x14ac:dyDescent="0.25">
      <c r="A4" s="41" t="s">
        <v>10</v>
      </c>
    </row>
    <row r="5" spans="1:8" x14ac:dyDescent="0.25">
      <c r="E5" s="4" t="s">
        <v>42</v>
      </c>
      <c r="G5" t="s">
        <v>53</v>
      </c>
    </row>
    <row r="6" spans="1:8" x14ac:dyDescent="0.25">
      <c r="E6" s="48" t="s">
        <v>42</v>
      </c>
      <c r="G6" s="49" t="s">
        <v>55</v>
      </c>
    </row>
    <row r="7" spans="1:8" x14ac:dyDescent="0.25">
      <c r="B7" s="4" t="s">
        <v>38</v>
      </c>
      <c r="C7" s="42">
        <v>400000</v>
      </c>
      <c r="E7" s="4" t="s">
        <v>43</v>
      </c>
      <c r="F7" s="42">
        <v>15000000</v>
      </c>
      <c r="G7" t="s">
        <v>53</v>
      </c>
    </row>
    <row r="8" spans="1:8" x14ac:dyDescent="0.25">
      <c r="E8" s="45" t="s">
        <v>75</v>
      </c>
      <c r="F8" s="42">
        <v>20000000</v>
      </c>
      <c r="G8" t="s">
        <v>53</v>
      </c>
    </row>
    <row r="9" spans="1:8" x14ac:dyDescent="0.25">
      <c r="E9" s="45" t="s">
        <v>76</v>
      </c>
      <c r="F9" s="42">
        <v>20000000</v>
      </c>
      <c r="G9" t="s">
        <v>53</v>
      </c>
    </row>
    <row r="11" spans="1:8" ht="15.75" x14ac:dyDescent="0.25">
      <c r="B11" s="3" t="s">
        <v>39</v>
      </c>
    </row>
    <row r="12" spans="1:8" x14ac:dyDescent="0.25">
      <c r="B12" s="4" t="s">
        <v>40</v>
      </c>
      <c r="C12" s="41">
        <v>170</v>
      </c>
    </row>
    <row r="13" spans="1:8" x14ac:dyDescent="0.25">
      <c r="B13" s="4" t="s">
        <v>41</v>
      </c>
      <c r="C13" s="41">
        <v>100</v>
      </c>
    </row>
    <row r="14" spans="1:8" x14ac:dyDescent="0.25">
      <c r="B14" s="52" t="s">
        <v>60</v>
      </c>
      <c r="C14" s="6">
        <f>SUM(C12:C13)</f>
        <v>270</v>
      </c>
      <c r="E14" s="4" t="s">
        <v>44</v>
      </c>
      <c r="F14" s="43">
        <f>(C12+C13)*MODUrate+Tangibles</f>
        <v>20000000</v>
      </c>
      <c r="G14" s="43">
        <f>(C12+C13)*hpMODUrate+Tangibles</f>
        <v>20000000</v>
      </c>
    </row>
    <row r="15" spans="1:8" x14ac:dyDescent="0.25">
      <c r="E15" s="45" t="s">
        <v>39</v>
      </c>
      <c r="F15" s="44">
        <f>F14+C7</f>
        <v>20400000</v>
      </c>
      <c r="G15" s="44">
        <f>F6+G14</f>
        <v>20000000</v>
      </c>
    </row>
    <row r="16" spans="1:8" x14ac:dyDescent="0.25">
      <c r="F16" s="4" t="s">
        <v>63</v>
      </c>
      <c r="G16" s="50" t="s">
        <v>55</v>
      </c>
    </row>
    <row r="17" spans="2:7" ht="15.75" x14ac:dyDescent="0.25">
      <c r="B17" s="3" t="s">
        <v>45</v>
      </c>
    </row>
    <row r="18" spans="2:7" x14ac:dyDescent="0.25">
      <c r="B18" s="4" t="s">
        <v>46</v>
      </c>
      <c r="C18" s="41">
        <v>90</v>
      </c>
      <c r="D18" t="s">
        <v>56</v>
      </c>
    </row>
    <row r="19" spans="2:7" x14ac:dyDescent="0.25">
      <c r="B19" s="4" t="s">
        <v>47</v>
      </c>
      <c r="C19" s="41">
        <v>80</v>
      </c>
      <c r="D19" t="s">
        <v>57</v>
      </c>
    </row>
    <row r="20" spans="2:7" x14ac:dyDescent="0.25">
      <c r="B20" s="4" t="s">
        <v>41</v>
      </c>
      <c r="C20" s="41">
        <v>100</v>
      </c>
      <c r="D20" t="s">
        <v>58</v>
      </c>
    </row>
    <row r="21" spans="2:7" x14ac:dyDescent="0.25">
      <c r="B21" s="52" t="s">
        <v>60</v>
      </c>
      <c r="C21" s="6">
        <f>SUM(C18:C20)</f>
        <v>270</v>
      </c>
      <c r="E21" s="4" t="s">
        <v>44</v>
      </c>
      <c r="F21" s="43" t="e">
        <f>C18*MODUrate+(C19+C20)*FrPSrate+Tangibles</f>
        <v>#REF!</v>
      </c>
    </row>
    <row r="22" spans="2:7" ht="15.75" x14ac:dyDescent="0.25">
      <c r="E22" s="46" t="s">
        <v>45</v>
      </c>
      <c r="F22" s="44" t="e">
        <f>F7+F21</f>
        <v>#REF!</v>
      </c>
      <c r="G22" t="s">
        <v>53</v>
      </c>
    </row>
    <row r="24" spans="2:7" ht="15.75" x14ac:dyDescent="0.25">
      <c r="B24" s="3" t="s">
        <v>48</v>
      </c>
      <c r="E24" s="4" t="s">
        <v>50</v>
      </c>
      <c r="F24" s="43">
        <f>D25*F15</f>
        <v>204000000</v>
      </c>
      <c r="G24" s="43">
        <f>D25*G15</f>
        <v>200000000</v>
      </c>
    </row>
    <row r="25" spans="2:7" ht="15.75" x14ac:dyDescent="0.25">
      <c r="C25" s="4" t="s">
        <v>49</v>
      </c>
      <c r="D25" s="51">
        <v>10</v>
      </c>
      <c r="E25" s="4" t="s">
        <v>51</v>
      </c>
      <c r="F25" s="43" t="e">
        <f>D25*F22</f>
        <v>#REF!</v>
      </c>
    </row>
    <row r="26" spans="2:7" ht="15.75" x14ac:dyDescent="0.25">
      <c r="E26" s="59" t="s">
        <v>52</v>
      </c>
      <c r="F26" s="58" t="e">
        <f>F24-F25</f>
        <v>#REF!</v>
      </c>
      <c r="G26" s="58" t="e">
        <f>G24-F25</f>
        <v>#REF!</v>
      </c>
    </row>
    <row r="27" spans="2:7" x14ac:dyDescent="0.25">
      <c r="F27" s="50" t="s">
        <v>65</v>
      </c>
      <c r="G27" s="50" t="s">
        <v>66</v>
      </c>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33</vt:i4>
      </vt:variant>
    </vt:vector>
  </HeadingPairs>
  <TitlesOfParts>
    <vt:vector size="40" baseType="lpstr">
      <vt:lpstr>INPUT</vt:lpstr>
      <vt:lpstr>DQ Model</vt:lpstr>
      <vt:lpstr>FrPS RESCUE costs</vt:lpstr>
      <vt:lpstr>Sidetracks-Recomps</vt:lpstr>
      <vt:lpstr>2018 RBS Costing for TOTAL</vt:lpstr>
      <vt:lpstr>D&amp;C costs-data</vt:lpstr>
      <vt:lpstr>CW Sidetrack</vt:lpstr>
      <vt:lpstr>dryCAPEX</vt:lpstr>
      <vt:lpstr>dryCAPEXhigh</vt:lpstr>
      <vt:lpstr>dryCAPEXlow</vt:lpstr>
      <vt:lpstr>ENHANCE</vt:lpstr>
      <vt:lpstr>ENHANCEhigh</vt:lpstr>
      <vt:lpstr>ENHANCElow</vt:lpstr>
      <vt:lpstr>FrPSrate</vt:lpstr>
      <vt:lpstr>highPRICE</vt:lpstr>
      <vt:lpstr>'CW Sidetrack'!hpMODUrate</vt:lpstr>
      <vt:lpstr>'Sidetracks-Recomps'!hpMODUrate</vt:lpstr>
      <vt:lpstr>hpMODUrate</vt:lpstr>
      <vt:lpstr>Increase</vt:lpstr>
      <vt:lpstr>IncreaseHIGH</vt:lpstr>
      <vt:lpstr>IncreaseLOW</vt:lpstr>
      <vt:lpstr>lowPRICE</vt:lpstr>
      <vt:lpstr>'CW Sidetrack'!MODUrate</vt:lpstr>
      <vt:lpstr>'Sidetracks-Recomps'!MODUrate</vt:lpstr>
      <vt:lpstr>MODUrate</vt:lpstr>
      <vt:lpstr>OPEXdry</vt:lpstr>
      <vt:lpstr>OPEXwet</vt:lpstr>
      <vt:lpstr>PRICE</vt:lpstr>
      <vt:lpstr>Recomps</vt:lpstr>
      <vt:lpstr>Reserves</vt:lpstr>
      <vt:lpstr>SELL</vt:lpstr>
      <vt:lpstr>SELLhigh</vt:lpstr>
      <vt:lpstr>SELLlow</vt:lpstr>
      <vt:lpstr>Sidetracks</vt:lpstr>
      <vt:lpstr>'CW Sidetrack'!Tangibles</vt:lpstr>
      <vt:lpstr>'Sidetracks-Recomps'!Tangibles</vt:lpstr>
      <vt:lpstr>Tangibles</vt:lpstr>
      <vt:lpstr>wetCAPEX</vt:lpstr>
      <vt:lpstr>wetCAPEXhigh</vt:lpstr>
      <vt:lpstr>wetCAPEXlow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White</dc:creator>
  <cp:lastModifiedBy>Roy Shilling</cp:lastModifiedBy>
  <dcterms:created xsi:type="dcterms:W3CDTF">2020-08-22T22:18:54Z</dcterms:created>
  <dcterms:modified xsi:type="dcterms:W3CDTF">2020-09-29T21:13:42Z</dcterms:modified>
</cp:coreProperties>
</file>