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36078A2A-FEF2-4F2C-9D4E-D0B1E3318708}" xr6:coauthVersionLast="45" xr6:coauthVersionMax="45" xr10:uidLastSave="{00000000-0000-0000-0000-000000000000}"/>
  <bookViews>
    <workbookView xWindow="390" yWindow="390" windowWidth="23445" windowHeight="14730" xr2:uid="{B6E9B06C-9FA2-426E-9ACA-175D0A6ABA9C}"/>
  </bookViews>
  <sheets>
    <sheet name="INPUT" sheetId="2" r:id="rId1"/>
    <sheet name="Model" sheetId="1" r:id="rId2"/>
  </sheets>
  <definedNames>
    <definedName name="dryCAPEX">INPUT!$D$26</definedName>
    <definedName name="dryCAPEXhigh">INPUT!$D$28</definedName>
    <definedName name="dryCAPEXlow">INPUT!$D$27</definedName>
    <definedName name="ENHANCE">INPUT!$D$18</definedName>
    <definedName name="ENHANCEhigh">INPUT!$D$20</definedName>
    <definedName name="ENHANCElow">INPUT!$D$19</definedName>
    <definedName name="highPRICE">INPUT!$D$8</definedName>
    <definedName name="Increase">INPUT!$H$26</definedName>
    <definedName name="IncreaseHIGH">INPUT!$H$28</definedName>
    <definedName name="IncreaseLOW">INPUT!$H$27</definedName>
    <definedName name="lowPRICE">INPUT!$D$7</definedName>
    <definedName name="OPEXdry">INPUT!$D$11</definedName>
    <definedName name="OPEXwet">INPUT!$D$10</definedName>
    <definedName name="PRICE">INPUT!$D$6</definedName>
    <definedName name="Reserves">INPUT!$D$13</definedName>
    <definedName name="SELL">INPUT!$D$22</definedName>
    <definedName name="SELLhigh">INPUT!$D$24</definedName>
    <definedName name="SELLlow">INPUT!$D$23</definedName>
    <definedName name="wetCAPEX">INPUT!$D$15</definedName>
    <definedName name="wetCAPEXhigh">INPUT!$D$17</definedName>
    <definedName name="wetCAPEXlow">INPUT!$D$16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2" l="1"/>
  <c r="C22" i="1" s="1"/>
  <c r="E21" i="1" s="1"/>
  <c r="H27" i="2"/>
  <c r="C32" i="1" s="1"/>
  <c r="E31" i="1" s="1"/>
  <c r="G33" i="1"/>
  <c r="G32" i="1"/>
  <c r="G31" i="1"/>
  <c r="G28" i="1"/>
  <c r="G27" i="1"/>
  <c r="G26" i="1"/>
  <c r="G23" i="1"/>
  <c r="G22" i="1"/>
  <c r="G21" i="1"/>
  <c r="C27" i="1"/>
  <c r="E28" i="1" s="1"/>
  <c r="C10" i="1"/>
  <c r="E10" i="1" s="1"/>
  <c r="E18" i="1"/>
  <c r="E16" i="1"/>
  <c r="E17" i="1"/>
  <c r="C17" i="1"/>
  <c r="C11" i="1"/>
  <c r="E11" i="1" s="1"/>
  <c r="C9" i="1"/>
  <c r="E9" i="1" s="1"/>
  <c r="E5" i="1"/>
  <c r="E4" i="1"/>
  <c r="E6" i="1"/>
  <c r="C5" i="1"/>
  <c r="I5" i="1" l="1"/>
  <c r="G34" i="1"/>
  <c r="G24" i="1"/>
  <c r="E26" i="1"/>
  <c r="G29" i="1"/>
  <c r="E27" i="1"/>
  <c r="I17" i="1"/>
  <c r="E32" i="1"/>
  <c r="E22" i="1"/>
  <c r="E23" i="1"/>
  <c r="I10" i="1"/>
  <c r="E33" i="1"/>
  <c r="E34" i="1" l="1"/>
  <c r="I32" i="1" s="1"/>
  <c r="E29" i="1"/>
  <c r="I27" i="1" s="1"/>
  <c r="E24" i="1"/>
  <c r="I22" i="1" s="1"/>
  <c r="K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White</author>
  </authors>
  <commentList>
    <comment ref="E13" authorId="0" shapeId="0" xr:uid="{9C449C24-D0C7-4E9A-9A27-48212660C115}">
      <text>
        <r>
          <rPr>
            <b/>
            <sz val="9"/>
            <color indexed="81"/>
            <rFont val="Tahoma"/>
            <charset val="1"/>
          </rPr>
          <t>Charles White: 20200824</t>
        </r>
        <r>
          <rPr>
            <sz val="9"/>
            <color indexed="81"/>
            <rFont val="Tahoma"/>
            <charset val="1"/>
          </rPr>
          <t xml:space="preserve">
BOEM 2018 data rpts ~68M bbls OIP with ~60M remaining for Stones</t>
        </r>
      </text>
    </comment>
  </commentList>
</comments>
</file>

<file path=xl/sharedStrings.xml><?xml version="1.0" encoding="utf-8"?>
<sst xmlns="http://schemas.openxmlformats.org/spreadsheetml/2006/main" count="77" uniqueCount="47">
  <si>
    <t>DQM model for WORLD OIL-article</t>
  </si>
  <si>
    <t>RESCUE with FrPS</t>
  </si>
  <si>
    <t>STAY THE COURSE… minimize investment</t>
  </si>
  <si>
    <t>SELL as much as possible</t>
  </si>
  <si>
    <t>STAY THE COURSE</t>
  </si>
  <si>
    <t>ENHANCE</t>
  </si>
  <si>
    <t>SELL</t>
  </si>
  <si>
    <t>RESCUE</t>
  </si>
  <si>
    <t>Resource</t>
  </si>
  <si>
    <t>CASE</t>
  </si>
  <si>
    <t>STONES</t>
  </si>
  <si>
    <t>bbls</t>
  </si>
  <si>
    <t>ENHANCE the subsea system… new investment limits $1-2B</t>
  </si>
  <si>
    <t>INPUT</t>
  </si>
  <si>
    <t xml:space="preserve"> = Assumptions</t>
  </si>
  <si>
    <t xml:space="preserve"> /bbl, LOW OIL price</t>
  </si>
  <si>
    <t xml:space="preserve"> /bbl, HIGH OIL price</t>
  </si>
  <si>
    <t xml:space="preserve"> /bbl, EXPECTED OIL price  CONSTANT REAL DOLLARS</t>
  </si>
  <si>
    <t>recovery ENHANCEMENT, LOW</t>
  </si>
  <si>
    <t>recovery ENHANCEMENT, HIGH</t>
  </si>
  <si>
    <t xml:space="preserve"> /bbl SALES price, LOW</t>
  </si>
  <si>
    <t xml:space="preserve"> /bbl SALES price, HIGH</t>
  </si>
  <si>
    <t>bbls, reserves remaining to be produced</t>
  </si>
  <si>
    <t xml:space="preserve"> /bbl SALES price, EXPECTED… covers cost of FPSO</t>
  </si>
  <si>
    <t xml:space="preserve"> /bbl, OPEX etc. for subsea</t>
  </si>
  <si>
    <t xml:space="preserve"> /bbl, OPEX etc. for dry tree option</t>
  </si>
  <si>
    <t>SUBSEA recovery ENHANCEMENT, expected</t>
  </si>
  <si>
    <t>STAY the Course</t>
  </si>
  <si>
    <t>ENHANCE subsea</t>
  </si>
  <si>
    <t>low CAPEX</t>
  </si>
  <si>
    <t>high CAPEX</t>
  </si>
  <si>
    <t>M, new CAPEX, expected</t>
  </si>
  <si>
    <t>Expected Reserves INCREASE</t>
  </si>
  <si>
    <t>net REVENUE</t>
  </si>
  <si>
    <t>Expected</t>
  </si>
  <si>
    <t>high</t>
  </si>
  <si>
    <t>low</t>
  </si>
  <si>
    <t>Probability</t>
  </si>
  <si>
    <t>EV</t>
  </si>
  <si>
    <t>CAPEX</t>
  </si>
  <si>
    <t>Exp'd</t>
  </si>
  <si>
    <t>KEY RESULT</t>
  </si>
  <si>
    <t>see INPUT sheet</t>
  </si>
  <si>
    <t>RATIONALE: Spending more yields more bbls; but spending is constrained by OIL PRICE</t>
  </si>
  <si>
    <t>low INCREASE (Exp'd/3)</t>
  </si>
  <si>
    <t>high INCREASE (Exp'd*2)</t>
  </si>
  <si>
    <t>ASSUMING perfect correlation between recovery &amp; CAPEX and CAPEX &amp;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</si>
</sst>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5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1" xfId="0" applyNumberFormat="1" applyFill="1" applyBorder="1"/>
    <xf numFmtId="9" fontId="0" fillId="2" borderId="1" xfId="0" applyNumberFormat="1" applyFill="1" applyBorder="1"/>
    <xf numFmtId="3" fontId="0" fillId="2" borderId="1" xfId="0" applyNumberForma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165" fontId="2" fillId="2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2" borderId="0" xfId="0" applyFill="1" applyAlignment="1">
      <alignment horizontal="left"/>
    </xf>
    <xf numFmtId="165" fontId="0" fillId="0" borderId="1" xfId="0" applyNumberFormat="1" applyBorder="1"/>
    <xf numFmtId="165" fontId="0" fillId="6" borderId="1" xfId="0" applyNumberFormat="1" applyFill="1" applyBorder="1"/>
    <xf numFmtId="3" fontId="0" fillId="0" borderId="1" xfId="0" applyNumberFormat="1" applyBorder="1"/>
    <xf numFmtId="9" fontId="0" fillId="3" borderId="1" xfId="0" applyNumberFormat="1" applyFill="1" applyBorder="1" applyAlignment="1">
      <alignment horizontal="center"/>
    </xf>
    <xf numFmtId="3" fontId="0" fillId="2" borderId="0" xfId="0" applyNumberFormat="1" applyFill="1"/>
    <xf numFmtId="6" fontId="0" fillId="0" borderId="0" xfId="0" applyNumberFormat="1"/>
    <xf numFmtId="9" fontId="0" fillId="5" borderId="1" xfId="0" applyNumberFormat="1" applyFill="1" applyBorder="1"/>
    <xf numFmtId="0" fontId="3" fillId="4" borderId="0" xfId="0" applyFont="1" applyFill="1" applyAlignment="1">
      <alignment vertical="center"/>
    </xf>
    <xf numFmtId="0" fontId="0" fillId="7" borderId="0" xfId="0" applyFill="1"/>
    <xf numFmtId="44" fontId="0" fillId="7" borderId="0" xfId="1" applyFont="1" applyFill="1"/>
    <xf numFmtId="0" fontId="3" fillId="7" borderId="0" xfId="0" applyFont="1" applyFill="1" applyAlignment="1">
      <alignment vertical="center"/>
    </xf>
    <xf numFmtId="0" fontId="3" fillId="5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 applyAlignment="1">
      <alignment vertical="center"/>
    </xf>
    <xf numFmtId="3" fontId="0" fillId="2" borderId="0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2" fillId="2" borderId="10" xfId="0" applyNumberFormat="1" applyFont="1" applyFill="1" applyBorder="1"/>
    <xf numFmtId="164" fontId="0" fillId="2" borderId="11" xfId="0" applyNumberFormat="1" applyFill="1" applyBorder="1"/>
    <xf numFmtId="165" fontId="0" fillId="2" borderId="0" xfId="0" applyNumberFormat="1" applyFill="1" applyBorder="1"/>
    <xf numFmtId="0" fontId="8" fillId="6" borderId="1" xfId="0" applyFont="1" applyFill="1" applyBorder="1" applyAlignment="1">
      <alignment horizontal="center"/>
    </xf>
    <xf numFmtId="165" fontId="8" fillId="6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139700</xdr:colOff>
      <xdr:row>0</xdr:row>
      <xdr:rowOff>63500</xdr:rowOff>
    </xdr:from>
    <xdr:to>
      <xdr:col>18</xdr:col>
      <xdr:colOff>565150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3B1D7-6B2C-49DE-B6E4-BFD83CFF23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85" r="26686" b="7275"/>
        <a:stretch/>
      </xdr:blipFill>
      <xdr:spPr>
        <a:xfrm>
          <a:off x="8058150" y="63500"/>
          <a:ext cx="4692650" cy="3962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20</xdr:row>
      <xdr:rowOff>135188</xdr:rowOff>
    </xdr:from>
    <xdr:to>
      <xdr:col>18</xdr:col>
      <xdr:colOff>330529</xdr:colOff>
      <xdr:row>41</xdr:row>
      <xdr:rowOff>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3157C-3CD1-414D-93F0-2482CC1D7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2650" y="4122988"/>
          <a:ext cx="4394529" cy="3744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31751</xdr:colOff>
      <xdr:row>2</xdr:row>
      <xdr:rowOff>107245</xdr:rowOff>
    </xdr:from>
    <xdr:to>
      <xdr:col>18</xdr:col>
      <xdr:colOff>460024</xdr:colOff>
      <xdr:row>22</xdr:row>
      <xdr:rowOff>158044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42F788-B264-4017-BA7E-FC2988B64E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85" r="26686" b="7275"/>
        <a:stretch/>
      </xdr:blipFill>
      <xdr:spPr>
        <a:xfrm>
          <a:off x="9345084" y="537634"/>
          <a:ext cx="4675717" cy="3945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3888-222A-4489-A584-7FEAB8E47C1C}">
  <dimension ref="B1:I28"/>
  <sheetViews>
    <sheetView tabSelected="1" workbookViewId="0">
      <selection activeCell="D18" sqref="D18"/>
    </sheetView>
  </sheetViews>
  <sheetFormatPr defaultRowHeight="15" x14ac:dyDescent="0.25"/>
  <cols>
    <col min="1" max="1" width="5.7109375" customWidth="1"/>
    <col min="3" max="3" width="10.7109375" customWidth="1"/>
    <col min="4" max="4" width="14.7109375" customWidth="1"/>
    <col min="7" max="7" width="5.42578125" customWidth="1"/>
  </cols>
  <sheetData>
    <row r="1" spans="2:9" ht="18.75" x14ac:dyDescent="0.3">
      <c r="B1" s="3" t="s">
        <v>0</v>
      </c>
      <c r="E1" s="4" t="s">
        <v>9</v>
      </c>
      <c r="F1" s="5" t="s">
        <v>10</v>
      </c>
      <c r="H1" s="7" t="s">
        <v>13</v>
      </c>
      <c r="I1" t="s">
        <v>14</v>
      </c>
    </row>
    <row r="2" spans="2:9" ht="18.75" x14ac:dyDescent="0.25">
      <c r="B2" s="2" t="s">
        <v>2</v>
      </c>
    </row>
    <row r="3" spans="2:9" ht="18.75" x14ac:dyDescent="0.25">
      <c r="B3" s="2" t="s">
        <v>12</v>
      </c>
    </row>
    <row r="4" spans="2:9" ht="18.75" x14ac:dyDescent="0.25">
      <c r="B4" s="2" t="s">
        <v>3</v>
      </c>
    </row>
    <row r="5" spans="2:9" ht="18.75" x14ac:dyDescent="0.3">
      <c r="B5" s="1" t="s">
        <v>1</v>
      </c>
    </row>
    <row r="6" spans="2:9" x14ac:dyDescent="0.25">
      <c r="B6" s="14"/>
      <c r="C6" s="14"/>
      <c r="D6" s="11">
        <v>45</v>
      </c>
      <c r="E6" t="s">
        <v>17</v>
      </c>
    </row>
    <row r="7" spans="2:9" ht="18.75" x14ac:dyDescent="0.25">
      <c r="B7" s="25" t="s">
        <v>27</v>
      </c>
      <c r="C7" s="14"/>
      <c r="D7" s="8">
        <v>30</v>
      </c>
      <c r="E7" t="s">
        <v>15</v>
      </c>
    </row>
    <row r="8" spans="2:9" x14ac:dyDescent="0.25">
      <c r="B8" s="14"/>
      <c r="C8" s="14"/>
      <c r="D8" s="8">
        <v>60</v>
      </c>
      <c r="E8" t="s">
        <v>16</v>
      </c>
    </row>
    <row r="9" spans="2:9" x14ac:dyDescent="0.25">
      <c r="B9" s="14"/>
      <c r="C9" s="14"/>
    </row>
    <row r="10" spans="2:9" x14ac:dyDescent="0.25">
      <c r="B10" s="14"/>
      <c r="C10" s="14"/>
      <c r="D10" s="11">
        <v>15</v>
      </c>
      <c r="E10" t="s">
        <v>24</v>
      </c>
    </row>
    <row r="11" spans="2:9" x14ac:dyDescent="0.25">
      <c r="B11" s="14"/>
      <c r="C11" s="14"/>
      <c r="D11" s="11">
        <v>6</v>
      </c>
      <c r="E11" t="s">
        <v>25</v>
      </c>
    </row>
    <row r="12" spans="2:9" x14ac:dyDescent="0.25">
      <c r="B12" s="14"/>
      <c r="C12" s="14"/>
    </row>
    <row r="13" spans="2:9" x14ac:dyDescent="0.25">
      <c r="B13" s="14"/>
      <c r="C13" s="14"/>
      <c r="D13" s="10">
        <v>50000000</v>
      </c>
      <c r="E13" t="s">
        <v>22</v>
      </c>
    </row>
    <row r="15" spans="2:9" x14ac:dyDescent="0.25">
      <c r="B15" s="26" t="s">
        <v>28</v>
      </c>
      <c r="C15" s="26"/>
      <c r="D15" s="13">
        <v>1000</v>
      </c>
      <c r="E15" t="s">
        <v>31</v>
      </c>
    </row>
    <row r="16" spans="2:9" x14ac:dyDescent="0.25">
      <c r="B16" s="26"/>
      <c r="C16" s="27"/>
      <c r="D16" s="13">
        <v>500</v>
      </c>
      <c r="E16" t="s">
        <v>29</v>
      </c>
    </row>
    <row r="17" spans="2:9" x14ac:dyDescent="0.25">
      <c r="B17" s="26"/>
      <c r="C17" s="26"/>
      <c r="D17" s="13">
        <v>1500</v>
      </c>
      <c r="E17" t="s">
        <v>30</v>
      </c>
    </row>
    <row r="18" spans="2:9" x14ac:dyDescent="0.25">
      <c r="B18" s="26"/>
      <c r="C18" s="26"/>
      <c r="D18" s="12">
        <v>0.1</v>
      </c>
      <c r="E18" t="s">
        <v>26</v>
      </c>
    </row>
    <row r="19" spans="2:9" x14ac:dyDescent="0.25">
      <c r="B19" s="26"/>
      <c r="C19" s="26"/>
      <c r="D19" s="9">
        <v>0</v>
      </c>
      <c r="E19" t="s">
        <v>18</v>
      </c>
    </row>
    <row r="20" spans="2:9" x14ac:dyDescent="0.25">
      <c r="B20" s="26"/>
      <c r="C20" s="26"/>
      <c r="D20" s="9">
        <v>0.2</v>
      </c>
      <c r="E20" t="s">
        <v>19</v>
      </c>
    </row>
    <row r="21" spans="2:9" ht="15.75" thickBot="1" x14ac:dyDescent="0.3"/>
    <row r="22" spans="2:9" x14ac:dyDescent="0.25">
      <c r="B22" s="32"/>
      <c r="C22" s="33"/>
      <c r="D22" s="44">
        <v>20</v>
      </c>
      <c r="E22" s="33" t="s">
        <v>23</v>
      </c>
      <c r="F22" s="33"/>
      <c r="G22" s="33"/>
      <c r="H22" s="33"/>
      <c r="I22" s="35"/>
    </row>
    <row r="23" spans="2:9" x14ac:dyDescent="0.25">
      <c r="B23" s="36" t="s">
        <v>6</v>
      </c>
      <c r="C23" s="37"/>
      <c r="D23" s="8">
        <v>15</v>
      </c>
      <c r="E23" s="37" t="s">
        <v>20</v>
      </c>
      <c r="F23" s="37"/>
      <c r="G23" s="37"/>
      <c r="H23" s="37"/>
      <c r="I23" s="38"/>
    </row>
    <row r="24" spans="2:9" ht="15.75" thickBot="1" x14ac:dyDescent="0.3">
      <c r="B24" s="41"/>
      <c r="C24" s="42"/>
      <c r="D24" s="45">
        <v>25</v>
      </c>
      <c r="E24" s="42" t="s">
        <v>21</v>
      </c>
      <c r="F24" s="42"/>
      <c r="G24" s="42"/>
      <c r="H24" s="42"/>
      <c r="I24" s="43"/>
    </row>
    <row r="26" spans="2:9" x14ac:dyDescent="0.25">
      <c r="B26" s="15"/>
      <c r="C26" s="15"/>
      <c r="D26" s="13">
        <v>1500</v>
      </c>
      <c r="E26" t="s">
        <v>31</v>
      </c>
      <c r="F26" s="15"/>
      <c r="G26" s="15"/>
      <c r="H26" s="12">
        <v>0.3</v>
      </c>
      <c r="I26" t="s">
        <v>32</v>
      </c>
    </row>
    <row r="27" spans="2:9" x14ac:dyDescent="0.25">
      <c r="B27" s="16" t="s">
        <v>7</v>
      </c>
      <c r="C27" s="15"/>
      <c r="D27" s="13">
        <v>1000</v>
      </c>
      <c r="E27" t="s">
        <v>29</v>
      </c>
      <c r="F27" s="15"/>
      <c r="G27" s="15"/>
      <c r="H27" s="24">
        <f>Increase/3</f>
        <v>9.9999999999999992E-2</v>
      </c>
      <c r="I27" t="s">
        <v>44</v>
      </c>
    </row>
    <row r="28" spans="2:9" x14ac:dyDescent="0.25">
      <c r="B28" s="15"/>
      <c r="C28" s="15"/>
      <c r="D28" s="13">
        <v>2000</v>
      </c>
      <c r="E28" t="s">
        <v>30</v>
      </c>
      <c r="F28" s="15"/>
      <c r="G28" s="15"/>
      <c r="H28" s="24">
        <f>Increase*2</f>
        <v>0.6</v>
      </c>
      <c r="I28" t="s">
        <v>45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B82-DDD2-4D76-A9BA-732AF6E28D05}">
  <dimension ref="B1:K34"/>
  <sheetViews>
    <sheetView zoomScale="90" zoomScaleNormal="90" workbookViewId="0">
      <selection activeCell="B2" sqref="B2"/>
    </sheetView>
  </sheetViews>
  <sheetFormatPr defaultRowHeight="15" x14ac:dyDescent="0.25"/>
  <cols>
    <col min="1" max="1" width="5.85546875" customWidth="1"/>
    <col min="2" max="2" width="20.140625" bestFit="1" customWidth="1"/>
    <col min="3" max="3" width="12.85546875" customWidth="1"/>
    <col min="4" max="4" width="9.7109375" bestFit="1" customWidth="1"/>
    <col min="5" max="5" width="15" customWidth="1"/>
    <col min="6" max="6" width="8.42578125" bestFit="1" customWidth="1"/>
    <col min="7" max="7" width="15.140625" customWidth="1"/>
    <col min="8" max="8" width="5.42578125" bestFit="1" customWidth="1"/>
    <col min="9" max="9" width="15.85546875" bestFit="1" customWidth="1"/>
    <col min="10" max="10" width="4.42578125" bestFit="1" customWidth="1"/>
    <col min="11" max="11" width="15.85546875" bestFit="1" customWidth="1"/>
  </cols>
  <sheetData>
    <row r="1" spans="2:10" ht="15.75" x14ac:dyDescent="0.25">
      <c r="B1" s="3" t="s">
        <v>0</v>
      </c>
      <c r="G1" s="17" t="s">
        <v>42</v>
      </c>
      <c r="I1" s="47" t="s">
        <v>41</v>
      </c>
    </row>
    <row r="2" spans="2:10" ht="18.75" x14ac:dyDescent="0.3">
      <c r="C2" s="4" t="s">
        <v>9</v>
      </c>
      <c r="D2" s="5" t="s">
        <v>10</v>
      </c>
    </row>
    <row r="3" spans="2:10" x14ac:dyDescent="0.25">
      <c r="C3" t="s">
        <v>8</v>
      </c>
      <c r="E3" t="s">
        <v>33</v>
      </c>
      <c r="G3" s="6" t="s">
        <v>37</v>
      </c>
      <c r="I3" s="30" t="s">
        <v>38</v>
      </c>
    </row>
    <row r="4" spans="2:10" x14ac:dyDescent="0.25">
      <c r="B4" s="14"/>
      <c r="E4" s="18">
        <f>Reserves*(highPRICE-OPEXwet)</f>
        <v>2250000000</v>
      </c>
      <c r="F4" t="s">
        <v>35</v>
      </c>
      <c r="G4" s="21">
        <v>0.3</v>
      </c>
      <c r="J4" s="14"/>
    </row>
    <row r="5" spans="2:10" ht="18.75" x14ac:dyDescent="0.3">
      <c r="B5" s="31" t="s">
        <v>4</v>
      </c>
      <c r="C5" s="22">
        <f>Reserves</f>
        <v>50000000</v>
      </c>
      <c r="D5" t="s">
        <v>11</v>
      </c>
      <c r="E5" s="18">
        <f>Reserves*(PRICE-OPEXwet)</f>
        <v>1500000000</v>
      </c>
      <c r="F5" t="s">
        <v>34</v>
      </c>
      <c r="G5" s="21">
        <v>0.4</v>
      </c>
      <c r="I5" s="48">
        <f>E4*G4+E5*G5+E6*G6</f>
        <v>1500000000</v>
      </c>
      <c r="J5" s="14"/>
    </row>
    <row r="6" spans="2:10" x14ac:dyDescent="0.25">
      <c r="B6" s="14"/>
      <c r="C6" s="14"/>
      <c r="D6" s="14"/>
      <c r="E6" s="18">
        <f>Reserves*(lowPRICE-OPEXwet)</f>
        <v>750000000</v>
      </c>
      <c r="F6" t="s">
        <v>36</v>
      </c>
      <c r="G6" s="21">
        <v>0.3</v>
      </c>
      <c r="H6" s="14"/>
      <c r="I6" s="14"/>
      <c r="J6" s="14"/>
    </row>
    <row r="8" spans="2:10" x14ac:dyDescent="0.25">
      <c r="B8" s="26"/>
      <c r="E8" t="s">
        <v>33</v>
      </c>
      <c r="H8" s="26"/>
      <c r="I8" s="26"/>
      <c r="J8" s="26"/>
    </row>
    <row r="9" spans="2:10" ht="18.75" x14ac:dyDescent="0.25">
      <c r="B9" s="28" t="s">
        <v>5</v>
      </c>
      <c r="C9" s="20">
        <f>Reserves*(1+ENHANCEhigh)</f>
        <v>60000000</v>
      </c>
      <c r="D9" t="s">
        <v>11</v>
      </c>
      <c r="E9" s="18">
        <f>C9*(highPRICE-OPEXwet)-wetCAPEXhigh*1000000</f>
        <v>1200000000</v>
      </c>
      <c r="F9" t="s">
        <v>35</v>
      </c>
      <c r="G9" s="21">
        <v>0.3</v>
      </c>
      <c r="J9" s="26"/>
    </row>
    <row r="10" spans="2:10" ht="15.75" x14ac:dyDescent="0.25">
      <c r="B10" s="26"/>
      <c r="C10" s="20">
        <f>Reserves*(1+ENHANCE)</f>
        <v>55000000.000000007</v>
      </c>
      <c r="D10" t="s">
        <v>11</v>
      </c>
      <c r="E10" s="18">
        <f>C10*(PRICE-OPEXwet)-wetCAPEX*1000000</f>
        <v>650000000.00000024</v>
      </c>
      <c r="F10" t="s">
        <v>34</v>
      </c>
      <c r="G10" s="21">
        <v>0.4</v>
      </c>
      <c r="I10" s="48">
        <f>G9*E9+G10*E10+G11*E11</f>
        <v>695000000.00000012</v>
      </c>
      <c r="J10" s="26"/>
    </row>
    <row r="11" spans="2:10" x14ac:dyDescent="0.25">
      <c r="B11" s="26"/>
      <c r="C11" s="20">
        <f>Reserves*(1+ENHANCElow)</f>
        <v>50000000</v>
      </c>
      <c r="D11" t="s">
        <v>11</v>
      </c>
      <c r="E11" s="18">
        <f>C11*(lowPRICE-OPEXwet)-wetCAPEXlow*1000000</f>
        <v>250000000</v>
      </c>
      <c r="F11" t="s">
        <v>36</v>
      </c>
      <c r="G11" s="21">
        <v>0.3</v>
      </c>
      <c r="J11" s="26"/>
    </row>
    <row r="12" spans="2:10" x14ac:dyDescent="0.25">
      <c r="B12" s="26"/>
      <c r="C12" s="26"/>
      <c r="D12" s="26"/>
      <c r="E12" s="26" t="s">
        <v>46</v>
      </c>
      <c r="F12" s="26"/>
      <c r="G12" s="26"/>
      <c r="H12" s="26"/>
      <c r="I12" s="26"/>
      <c r="J12" s="26"/>
    </row>
    <row r="13" spans="2:10" x14ac:dyDescent="0.25">
      <c r="B13" s="26"/>
      <c r="C13" s="26"/>
      <c r="D13" s="26" t="s">
        <v>43</v>
      </c>
      <c r="E13" s="26"/>
      <c r="F13" s="26"/>
      <c r="G13" s="26"/>
      <c r="H13" s="26"/>
      <c r="I13" s="26"/>
      <c r="J13" s="26"/>
    </row>
    <row r="14" spans="2:10" ht="15.75" thickBot="1" x14ac:dyDescent="0.3"/>
    <row r="15" spans="2:10" x14ac:dyDescent="0.25">
      <c r="B15" s="32"/>
      <c r="C15" s="33"/>
      <c r="D15" s="33"/>
      <c r="E15" s="33" t="s">
        <v>33</v>
      </c>
      <c r="F15" s="33"/>
      <c r="G15" s="34"/>
      <c r="H15" s="33"/>
      <c r="I15" s="33"/>
      <c r="J15" s="35"/>
    </row>
    <row r="16" spans="2:10" x14ac:dyDescent="0.25">
      <c r="B16" s="36"/>
      <c r="C16" s="37"/>
      <c r="D16" s="37"/>
      <c r="E16" s="18">
        <f>Reserves*SELLhigh</f>
        <v>1250000000</v>
      </c>
      <c r="F16" s="37" t="s">
        <v>35</v>
      </c>
      <c r="G16" s="21">
        <v>0.3</v>
      </c>
      <c r="H16" s="37"/>
      <c r="I16" s="37"/>
      <c r="J16" s="38"/>
    </row>
    <row r="17" spans="2:11" ht="18.75" x14ac:dyDescent="0.25">
      <c r="B17" s="39" t="s">
        <v>6</v>
      </c>
      <c r="C17" s="40">
        <f>Reserves</f>
        <v>50000000</v>
      </c>
      <c r="D17" s="37" t="s">
        <v>11</v>
      </c>
      <c r="E17" s="18">
        <f>Reserves*SELL</f>
        <v>1000000000</v>
      </c>
      <c r="F17" s="37" t="s">
        <v>34</v>
      </c>
      <c r="G17" s="21">
        <v>0.4</v>
      </c>
      <c r="H17" s="37"/>
      <c r="I17" s="48">
        <f>G16*E16+G17*E17+G18*E18</f>
        <v>1000000000</v>
      </c>
      <c r="J17" s="38"/>
    </row>
    <row r="18" spans="2:11" x14ac:dyDescent="0.25">
      <c r="B18" s="36"/>
      <c r="C18" s="37"/>
      <c r="D18" s="37"/>
      <c r="E18" s="18">
        <f>Reserves*SELLlow</f>
        <v>750000000</v>
      </c>
      <c r="F18" s="37" t="s">
        <v>36</v>
      </c>
      <c r="G18" s="21">
        <v>0.3</v>
      </c>
      <c r="H18" s="37"/>
      <c r="I18" s="37"/>
      <c r="J18" s="38"/>
    </row>
    <row r="19" spans="2:11" ht="15.75" thickBot="1" x14ac:dyDescent="0.3">
      <c r="B19" s="41"/>
      <c r="C19" s="42"/>
      <c r="D19" s="42"/>
      <c r="E19" s="42"/>
      <c r="F19" s="42"/>
      <c r="G19" s="42"/>
      <c r="H19" s="42"/>
      <c r="I19" s="42"/>
      <c r="J19" s="43"/>
    </row>
    <row r="20" spans="2:11" x14ac:dyDescent="0.25">
      <c r="E20" t="s">
        <v>33</v>
      </c>
      <c r="G20" s="6" t="s">
        <v>39</v>
      </c>
      <c r="H20" s="6"/>
    </row>
    <row r="21" spans="2:11" ht="18.75" x14ac:dyDescent="0.3">
      <c r="B21" s="29" t="s">
        <v>7</v>
      </c>
      <c r="E21" s="18">
        <f>C22*(highPRICE-OPEXdry)</f>
        <v>4320000000</v>
      </c>
      <c r="F21" s="21">
        <v>0.3</v>
      </c>
      <c r="G21" s="46">
        <f>dryCAPEXhigh*1000000</f>
        <v>2000000000</v>
      </c>
      <c r="H21" s="21">
        <v>0.3</v>
      </c>
    </row>
    <row r="22" spans="2:11" x14ac:dyDescent="0.25">
      <c r="B22" s="15"/>
      <c r="C22" s="20">
        <f>Reserves*(1+IncreaseHIGH)</f>
        <v>80000000</v>
      </c>
      <c r="D22" t="s">
        <v>11</v>
      </c>
      <c r="E22" s="18">
        <f>C22*(PRICE-OPEXdry)</f>
        <v>3120000000</v>
      </c>
      <c r="F22" s="21">
        <v>0.4</v>
      </c>
      <c r="G22" s="46">
        <f>dryCAPEX*1000000</f>
        <v>1500000000</v>
      </c>
      <c r="H22" s="21">
        <v>0.4</v>
      </c>
      <c r="I22" s="19">
        <f>(E24-G21)*H21+(E24-G22)*H22+(E24-G23)*H23</f>
        <v>1620000000</v>
      </c>
      <c r="J22" s="21">
        <v>0.3</v>
      </c>
    </row>
    <row r="23" spans="2:11" x14ac:dyDescent="0.25">
      <c r="B23" s="15"/>
      <c r="E23" s="18">
        <f>C22*(lowPRICE-OPEXdry)</f>
        <v>1920000000</v>
      </c>
      <c r="F23" s="21">
        <v>0.3</v>
      </c>
      <c r="G23" s="46">
        <f>dryCAPEXlow*1000000</f>
        <v>1000000000</v>
      </c>
      <c r="H23" s="21">
        <v>0.3</v>
      </c>
    </row>
    <row r="24" spans="2:11" x14ac:dyDescent="0.25">
      <c r="B24" s="15"/>
      <c r="E24" s="19">
        <f>E21*F21+E22*F22+E23*F23</f>
        <v>3120000000</v>
      </c>
      <c r="F24" t="s">
        <v>40</v>
      </c>
      <c r="G24" s="23">
        <f>-(G21*H21+G22*H22+G23*H23)</f>
        <v>-1500000000</v>
      </c>
      <c r="H24" t="s">
        <v>40</v>
      </c>
    </row>
    <row r="25" spans="2:11" x14ac:dyDescent="0.25">
      <c r="B25" s="15"/>
      <c r="K25" s="30" t="s">
        <v>38</v>
      </c>
    </row>
    <row r="26" spans="2:11" x14ac:dyDescent="0.25">
      <c r="B26" s="15"/>
      <c r="E26" s="18">
        <f>C27*(highPRICE-OPEXdry)</f>
        <v>3510000000</v>
      </c>
      <c r="F26" s="21">
        <v>0.3</v>
      </c>
      <c r="G26" s="46">
        <f>dryCAPEXhigh*1000000</f>
        <v>2000000000</v>
      </c>
      <c r="H26" s="21">
        <v>0.3</v>
      </c>
    </row>
    <row r="27" spans="2:11" ht="15.75" x14ac:dyDescent="0.25">
      <c r="B27" s="15"/>
      <c r="C27" s="20">
        <f>Reserves*(1+Increase)</f>
        <v>65000000</v>
      </c>
      <c r="D27" t="s">
        <v>11</v>
      </c>
      <c r="E27" s="18">
        <f>C27*(PRICE-OPEXdry)</f>
        <v>2535000000</v>
      </c>
      <c r="F27" s="21">
        <v>0.4</v>
      </c>
      <c r="G27" s="46">
        <f>dryCAPEX*1000000</f>
        <v>1500000000</v>
      </c>
      <c r="H27" s="21">
        <v>0.4</v>
      </c>
      <c r="I27" s="19">
        <f>(E29-G26)*H26+(E29-G27)*H27+(E29-G28)*H28</f>
        <v>1035000000</v>
      </c>
      <c r="J27" s="21">
        <v>0.4</v>
      </c>
      <c r="K27" s="48">
        <f>I22*J22+I27*J27+I32*J32</f>
        <v>1093500000</v>
      </c>
    </row>
    <row r="28" spans="2:11" x14ac:dyDescent="0.25">
      <c r="B28" s="15"/>
      <c r="E28" s="18">
        <f>C27*(lowPRICE-OPEXdry)</f>
        <v>1560000000</v>
      </c>
      <c r="F28" s="21">
        <v>0.3</v>
      </c>
      <c r="G28" s="46">
        <f>dryCAPEXlow*1000000</f>
        <v>1000000000</v>
      </c>
      <c r="H28" s="21">
        <v>0.3</v>
      </c>
    </row>
    <row r="29" spans="2:11" x14ac:dyDescent="0.25">
      <c r="B29" s="15"/>
      <c r="E29" s="19">
        <f>E26*F26+E27*F27+E28*F28</f>
        <v>2535000000</v>
      </c>
      <c r="F29" t="s">
        <v>40</v>
      </c>
      <c r="G29" s="23">
        <f>-(G26*H26+G27*H27+G28*H28)</f>
        <v>-1500000000</v>
      </c>
      <c r="H29" t="s">
        <v>40</v>
      </c>
    </row>
    <row r="30" spans="2:11" x14ac:dyDescent="0.25">
      <c r="B30" s="15"/>
    </row>
    <row r="31" spans="2:11" x14ac:dyDescent="0.25">
      <c r="B31" s="15"/>
      <c r="E31" s="18">
        <f>C32*(highPRICE-OPEXdry)</f>
        <v>2970000000.0000005</v>
      </c>
      <c r="F31" s="21">
        <v>0.3</v>
      </c>
      <c r="G31" s="46">
        <f>dryCAPEXhigh*1000000</f>
        <v>2000000000</v>
      </c>
      <c r="H31" s="21">
        <v>0.3</v>
      </c>
    </row>
    <row r="32" spans="2:11" x14ac:dyDescent="0.25">
      <c r="B32" s="15"/>
      <c r="C32" s="20">
        <f>Reserves*(1+IncreaseLOW)</f>
        <v>55000000.000000007</v>
      </c>
      <c r="D32" t="s">
        <v>11</v>
      </c>
      <c r="E32" s="18">
        <f>C32*(PRICE-OPEXdry)</f>
        <v>2145000000.0000002</v>
      </c>
      <c r="F32" s="21">
        <v>0.4</v>
      </c>
      <c r="G32" s="46">
        <f>dryCAPEX*1000000</f>
        <v>1500000000</v>
      </c>
      <c r="H32" s="21">
        <v>0.4</v>
      </c>
      <c r="I32" s="19">
        <f>(E34-G31)*H31+(E34-G32)*H32+(E34-G33)*H33</f>
        <v>645000000.00000024</v>
      </c>
      <c r="J32" s="21">
        <v>0.3</v>
      </c>
    </row>
    <row r="33" spans="2:8" x14ac:dyDescent="0.25">
      <c r="B33" s="15"/>
      <c r="E33" s="18">
        <f>C32*(lowPRICE-OPEXdry)</f>
        <v>1320000000.0000002</v>
      </c>
      <c r="F33" s="21">
        <v>0.3</v>
      </c>
      <c r="G33" s="46">
        <f>dryCAPEXlow*1000000</f>
        <v>1000000000</v>
      </c>
      <c r="H33" s="21">
        <v>0.3</v>
      </c>
    </row>
    <row r="34" spans="2:8" x14ac:dyDescent="0.25">
      <c r="B34" s="15"/>
      <c r="E34" s="19">
        <f>E31*F31+E32*F32+E33*F33</f>
        <v>2145000000.0000002</v>
      </c>
      <c r="F34" t="s">
        <v>40</v>
      </c>
      <c r="G34" s="23">
        <f>-(G31*H31+G32*H32+G33*H33)</f>
        <v>-1500000000</v>
      </c>
      <c r="H34" t="s">
        <v>40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INPUT</vt:lpstr>
      <vt:lpstr>Model</vt:lpstr>
      <vt:lpstr>dryCAPEX</vt:lpstr>
      <vt:lpstr>dryCAPEXhigh</vt:lpstr>
      <vt:lpstr>dryCAPEXlow</vt:lpstr>
      <vt:lpstr>ENHANCE</vt:lpstr>
      <vt:lpstr>ENHANCEhigh</vt:lpstr>
      <vt:lpstr>ENHANCElow</vt:lpstr>
      <vt:lpstr>highPRICE</vt:lpstr>
      <vt:lpstr>Increase</vt:lpstr>
      <vt:lpstr>IncreaseHIGH</vt:lpstr>
      <vt:lpstr>IncreaseLOW</vt:lpstr>
      <vt:lpstr>lowPRICE</vt:lpstr>
      <vt:lpstr>OPEXdry</vt:lpstr>
      <vt:lpstr>OPEXwet</vt:lpstr>
      <vt:lpstr>PRICE</vt:lpstr>
      <vt:lpstr>Reserves</vt:lpstr>
      <vt:lpstr>SELL</vt:lpstr>
      <vt:lpstr>SELLhigh</vt:lpstr>
      <vt:lpstr>SELLlow</vt:lpstr>
      <vt:lpstr>wetCAPEX</vt:lpstr>
      <vt:lpstr>wetCAPEXhigh</vt:lpstr>
      <vt:lpstr>wetCAPEXlow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White</dc:creator>
  <cp:lastModifiedBy>Roy Shilling</cp:lastModifiedBy>
  <dcterms:created xsi:type="dcterms:W3CDTF">2020-08-22T22:18:54Z</dcterms:created>
  <dcterms:modified xsi:type="dcterms:W3CDTF">2020-08-25T21:40:46Z</dcterms:modified>
</cp:coreProperties>
</file>