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ttps://d.docs.live.net/1ae853d1c2cb3685/FDAS/Mktg/Print MEDIA/WORLD OIL/Follow-up STUDY/"/>
    </mc:Choice>
  </mc:AlternateContent>
  <xr:revisionPtr revIDLastSave="42" documentId="8_{F4CE2BA9-9A14-4A6F-83E2-4374BA6F8F82}" xr6:coauthVersionLast="45" xr6:coauthVersionMax="45" xr10:uidLastSave="{1582BE38-EA09-4E03-89DD-182DAC50DC13}"/>
  <bookViews>
    <workbookView xWindow="-110" yWindow="-110" windowWidth="22780" windowHeight="14660" activeTab="2" xr2:uid="{B6E9B06C-9FA2-426E-9ACA-175D0A6ABA9C}"/>
  </bookViews>
  <sheets>
    <sheet name="INPUT" sheetId="2" r:id="rId1"/>
    <sheet name="Model" sheetId="1" r:id="rId2"/>
    <sheet name="D&amp;C costs-data" sheetId="3" r:id="rId3"/>
  </sheets>
  <definedNames>
    <definedName name="dryCAPEX">INPUT!$D$26</definedName>
    <definedName name="dryCAPEXhigh">INPUT!$D$28</definedName>
    <definedName name="dryCAPEXlow">INPUT!$D$27</definedName>
    <definedName name="ENHANCE">INPUT!$D$18</definedName>
    <definedName name="ENHANCEhigh">INPUT!$D$20</definedName>
    <definedName name="ENHANCElow">INPUT!$D$19</definedName>
    <definedName name="FrPSrate">'D&amp;C costs-data'!$C$5</definedName>
    <definedName name="highPRICE">INPUT!$D$8</definedName>
    <definedName name="hpMODUrate">'D&amp;C costs-data'!$C$4</definedName>
    <definedName name="Increase">INPUT!$H$26</definedName>
    <definedName name="IncreaseHIGH">INPUT!$H$28</definedName>
    <definedName name="IncreaseLOW">INPUT!$H$27</definedName>
    <definedName name="lowPRICE">INPUT!$D$7</definedName>
    <definedName name="MODUrate">'D&amp;C costs-data'!$C$3</definedName>
    <definedName name="OPEXdry">INPUT!$D$11</definedName>
    <definedName name="OPEXwet">INPUT!$D$10</definedName>
    <definedName name="PRICE">INPUT!$D$6</definedName>
    <definedName name="Reserves">INPUT!$D$13</definedName>
    <definedName name="SELL">INPUT!$D$22</definedName>
    <definedName name="SELLhigh">INPUT!$D$24</definedName>
    <definedName name="SELLlow">INPUT!$D$23</definedName>
    <definedName name="wetCAPEX">INPUT!$D$15</definedName>
    <definedName name="wetCAPEXhigh">INPUT!$D$17</definedName>
    <definedName name="wetCAPEXlow">INPUT!$D$16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7" i="3" l="1"/>
  <c r="C10" i="3"/>
  <c r="F19" i="3"/>
  <c r="F17" i="3"/>
  <c r="G10" i="3"/>
  <c r="G11" i="3" s="1"/>
  <c r="G21" i="3" s="1"/>
  <c r="F10" i="3"/>
  <c r="F11" i="3" s="1"/>
  <c r="F21" i="3" s="1"/>
  <c r="T11" i="2" l="1"/>
  <c r="F22" i="3" l="1"/>
  <c r="H28" i="2"/>
  <c r="C22" i="1" s="1"/>
  <c r="E21" i="1" s="1"/>
  <c r="H27" i="2"/>
  <c r="C32" i="1" s="1"/>
  <c r="E31" i="1" s="1"/>
  <c r="G33" i="1"/>
  <c r="G32" i="1"/>
  <c r="G31" i="1"/>
  <c r="G28" i="1"/>
  <c r="G27" i="1"/>
  <c r="G26" i="1"/>
  <c r="G23" i="1"/>
  <c r="G22" i="1"/>
  <c r="G21" i="1"/>
  <c r="C27" i="1"/>
  <c r="E28" i="1" s="1"/>
  <c r="C10" i="1"/>
  <c r="E10" i="1" s="1"/>
  <c r="E18" i="1"/>
  <c r="E16" i="1"/>
  <c r="E17" i="1"/>
  <c r="C17" i="1"/>
  <c r="C11" i="1"/>
  <c r="E11" i="1" s="1"/>
  <c r="C9" i="1"/>
  <c r="E9" i="1" s="1"/>
  <c r="E5" i="1"/>
  <c r="E4" i="1"/>
  <c r="E6" i="1"/>
  <c r="C5" i="1"/>
  <c r="G23" i="3" l="1"/>
  <c r="F23" i="3"/>
  <c r="I5" i="1"/>
  <c r="G34" i="1"/>
  <c r="G24" i="1"/>
  <c r="E26" i="1"/>
  <c r="G29" i="1"/>
  <c r="E27" i="1"/>
  <c r="I17" i="1"/>
  <c r="E32" i="1"/>
  <c r="E22" i="1"/>
  <c r="E23" i="1"/>
  <c r="I10" i="1"/>
  <c r="E33" i="1"/>
  <c r="E34" i="1" l="1"/>
  <c r="I32" i="1" s="1"/>
  <c r="E29" i="1"/>
  <c r="I27" i="1" s="1"/>
  <c r="E24" i="1"/>
  <c r="I22" i="1" s="1"/>
  <c r="K2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Charles White</author>
  </authors>
  <commentList>
    <comment ref="E13" authorId="0" shapeId="0" xr:uid="{9C449C24-D0C7-4E9A-9A27-48212660C115}">
      <text>
        <r>
          <rPr>
            <b/>
            <sz val="9"/>
            <color indexed="81"/>
            <rFont val="Tahoma"/>
            <family val="2"/>
          </rPr>
          <t>Charles White: 20200824</t>
        </r>
        <r>
          <rPr>
            <sz val="9"/>
            <color indexed="81"/>
            <rFont val="Tahoma"/>
            <family val="2"/>
          </rPr>
          <t xml:space="preserve">
BOEM 2019 update ~68M bbls Original Oil at STONES
with ~60M remaining </t>
        </r>
      </text>
    </comment>
  </commentList>
</comments>
</file>

<file path=xl/sharedStrings.xml><?xml version="1.0" encoding="utf-8"?>
<sst xmlns="http://schemas.openxmlformats.org/spreadsheetml/2006/main" count="115" uniqueCount="75">
  <si>
    <t>DQM model for WORLD OIL-article</t>
  </si>
  <si>
    <t>RESCUE with FrPS</t>
  </si>
  <si>
    <t>STAY THE COURSE… minimize investment</t>
  </si>
  <si>
    <t>SELL as much as possible</t>
  </si>
  <si>
    <t>STAY THE COURSE</t>
  </si>
  <si>
    <t>ENHANCE</t>
  </si>
  <si>
    <t>SELL</t>
  </si>
  <si>
    <t>RESCUE</t>
  </si>
  <si>
    <t>CASE</t>
  </si>
  <si>
    <t>STONES</t>
  </si>
  <si>
    <t>bbls</t>
  </si>
  <si>
    <t>INPUT</t>
  </si>
  <si>
    <t xml:space="preserve"> = Assumptions</t>
  </si>
  <si>
    <t xml:space="preserve"> /bbl, LOW OIL price</t>
  </si>
  <si>
    <t xml:space="preserve"> /bbl, HIGH OIL price</t>
  </si>
  <si>
    <t xml:space="preserve"> /bbl, EXPECTED OIL price  CONSTANT REAL DOLLARS</t>
  </si>
  <si>
    <t>recovery ENHANCEMENT, LOW</t>
  </si>
  <si>
    <t>recovery ENHANCEMENT, HIGH</t>
  </si>
  <si>
    <t xml:space="preserve"> /bbl SALES price, LOW</t>
  </si>
  <si>
    <t xml:space="preserve"> /bbl SALES price, HIGH</t>
  </si>
  <si>
    <t xml:space="preserve"> /bbl SALES price, EXPECTED… covers cost of FPSO</t>
  </si>
  <si>
    <t xml:space="preserve"> /bbl, OPEX etc. for subsea</t>
  </si>
  <si>
    <t xml:space="preserve"> /bbl, OPEX etc. for dry tree option</t>
  </si>
  <si>
    <t>SUBSEA recovery ENHANCEMENT, expected</t>
  </si>
  <si>
    <t>STAY the Course</t>
  </si>
  <si>
    <t>ENHANCE subsea</t>
  </si>
  <si>
    <t>low CAPEX</t>
  </si>
  <si>
    <t>high CAPEX</t>
  </si>
  <si>
    <t>M, new CAPEX, expected</t>
  </si>
  <si>
    <t>Expected Reserves INCREASE</t>
  </si>
  <si>
    <t>net REVENUE</t>
  </si>
  <si>
    <t>Expected</t>
  </si>
  <si>
    <t>high</t>
  </si>
  <si>
    <t>low</t>
  </si>
  <si>
    <t>Probability</t>
  </si>
  <si>
    <t>EV</t>
  </si>
  <si>
    <t>CAPEX</t>
  </si>
  <si>
    <t>Exp'd</t>
  </si>
  <si>
    <t>KEY RESULT</t>
  </si>
  <si>
    <t>see INPUT sheet</t>
  </si>
  <si>
    <t>RATIONALE: Spending more yields more bbls; but spending is constrained by OIL PRICE</t>
  </si>
  <si>
    <t>low INCREASE (Exp'd/3)</t>
  </si>
  <si>
    <t>high INCREASE (Exp'd*2)</t>
  </si>
  <si>
    <t>ASSUMING perfect correlation between recovery &amp; CAPEX and CAPEX &amp; Price</t>
  </si>
  <si>
    <t>low CAPEX (note - subsea pump at JSM ~$300M)</t>
  </si>
  <si>
    <t>TOTAL PRODUCED</t>
  </si>
  <si>
    <t>bbls, reserves left to produce AFTER decision implemented</t>
  </si>
  <si>
    <t>WTI avg.</t>
  </si>
  <si>
    <t>DRILLING &amp; COMPLETION and Tieback COSTS</t>
  </si>
  <si>
    <t>All Up MODU day rate</t>
  </si>
  <si>
    <t>All Up FrPS day rate</t>
  </si>
  <si>
    <t>Subsea Well COSTS</t>
  </si>
  <si>
    <t>DAYS Drilling</t>
  </si>
  <si>
    <t>DAYS Completing</t>
  </si>
  <si>
    <t>Subsea TIEBACK</t>
  </si>
  <si>
    <t>DRY TREE Tieback</t>
  </si>
  <si>
    <t>D&amp;C COSTS</t>
  </si>
  <si>
    <t>FrPS DRY TREE Well COSTS</t>
  </si>
  <si>
    <t>MODU DAYS Drilling</t>
  </si>
  <si>
    <t>FrPS DAYS Drilling</t>
  </si>
  <si>
    <t>Field Dev COMPARISON</t>
  </si>
  <si>
    <t># wells</t>
  </si>
  <si>
    <t>WET</t>
  </si>
  <si>
    <t>DRY</t>
  </si>
  <si>
    <t>savings</t>
  </si>
  <si>
    <t>per well</t>
  </si>
  <si>
    <t>All Up 20k MODU rate</t>
  </si>
  <si>
    <t>per 20k well</t>
  </si>
  <si>
    <t>pre-drill upper sections of well</t>
  </si>
  <si>
    <t>finish drilling from the FrPS</t>
  </si>
  <si>
    <t>from the FrPS</t>
  </si>
  <si>
    <t>Tangibles</t>
  </si>
  <si>
    <t>Total DAYS</t>
  </si>
  <si>
    <t>ENHANCE the subsea system… new investment limit $1.5B</t>
  </si>
  <si>
    <t>SELL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</si>
</sst>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4" formatCode="_(&quot;$&quot;* #,##0.00_);_(&quot;$&quot;* \(#,##0.00\);_(&quot;$&quot;* &quot;-&quot;??_);_(@_)"/>
    <numFmt numFmtId="164" formatCode="&quot;$&quot;#,##0.00"/>
    <numFmt numFmtId="165" formatCode="&quot;$&quot;#,##0"/>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b/>
      <sz val="12"/>
      <color theme="1"/>
      <name val="Calibri"/>
      <family val="2"/>
      <scheme val="minor"/>
    </font>
    <font>
      <b/>
      <sz val="14"/>
      <color rgb="FF00B0F0"/>
      <name val="Calibri"/>
      <family val="2"/>
      <scheme val="minor"/>
    </font>
    <font>
      <sz val="9"/>
      <color indexed="81"/>
      <name val="Tahoma"/>
      <family val="2"/>
    </font>
    <font>
      <b/>
      <sz val="9"/>
      <color indexed="81"/>
      <name val="Tahoma"/>
      <family val="2"/>
    </font>
    <font>
      <b/>
      <i/>
      <sz val="12"/>
      <color theme="1"/>
      <name val="Calibri"/>
      <family val="2"/>
      <scheme val="minor"/>
    </font>
    <font>
      <b/>
      <sz val="14"/>
      <color rgb="FF00FFCC"/>
      <name val="Calibri"/>
      <family val="2"/>
      <scheme val="minor"/>
    </font>
    <font>
      <b/>
      <sz val="11"/>
      <color rgb="FFFF0000"/>
      <name val="Calibri"/>
      <family val="2"/>
      <scheme val="minor"/>
    </font>
    <font>
      <b/>
      <sz val="14"/>
      <color theme="1"/>
      <name val="Calibri"/>
      <family val="2"/>
      <scheme val="minor"/>
    </font>
    <font>
      <sz val="12"/>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00FFCC"/>
        <bgColor indexed="64"/>
      </patternFill>
    </fill>
    <fill>
      <patternFill patternType="solid">
        <fgColor rgb="FFFF99CC"/>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66">
    <xf numFmtId="0" fontId="0" fillId="0" borderId="0" xfId="0"/>
    <xf numFmtId="0" fontId="3" fillId="0" borderId="0" xfId="0" applyFont="1"/>
    <xf numFmtId="0" fontId="3" fillId="0" borderId="0" xfId="0" applyFont="1" applyAlignment="1">
      <alignment vertical="center"/>
    </xf>
    <xf numFmtId="0" fontId="4" fillId="0" borderId="0" xfId="0" applyFont="1"/>
    <xf numFmtId="0" fontId="0" fillId="0" borderId="0" xfId="0" applyAlignment="1">
      <alignment horizontal="right"/>
    </xf>
    <xf numFmtId="0" fontId="5" fillId="0" borderId="1" xfId="0" applyFont="1" applyBorder="1"/>
    <xf numFmtId="0" fontId="0" fillId="0" borderId="0" xfId="0" applyAlignment="1">
      <alignment horizontal="center"/>
    </xf>
    <xf numFmtId="0" fontId="0" fillId="2" borderId="0" xfId="0" applyFill="1" applyAlignment="1">
      <alignment horizontal="center"/>
    </xf>
    <xf numFmtId="164" fontId="0" fillId="2" borderId="1" xfId="0" applyNumberFormat="1" applyFill="1" applyBorder="1"/>
    <xf numFmtId="9" fontId="0" fillId="2" borderId="1" xfId="0" applyNumberFormat="1" applyFill="1" applyBorder="1"/>
    <xf numFmtId="3" fontId="0" fillId="2" borderId="1" xfId="0" applyNumberFormat="1" applyFill="1" applyBorder="1"/>
    <xf numFmtId="164" fontId="2" fillId="2" borderId="1" xfId="0" applyNumberFormat="1" applyFont="1" applyFill="1" applyBorder="1"/>
    <xf numFmtId="9" fontId="2" fillId="2" borderId="1" xfId="0" applyNumberFormat="1" applyFont="1" applyFill="1" applyBorder="1"/>
    <xf numFmtId="165" fontId="2" fillId="2" borderId="1" xfId="0" applyNumberFormat="1" applyFont="1" applyFill="1" applyBorder="1"/>
    <xf numFmtId="0" fontId="0" fillId="4" borderId="0" xfId="0" applyFill="1"/>
    <xf numFmtId="0" fontId="0" fillId="5" borderId="0" xfId="0" applyFill="1"/>
    <xf numFmtId="0" fontId="0" fillId="2" borderId="0" xfId="0" applyFill="1" applyAlignment="1">
      <alignment horizontal="left"/>
    </xf>
    <xf numFmtId="165" fontId="0" fillId="0" borderId="1" xfId="0" applyNumberFormat="1" applyBorder="1"/>
    <xf numFmtId="165" fontId="0" fillId="6" borderId="1" xfId="0" applyNumberFormat="1" applyFill="1" applyBorder="1"/>
    <xf numFmtId="3" fontId="0" fillId="0" borderId="1" xfId="0" applyNumberFormat="1" applyBorder="1"/>
    <xf numFmtId="9" fontId="0" fillId="3" borderId="1" xfId="0" applyNumberFormat="1" applyFill="1" applyBorder="1" applyAlignment="1">
      <alignment horizontal="center"/>
    </xf>
    <xf numFmtId="3" fontId="0" fillId="2" borderId="0" xfId="0" applyNumberFormat="1" applyFill="1"/>
    <xf numFmtId="6" fontId="0" fillId="0" borderId="0" xfId="0" applyNumberFormat="1"/>
    <xf numFmtId="9" fontId="0" fillId="5" borderId="1" xfId="0" applyNumberFormat="1" applyFill="1" applyBorder="1"/>
    <xf numFmtId="0" fontId="0" fillId="7" borderId="0" xfId="0" applyFill="1"/>
    <xf numFmtId="44" fontId="0" fillId="7" borderId="0" xfId="1" applyFont="1" applyFill="1"/>
    <xf numFmtId="0" fontId="3" fillId="7" borderId="0" xfId="0" applyFont="1" applyFill="1" applyAlignment="1">
      <alignment vertical="center"/>
    </xf>
    <xf numFmtId="0" fontId="3" fillId="5" borderId="0" xfId="0" applyFont="1" applyFill="1"/>
    <xf numFmtId="0" fontId="3" fillId="4" borderId="0" xfId="0" applyFont="1" applyFill="1"/>
    <xf numFmtId="0" fontId="0" fillId="0" borderId="2" xfId="0" applyBorder="1"/>
    <xf numFmtId="0" fontId="0" fillId="0" borderId="3" xfId="0" applyBorder="1"/>
    <xf numFmtId="0" fontId="0" fillId="0" borderId="3" xfId="0" applyBorder="1" applyAlignment="1">
      <alignment horizontal="center"/>
    </xf>
    <xf numFmtId="0" fontId="0" fillId="0" borderId="4" xfId="0" applyBorder="1"/>
    <xf numFmtId="0" fontId="0" fillId="0" borderId="5" xfId="0" applyBorder="1"/>
    <xf numFmtId="0" fontId="0" fillId="0" borderId="0" xfId="0" applyBorder="1"/>
    <xf numFmtId="0" fontId="0" fillId="0" borderId="6" xfId="0" applyBorder="1"/>
    <xf numFmtId="0" fontId="3" fillId="0" borderId="5" xfId="0" applyFont="1" applyBorder="1" applyAlignment="1">
      <alignment vertical="center"/>
    </xf>
    <xf numFmtId="3" fontId="0" fillId="2" borderId="0" xfId="0" applyNumberFormat="1" applyFill="1" applyBorder="1"/>
    <xf numFmtId="0" fontId="0" fillId="0" borderId="7" xfId="0" applyBorder="1"/>
    <xf numFmtId="0" fontId="0" fillId="0" borderId="8" xfId="0" applyBorder="1"/>
    <xf numFmtId="0" fontId="0" fillId="0" borderId="9" xfId="0" applyBorder="1"/>
    <xf numFmtId="164" fontId="2" fillId="2" borderId="10" xfId="0" applyNumberFormat="1" applyFont="1" applyFill="1" applyBorder="1"/>
    <xf numFmtId="164" fontId="0" fillId="2" borderId="11" xfId="0" applyNumberFormat="1" applyFill="1" applyBorder="1"/>
    <xf numFmtId="165" fontId="0" fillId="2" borderId="0" xfId="0" applyNumberFormat="1" applyFill="1" applyBorder="1"/>
    <xf numFmtId="0" fontId="8" fillId="6" borderId="1" xfId="0" applyFont="1" applyFill="1" applyBorder="1" applyAlignment="1">
      <alignment horizontal="center"/>
    </xf>
    <xf numFmtId="165" fontId="8" fillId="6" borderId="1" xfId="0" applyNumberFormat="1" applyFont="1" applyFill="1" applyBorder="1"/>
    <xf numFmtId="0" fontId="4" fillId="0" borderId="0" xfId="0" applyFont="1" applyAlignment="1">
      <alignment horizontal="center"/>
    </xf>
    <xf numFmtId="0" fontId="0" fillId="2" borderId="1" xfId="0" applyFill="1" applyBorder="1" applyAlignment="1">
      <alignment horizontal="center"/>
    </xf>
    <xf numFmtId="6" fontId="2" fillId="2" borderId="1" xfId="0" applyNumberFormat="1" applyFont="1" applyFill="1" applyBorder="1" applyAlignment="1">
      <alignment horizontal="center"/>
    </xf>
    <xf numFmtId="6" fontId="0" fillId="0" borderId="1" xfId="0" applyNumberFormat="1" applyBorder="1"/>
    <xf numFmtId="6" fontId="2" fillId="6" borderId="0" xfId="0" applyNumberFormat="1" applyFont="1" applyFill="1"/>
    <xf numFmtId="0" fontId="2" fillId="0" borderId="0" xfId="0" applyFont="1" applyAlignment="1">
      <alignment horizontal="right"/>
    </xf>
    <xf numFmtId="0" fontId="4" fillId="0" borderId="0" xfId="0" applyFont="1" applyAlignment="1">
      <alignment horizontal="right"/>
    </xf>
    <xf numFmtId="164" fontId="9" fillId="0" borderId="0" xfId="0" applyNumberFormat="1" applyFont="1"/>
    <xf numFmtId="0" fontId="10" fillId="0" borderId="0" xfId="0" applyFont="1" applyAlignment="1">
      <alignment horizontal="right"/>
    </xf>
    <xf numFmtId="0" fontId="10" fillId="0" borderId="0" xfId="0" applyFont="1"/>
    <xf numFmtId="0" fontId="10" fillId="0" borderId="0" xfId="0" applyFont="1" applyAlignment="1">
      <alignment horizontal="center"/>
    </xf>
    <xf numFmtId="0" fontId="4" fillId="2" borderId="1" xfId="0" applyFont="1" applyFill="1" applyBorder="1" applyAlignment="1">
      <alignment horizontal="center"/>
    </xf>
    <xf numFmtId="0" fontId="0" fillId="0" borderId="0" xfId="0" applyFill="1" applyBorder="1" applyAlignment="1">
      <alignment horizontal="right"/>
    </xf>
    <xf numFmtId="0" fontId="0" fillId="0" borderId="0" xfId="0" applyAlignment="1">
      <alignment horizontal="left"/>
    </xf>
    <xf numFmtId="0" fontId="4" fillId="7" borderId="0" xfId="0" applyFont="1" applyFill="1"/>
    <xf numFmtId="0" fontId="4" fillId="0" borderId="5" xfId="0" applyFont="1" applyBorder="1"/>
    <xf numFmtId="0" fontId="11" fillId="5" borderId="0" xfId="0" applyFont="1" applyFill="1"/>
    <xf numFmtId="0" fontId="4" fillId="4" borderId="0" xfId="0" applyFont="1" applyFill="1" applyAlignment="1">
      <alignment vertical="center"/>
    </xf>
    <xf numFmtId="0" fontId="12" fillId="0" borderId="0" xfId="0" applyFont="1" applyAlignment="1">
      <alignment horizontal="right"/>
    </xf>
    <xf numFmtId="6" fontId="4" fillId="6" borderId="0" xfId="0" applyNumberFormat="1" applyFont="1" applyFill="1"/>
  </cellXfs>
  <cellStyles count="2">
    <cellStyle name="Currency" xfId="1" builtinId="4"/>
    <cellStyle name="Normal" xfId="0" builtinId="0"/>
  </cellStyles>
  <dxfs count="0"/>
  <tableStyles count="0" defaultTableStyle="TableStyleMedium2" defaultPivotStyle="PivotStyleLight16"/>
  <colors>
    <mruColors>
      <color rgb="FF00FFCC"/>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11</xdr:col>
      <xdr:colOff>95250</xdr:colOff>
      <xdr:row>1</xdr:row>
      <xdr:rowOff>127000</xdr:rowOff>
    </xdr:from>
    <xdr:to>
      <xdr:col>18</xdr:col>
      <xdr:colOff>520700</xdr:colOff>
      <xdr:row>21</xdr:row>
      <xdr:rowOff>120650</xdr:rowOff>
    </xdr:to>
    <xdr:pic>
      <xdr:nvPicPr>
        <xdr:cNvPr id="2" name="Picture 1">
          <a:extLst>
            <a:ext uri="{FF2B5EF4-FFF2-40B4-BE49-F238E27FC236}">
              <a16:creationId xmlns:a16="http://schemas.microsoft.com/office/drawing/2014/main" id="{4CA3B1D7-6B2C-49DE-B6E4-BFD83CFF234C}"/>
            </a:ext>
          </a:extLst>
        </xdr:cNvPr>
        <xdr:cNvPicPr>
          <a:picLocks noChangeAspect="1"/>
        </xdr:cNvPicPr>
      </xdr:nvPicPr>
      <xdr:blipFill rotWithShape="1">
        <a:blip xmlns:r="http://schemas.openxmlformats.org/officeDocument/2006/relationships" r:embed="rId1"/>
        <a:srcRect t="10185" r="26686" b="7275"/>
        <a:stretch/>
      </xdr:blipFill>
      <xdr:spPr>
        <a:xfrm>
          <a:off x="6915150" y="361950"/>
          <a:ext cx="4692650" cy="3962400"/>
        </a:xfrm>
        <a:prstGeom prst="rect">
          <a:avLst/>
        </a:prstGeom>
      </xdr:spPr>
    </xdr:pic>
    <xdr:clientData/>
  </xdr:twoCellAnchor>
  <xdr:twoCellAnchor editAs="oneCell">
    <xdr:from>
      <xdr:col>11</xdr:col>
      <xdr:colOff>203200</xdr:colOff>
      <xdr:row>20</xdr:row>
      <xdr:rowOff>135188</xdr:rowOff>
    </xdr:from>
    <xdr:to>
      <xdr:col>18</xdr:col>
      <xdr:colOff>330529</xdr:colOff>
      <xdr:row>40</xdr:row>
      <xdr:rowOff>120929</xdr:rowOff>
    </xdr:to>
    <xdr:pic>
      <xdr:nvPicPr>
        <xdr:cNvPr id="3" name="Picture 2">
          <a:extLst>
            <a:ext uri="{FF2B5EF4-FFF2-40B4-BE49-F238E27FC236}">
              <a16:creationId xmlns:a16="http://schemas.microsoft.com/office/drawing/2014/main" id="{7B13157C-3CD1-414D-93F0-2482CC1D7B69}"/>
            </a:ext>
          </a:extLst>
        </xdr:cNvPr>
        <xdr:cNvPicPr>
          <a:picLocks noChangeAspect="1"/>
        </xdr:cNvPicPr>
      </xdr:nvPicPr>
      <xdr:blipFill>
        <a:blip xmlns:r="http://schemas.openxmlformats.org/officeDocument/2006/relationships" r:embed="rId2"/>
        <a:stretch>
          <a:fillRect/>
        </a:stretch>
      </xdr:blipFill>
      <xdr:spPr>
        <a:xfrm>
          <a:off x="7232650" y="4122988"/>
          <a:ext cx="4394529" cy="3744941"/>
        </a:xfrm>
        <a:prstGeom prst="rect">
          <a:avLst/>
        </a:prstGeom>
      </xdr:spPr>
    </xdr:pic>
    <xdr:clientData/>
  </xdr:twoCellAnchor>
  <xdr:twoCellAnchor editAs="oneCell">
    <xdr:from>
      <xdr:col>19</xdr:col>
      <xdr:colOff>203200</xdr:colOff>
      <xdr:row>12</xdr:row>
      <xdr:rowOff>152400</xdr:rowOff>
    </xdr:from>
    <xdr:to>
      <xdr:col>21</xdr:col>
      <xdr:colOff>212725</xdr:colOff>
      <xdr:row>21</xdr:row>
      <xdr:rowOff>76200</xdr:rowOff>
    </xdr:to>
    <xdr:pic>
      <xdr:nvPicPr>
        <xdr:cNvPr id="6" name="Picture 5">
          <a:extLst>
            <a:ext uri="{FF2B5EF4-FFF2-40B4-BE49-F238E27FC236}">
              <a16:creationId xmlns:a16="http://schemas.microsoft.com/office/drawing/2014/main" id="{128829C6-7517-46EC-84E4-803FF6486ACC}"/>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99900" y="2667000"/>
          <a:ext cx="1228725" cy="16002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31751</xdr:colOff>
      <xdr:row>2</xdr:row>
      <xdr:rowOff>107245</xdr:rowOff>
    </xdr:from>
    <xdr:to>
      <xdr:col>18</xdr:col>
      <xdr:colOff>460024</xdr:colOff>
      <xdr:row>22</xdr:row>
      <xdr:rowOff>143933</xdr:rowOff>
    </xdr:to>
    <xdr:pic>
      <xdr:nvPicPr>
        <xdr:cNvPr id="3" name="Picture 2">
          <a:extLst>
            <a:ext uri="{FF2B5EF4-FFF2-40B4-BE49-F238E27FC236}">
              <a16:creationId xmlns:a16="http://schemas.microsoft.com/office/drawing/2014/main" id="{2842F788-B264-4017-BA7E-FC2988B64E60}"/>
            </a:ext>
          </a:extLst>
        </xdr:cNvPr>
        <xdr:cNvPicPr>
          <a:picLocks noChangeAspect="1"/>
        </xdr:cNvPicPr>
      </xdr:nvPicPr>
      <xdr:blipFill rotWithShape="1">
        <a:blip xmlns:r="http://schemas.openxmlformats.org/officeDocument/2006/relationships" r:embed="rId1"/>
        <a:srcRect t="10185" r="26686" b="7275"/>
        <a:stretch/>
      </xdr:blipFill>
      <xdr:spPr>
        <a:xfrm>
          <a:off x="9345084" y="537634"/>
          <a:ext cx="4675717" cy="39454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134056</xdr:colOff>
      <xdr:row>0</xdr:row>
      <xdr:rowOff>108656</xdr:rowOff>
    </xdr:from>
    <xdr:to>
      <xdr:col>19</xdr:col>
      <xdr:colOff>518584</xdr:colOff>
      <xdr:row>20</xdr:row>
      <xdr:rowOff>177801</xdr:rowOff>
    </xdr:to>
    <xdr:sp macro="" textlink="">
      <xdr:nvSpPr>
        <xdr:cNvPr id="2" name="TextBox 1">
          <a:extLst>
            <a:ext uri="{FF2B5EF4-FFF2-40B4-BE49-F238E27FC236}">
              <a16:creationId xmlns:a16="http://schemas.microsoft.com/office/drawing/2014/main" id="{A2AC39E4-3206-4CE5-B2BB-9621E6BC9A84}"/>
            </a:ext>
          </a:extLst>
        </xdr:cNvPr>
        <xdr:cNvSpPr txBox="1"/>
      </xdr:nvSpPr>
      <xdr:spPr>
        <a:xfrm>
          <a:off x="6032500" y="108656"/>
          <a:ext cx="7059084" cy="37944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from</a:t>
          </a:r>
          <a:r>
            <a:rPr lang="en-US" sz="1100" b="1" baseline="0">
              <a:solidFill>
                <a:schemeClr val="dk1"/>
              </a:solidFill>
              <a:effectLst/>
              <a:latin typeface="+mn-lt"/>
              <a:ea typeface="+mn-ea"/>
              <a:cs typeface="+mn-cs"/>
            </a:rPr>
            <a:t> ROY 20200827 </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 I have been able to locate this same information in a couple of different articles.   </a:t>
          </a:r>
        </a:p>
        <a:p>
          <a:r>
            <a:rPr lang="en-US" sz="1100">
              <a:solidFill>
                <a:schemeClr val="dk1"/>
              </a:solidFill>
              <a:effectLst/>
              <a:latin typeface="+mn-lt"/>
              <a:ea typeface="+mn-ea"/>
              <a:cs typeface="+mn-cs"/>
            </a:rPr>
            <a:t>Looks like the initial project sanction of </a:t>
          </a:r>
          <a:r>
            <a:rPr lang="en-US" sz="1100" b="1">
              <a:solidFill>
                <a:schemeClr val="dk1"/>
              </a:solidFill>
              <a:effectLst/>
              <a:latin typeface="+mn-lt"/>
              <a:ea typeface="+mn-ea"/>
              <a:cs typeface="+mn-cs"/>
            </a:rPr>
            <a:t>the [JSM]</a:t>
          </a:r>
          <a:r>
            <a:rPr lang="en-US" sz="1100" b="1" baseline="0">
              <a:solidFill>
                <a:schemeClr val="dk1"/>
              </a:solidFill>
              <a:effectLst/>
              <a:latin typeface="+mn-lt"/>
              <a:ea typeface="+mn-ea"/>
              <a:cs typeface="+mn-cs"/>
            </a:rPr>
            <a:t> </a:t>
          </a:r>
          <a:r>
            <a:rPr lang="en-US" sz="1100" b="1">
              <a:solidFill>
                <a:schemeClr val="dk1"/>
              </a:solidFill>
              <a:effectLst/>
              <a:latin typeface="+mn-lt"/>
              <a:ea typeface="+mn-ea"/>
              <a:cs typeface="+mn-cs"/>
            </a:rPr>
            <a:t>subsea system included 12 wells, manifolds, pumps, controls, flowlines, chokes etc. for $2.5 billion or 2500000000/12 = $200M per well</a:t>
          </a:r>
          <a:r>
            <a:rPr lang="en-US" sz="1100">
              <a:solidFill>
                <a:schemeClr val="dk1"/>
              </a:solidFill>
              <a:effectLst/>
              <a:latin typeface="+mn-lt"/>
              <a:ea typeface="+mn-ea"/>
              <a:cs typeface="+mn-cs"/>
            </a:rPr>
            <a:t>.  Combined with the drilling and completion costs of about $250 - $300 per well, the total cost of subsea producer with SURF is about $500M per well.  We probably should note these references in the paper, so people know where they came from.</a:t>
          </a:r>
        </a:p>
        <a:p>
          <a:r>
            <a:rPr lang="en-US" sz="1100" b="1">
              <a:solidFill>
                <a:schemeClr val="dk1"/>
              </a:solidFill>
              <a:effectLst/>
              <a:latin typeface="+mn-lt"/>
              <a:ea typeface="+mn-ea"/>
              <a:cs typeface="+mn-cs"/>
            </a:rPr>
            <a:t>For a dry tree well</a:t>
          </a:r>
          <a:r>
            <a:rPr lang="en-US" sz="1100">
              <a:solidFill>
                <a:schemeClr val="dk1"/>
              </a:solidFill>
              <a:effectLst/>
              <a:latin typeface="+mn-lt"/>
              <a:ea typeface="+mn-ea"/>
              <a:cs typeface="+mn-cs"/>
            </a:rPr>
            <a:t>, assume ½ the drilling takes place with a MODU finished by the FrPS = 85 days * 800000$/day + 85*400000$/day </a:t>
          </a:r>
          <a:r>
            <a:rPr lang="en-US" sz="1100" b="1">
              <a:solidFill>
                <a:schemeClr val="dk1"/>
              </a:solidFill>
              <a:effectLst/>
              <a:latin typeface="+mn-lt"/>
              <a:ea typeface="+mn-ea"/>
              <a:cs typeface="+mn-cs"/>
            </a:rPr>
            <a:t>+ $20M for tangibles </a:t>
          </a:r>
          <a:r>
            <a:rPr lang="en-US" sz="1100">
              <a:solidFill>
                <a:schemeClr val="dk1"/>
              </a:solidFill>
              <a:effectLst/>
              <a:latin typeface="+mn-lt"/>
              <a:ea typeface="+mn-ea"/>
              <a:cs typeface="+mn-cs"/>
            </a:rPr>
            <a:t>= $122M.  Completion by the FrPS 90 days*400000$/day+$20M for tangibles = $56M.  Total FrPS well cost = $178M</a:t>
          </a:r>
        </a:p>
        <a:p>
          <a:r>
            <a:rPr lang="en-US" sz="1100">
              <a:solidFill>
                <a:schemeClr val="dk1"/>
              </a:solidFill>
              <a:effectLst/>
              <a:latin typeface="+mn-lt"/>
              <a:ea typeface="+mn-ea"/>
              <a:cs typeface="+mn-cs"/>
            </a:rPr>
            <a:t>As far as estimated recovery for a subsea well, if we look at Stones, you could assume that a well starts around 15,000 bbl/day and declines about 165 bbls/day/per month, hence the life of one well is less than 7 years and estimated recovery is 20,680,000 bbls per well </a:t>
          </a:r>
        </a:p>
        <a:p>
          <a:endParaRPr lang="en-US" sz="1100">
            <a:solidFill>
              <a:schemeClr val="dk1"/>
            </a:solidFill>
            <a:effectLst/>
            <a:latin typeface="+mn-lt"/>
            <a:ea typeface="+mn-ea"/>
            <a:cs typeface="+mn-cs"/>
          </a:endParaRPr>
        </a:p>
        <a:p>
          <a:r>
            <a:rPr lang="en-US" sz="1100"/>
            <a:t>Then on 20200828 - </a:t>
          </a:r>
        </a:p>
        <a:p>
          <a:r>
            <a:rPr lang="en-US" sz="1100">
              <a:solidFill>
                <a:schemeClr val="dk1"/>
              </a:solidFill>
              <a:effectLst/>
              <a:latin typeface="+mn-lt"/>
              <a:ea typeface="+mn-ea"/>
              <a:cs typeface="+mn-cs"/>
            </a:rPr>
            <a:t>I don’t think that the well will continue to produce down to less than 1,000 bbl per day and it is very likely that completion problems may shut the well in sooner.    At rates below a few thousand bbls per day a recompletion and redrill may not be economic.   </a:t>
          </a:r>
        </a:p>
        <a:p>
          <a:r>
            <a:rPr lang="en-US" sz="1100">
              <a:solidFill>
                <a:schemeClr val="dk1"/>
              </a:solidFill>
              <a:effectLst/>
              <a:latin typeface="+mn-lt"/>
              <a:ea typeface="+mn-ea"/>
              <a:cs typeface="+mn-cs"/>
            </a:rPr>
            <a:t>Also, looking at the spreadsheet, it looks like </a:t>
          </a:r>
          <a:r>
            <a:rPr lang="en-US" sz="1100" b="1">
              <a:solidFill>
                <a:schemeClr val="dk1"/>
              </a:solidFill>
              <a:effectLst/>
              <a:latin typeface="+mn-lt"/>
              <a:ea typeface="+mn-ea"/>
              <a:cs typeface="+mn-cs"/>
            </a:rPr>
            <a:t>through the end of 2019 Shell had drilled at least 20 wellbores (including sidetracks) on Stones</a:t>
          </a:r>
          <a:r>
            <a:rPr lang="en-US" sz="1100">
              <a:solidFill>
                <a:schemeClr val="dk1"/>
              </a:solidFill>
              <a:effectLst/>
              <a:latin typeface="+mn-lt"/>
              <a:ea typeface="+mn-ea"/>
              <a:cs typeface="+mn-cs"/>
            </a:rPr>
            <a:t>, but had only 7 completions or about 33% of the wells.  From the production data, only 2 of those completions appear to be any good or about 10% of the wells.  I added up the total drilling and completion days for a total of 2120 days or about 2120*1100000+(16*20000000+7*20000000) = $2,792,000,00 drilling and completion dollars for 2 decent completions.</a:t>
          </a:r>
          <a:endParaRPr lang="en-US" sz="1100"/>
        </a:p>
      </xdr:txBody>
    </xdr:sp>
    <xdr:clientData/>
  </xdr:twoCellAnchor>
  <xdr:twoCellAnchor>
    <xdr:from>
      <xdr:col>14</xdr:col>
      <xdr:colOff>560209</xdr:colOff>
      <xdr:row>19</xdr:row>
      <xdr:rowOff>181329</xdr:rowOff>
    </xdr:from>
    <xdr:to>
      <xdr:col>21</xdr:col>
      <xdr:colOff>282222</xdr:colOff>
      <xdr:row>29</xdr:row>
      <xdr:rowOff>176390</xdr:rowOff>
    </xdr:to>
    <xdr:sp macro="" textlink="">
      <xdr:nvSpPr>
        <xdr:cNvPr id="3" name="TextBox 2">
          <a:extLst>
            <a:ext uri="{FF2B5EF4-FFF2-40B4-BE49-F238E27FC236}">
              <a16:creationId xmlns:a16="http://schemas.microsoft.com/office/drawing/2014/main" id="{C95DC159-5495-4790-A9E2-A9A2344B9F62}"/>
            </a:ext>
          </a:extLst>
        </xdr:cNvPr>
        <xdr:cNvSpPr txBox="1"/>
      </xdr:nvSpPr>
      <xdr:spPr>
        <a:xfrm>
          <a:off x="9711265" y="3709107"/>
          <a:ext cx="3969457" cy="18436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OFFSHORE STAFF (20150123) - OneSubsea, through one of its predecessors, was awarded the subsea production systems contract in 2010. The scope included the delivery of </a:t>
          </a:r>
          <a:r>
            <a:rPr lang="en-US" sz="1200" b="1"/>
            <a:t>12</a:t>
          </a:r>
          <a:r>
            <a:rPr lang="en-US" sz="1100"/>
            <a:t> 15,000-psi subsea wellhead trees, production controls, 4 manifolds and associated connection systems, engineering and project management.</a:t>
          </a:r>
        </a:p>
        <a:p>
          <a:r>
            <a:rPr lang="en-US" sz="1100"/>
            <a:t>In 2011, through another of its predecessor companies was awarded the subsea processing systems contract for 3 pump stations, 3 subsea pump control modules and associated control and instrumentation equipment.</a:t>
          </a:r>
        </a:p>
      </xdr:txBody>
    </xdr:sp>
    <xdr:clientData/>
  </xdr:twoCellAnchor>
  <xdr:twoCellAnchor>
    <xdr:from>
      <xdr:col>8</xdr:col>
      <xdr:colOff>296332</xdr:colOff>
      <xdr:row>21</xdr:row>
      <xdr:rowOff>35279</xdr:rowOff>
    </xdr:from>
    <xdr:to>
      <xdr:col>13</xdr:col>
      <xdr:colOff>551743</xdr:colOff>
      <xdr:row>34</xdr:row>
      <xdr:rowOff>31752</xdr:rowOff>
    </xdr:to>
    <xdr:sp macro="" textlink="">
      <xdr:nvSpPr>
        <xdr:cNvPr id="4" name="TextBox 3">
          <a:extLst>
            <a:ext uri="{FF2B5EF4-FFF2-40B4-BE49-F238E27FC236}">
              <a16:creationId xmlns:a16="http://schemas.microsoft.com/office/drawing/2014/main" id="{6749151D-0AE1-485D-9076-55E082186A72}"/>
            </a:ext>
          </a:extLst>
        </xdr:cNvPr>
        <xdr:cNvSpPr txBox="1"/>
      </xdr:nvSpPr>
      <xdr:spPr>
        <a:xfrm>
          <a:off x="6194776" y="3944057"/>
          <a:ext cx="3289300" cy="2381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EIA – UPSTREAM COST STUDY</a:t>
          </a:r>
          <a:r>
            <a:rPr lang="en-US" sz="1100"/>
            <a:t>, IHS March</a:t>
          </a:r>
          <a:r>
            <a:rPr lang="en-US" sz="1100" baseline="0"/>
            <a:t> 2016</a:t>
          </a:r>
          <a:endParaRPr lang="en-US" sz="1100"/>
        </a:p>
        <a:p>
          <a:r>
            <a:rPr lang="en-US" sz="1100"/>
            <a:t>Figure 9-20 shows that of the total $12 billion estimated project cost, 60% will be spent on drilling and completion of subsea wells (each costing  about $240MM per well, which is a typical well cost for Lower Tertiary HPHT wells).  A cost of $1.5 billion is estimated for the semisubmersible platform.   </a:t>
          </a:r>
          <a:r>
            <a:rPr lang="en-US" sz="1100" b="1"/>
            <a:t>A $2.5 billion subsea system cost is comprised of 4 subsea clusters, 3 flowlines connecting clusters to risers, 2 flexible risers reaching the platform, 6 water injection subsea manifolds, and one subsea pump</a:t>
          </a:r>
          <a:r>
            <a:rPr lang="en-US" sz="1100"/>
            <a:t>. A </a:t>
          </a:r>
          <a:r>
            <a:rPr lang="en-US" sz="1100" b="1">
              <a:solidFill>
                <a:srgbClr val="FF0000"/>
              </a:solidFill>
            </a:rPr>
            <a:t>HPHT resistant subsea pump costs around $300MM</a:t>
          </a:r>
          <a:r>
            <a:rPr lang="en-US" sz="1100"/>
            <a:t>.</a:t>
          </a:r>
        </a:p>
      </xdr:txBody>
    </xdr:sp>
    <xdr:clientData/>
  </xdr:twoCellAnchor>
  <xdr:twoCellAnchor editAs="oneCell">
    <xdr:from>
      <xdr:col>2</xdr:col>
      <xdr:colOff>670754</xdr:colOff>
      <xdr:row>23</xdr:row>
      <xdr:rowOff>112889</xdr:rowOff>
    </xdr:from>
    <xdr:to>
      <xdr:col>7</xdr:col>
      <xdr:colOff>541593</xdr:colOff>
      <xdr:row>37</xdr:row>
      <xdr:rowOff>105834</xdr:rowOff>
    </xdr:to>
    <xdr:pic>
      <xdr:nvPicPr>
        <xdr:cNvPr id="8" name="Picture 7">
          <a:extLst>
            <a:ext uri="{FF2B5EF4-FFF2-40B4-BE49-F238E27FC236}">
              <a16:creationId xmlns:a16="http://schemas.microsoft.com/office/drawing/2014/main" id="{048A34A6-44CD-4C49-834E-4C3A3AC28E48}"/>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2714"/>
        <a:stretch/>
      </xdr:blipFill>
      <xdr:spPr bwMode="auto">
        <a:xfrm>
          <a:off x="2152421" y="4402667"/>
          <a:ext cx="3892505" cy="25611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F3888-222A-4489-A584-7FEAB8E47C1C}">
  <dimension ref="B1:U28"/>
  <sheetViews>
    <sheetView workbookViewId="0">
      <selection activeCell="H26" sqref="H26"/>
    </sheetView>
  </sheetViews>
  <sheetFormatPr defaultRowHeight="14.5" x14ac:dyDescent="0.35"/>
  <cols>
    <col min="1" max="1" width="5.7265625" customWidth="1"/>
    <col min="3" max="3" width="10.7265625" customWidth="1"/>
    <col min="4" max="4" width="14.7265625" customWidth="1"/>
    <col min="7" max="7" width="5.36328125" customWidth="1"/>
  </cols>
  <sheetData>
    <row r="1" spans="2:21" ht="18.5" x14ac:dyDescent="0.45">
      <c r="B1" s="3" t="s">
        <v>0</v>
      </c>
      <c r="E1" s="4" t="s">
        <v>8</v>
      </c>
      <c r="F1" s="5" t="s">
        <v>9</v>
      </c>
      <c r="H1" s="7" t="s">
        <v>11</v>
      </c>
      <c r="I1" t="s">
        <v>12</v>
      </c>
    </row>
    <row r="2" spans="2:21" ht="18.5" x14ac:dyDescent="0.35">
      <c r="B2" s="2" t="s">
        <v>2</v>
      </c>
    </row>
    <row r="3" spans="2:21" ht="18.5" x14ac:dyDescent="0.35">
      <c r="B3" s="2" t="s">
        <v>73</v>
      </c>
    </row>
    <row r="4" spans="2:21" ht="18.5" x14ac:dyDescent="0.35">
      <c r="B4" s="2" t="s">
        <v>3</v>
      </c>
    </row>
    <row r="5" spans="2:21" ht="18.5" x14ac:dyDescent="0.45">
      <c r="B5" s="1" t="s">
        <v>1</v>
      </c>
      <c r="T5" t="s">
        <v>47</v>
      </c>
    </row>
    <row r="6" spans="2:21" x14ac:dyDescent="0.35">
      <c r="B6" s="14"/>
      <c r="C6" s="14"/>
      <c r="D6" s="11">
        <v>45</v>
      </c>
      <c r="E6" t="s">
        <v>15</v>
      </c>
      <c r="T6" s="8">
        <v>56.99</v>
      </c>
      <c r="U6" s="59">
        <v>2019</v>
      </c>
    </row>
    <row r="7" spans="2:21" ht="15.5" x14ac:dyDescent="0.35">
      <c r="B7" s="63" t="s">
        <v>24</v>
      </c>
      <c r="C7" s="14"/>
      <c r="D7" s="8">
        <v>30</v>
      </c>
      <c r="E7" t="s">
        <v>13</v>
      </c>
      <c r="T7" s="8">
        <v>65.23</v>
      </c>
      <c r="U7" s="59">
        <v>2018</v>
      </c>
    </row>
    <row r="8" spans="2:21" x14ac:dyDescent="0.35">
      <c r="B8" s="14"/>
      <c r="C8" s="14"/>
      <c r="D8" s="8">
        <v>60</v>
      </c>
      <c r="E8" t="s">
        <v>14</v>
      </c>
      <c r="T8" s="8">
        <v>50.8</v>
      </c>
      <c r="U8" s="59">
        <v>2017</v>
      </c>
    </row>
    <row r="9" spans="2:21" x14ac:dyDescent="0.35">
      <c r="B9" s="14"/>
      <c r="C9" s="14"/>
      <c r="T9" s="8">
        <v>43.29</v>
      </c>
      <c r="U9" s="59">
        <v>2016</v>
      </c>
    </row>
    <row r="10" spans="2:21" x14ac:dyDescent="0.35">
      <c r="B10" s="14"/>
      <c r="C10" s="14"/>
      <c r="D10" s="11">
        <v>15</v>
      </c>
      <c r="E10" t="s">
        <v>21</v>
      </c>
      <c r="T10" s="8">
        <v>48.66</v>
      </c>
      <c r="U10" s="59">
        <v>2015</v>
      </c>
    </row>
    <row r="11" spans="2:21" ht="18.5" x14ac:dyDescent="0.45">
      <c r="B11" s="14"/>
      <c r="C11" s="14"/>
      <c r="D11" s="11">
        <v>6</v>
      </c>
      <c r="E11" t="s">
        <v>22</v>
      </c>
      <c r="T11" s="53">
        <f>AVERAGE(T6:T10)</f>
        <v>52.993999999999993</v>
      </c>
    </row>
    <row r="12" spans="2:21" x14ac:dyDescent="0.35">
      <c r="B12" s="14"/>
      <c r="C12" s="14"/>
    </row>
    <row r="13" spans="2:21" x14ac:dyDescent="0.35">
      <c r="B13" s="14"/>
      <c r="C13" s="14"/>
      <c r="D13" s="10">
        <v>50000000</v>
      </c>
      <c r="E13" t="s">
        <v>46</v>
      </c>
    </row>
    <row r="15" spans="2:21" ht="15.5" x14ac:dyDescent="0.35">
      <c r="B15" s="60" t="s">
        <v>25</v>
      </c>
      <c r="C15" s="24"/>
      <c r="D15" s="13">
        <v>1000</v>
      </c>
      <c r="E15" t="s">
        <v>28</v>
      </c>
    </row>
    <row r="16" spans="2:21" x14ac:dyDescent="0.35">
      <c r="B16" s="24"/>
      <c r="C16" s="25"/>
      <c r="D16" s="13">
        <v>500</v>
      </c>
      <c r="E16" t="s">
        <v>44</v>
      </c>
    </row>
    <row r="17" spans="2:9" x14ac:dyDescent="0.35">
      <c r="B17" s="24"/>
      <c r="C17" s="24"/>
      <c r="D17" s="13">
        <v>1500</v>
      </c>
      <c r="E17" t="s">
        <v>27</v>
      </c>
    </row>
    <row r="18" spans="2:9" x14ac:dyDescent="0.35">
      <c r="B18" s="24"/>
      <c r="C18" s="24"/>
      <c r="D18" s="12">
        <v>0.1</v>
      </c>
      <c r="E18" t="s">
        <v>23</v>
      </c>
    </row>
    <row r="19" spans="2:9" x14ac:dyDescent="0.35">
      <c r="B19" s="24"/>
      <c r="C19" s="24"/>
      <c r="D19" s="9">
        <v>0</v>
      </c>
      <c r="E19" t="s">
        <v>16</v>
      </c>
    </row>
    <row r="20" spans="2:9" x14ac:dyDescent="0.35">
      <c r="B20" s="24"/>
      <c r="C20" s="24"/>
      <c r="D20" s="9">
        <v>0.3</v>
      </c>
      <c r="E20" t="s">
        <v>17</v>
      </c>
    </row>
    <row r="21" spans="2:9" ht="15" thickBot="1" x14ac:dyDescent="0.4"/>
    <row r="22" spans="2:9" x14ac:dyDescent="0.35">
      <c r="B22" s="29"/>
      <c r="C22" s="30"/>
      <c r="D22" s="41">
        <v>20</v>
      </c>
      <c r="E22" s="30" t="s">
        <v>20</v>
      </c>
      <c r="F22" s="30"/>
      <c r="G22" s="30"/>
      <c r="H22" s="30"/>
      <c r="I22" s="32"/>
    </row>
    <row r="23" spans="2:9" ht="15.5" x14ac:dyDescent="0.35">
      <c r="B23" s="61" t="s">
        <v>74</v>
      </c>
      <c r="C23" s="34"/>
      <c r="D23" s="8">
        <v>15</v>
      </c>
      <c r="E23" s="34" t="s">
        <v>18</v>
      </c>
      <c r="F23" s="34"/>
      <c r="G23" s="34"/>
      <c r="H23" s="34"/>
      <c r="I23" s="35"/>
    </row>
    <row r="24" spans="2:9" ht="15" thickBot="1" x14ac:dyDescent="0.4">
      <c r="B24" s="38"/>
      <c r="C24" s="39"/>
      <c r="D24" s="42">
        <v>25</v>
      </c>
      <c r="E24" s="39" t="s">
        <v>19</v>
      </c>
      <c r="F24" s="39"/>
      <c r="G24" s="39"/>
      <c r="H24" s="39"/>
      <c r="I24" s="40"/>
    </row>
    <row r="26" spans="2:9" x14ac:dyDescent="0.35">
      <c r="B26" s="15"/>
      <c r="C26" s="15"/>
      <c r="D26" s="13">
        <v>1000</v>
      </c>
      <c r="E26" t="s">
        <v>28</v>
      </c>
      <c r="F26" s="15"/>
      <c r="G26" s="15"/>
      <c r="H26" s="12">
        <v>0.33</v>
      </c>
      <c r="I26" t="s">
        <v>29</v>
      </c>
    </row>
    <row r="27" spans="2:9" ht="18.5" x14ac:dyDescent="0.45">
      <c r="B27" s="62" t="s">
        <v>7</v>
      </c>
      <c r="C27" s="15"/>
      <c r="D27" s="13">
        <v>750</v>
      </c>
      <c r="E27" t="s">
        <v>26</v>
      </c>
      <c r="F27" s="15"/>
      <c r="G27" s="15"/>
      <c r="H27" s="23">
        <f>Increase/3</f>
        <v>0.11</v>
      </c>
      <c r="I27" t="s">
        <v>41</v>
      </c>
    </row>
    <row r="28" spans="2:9" x14ac:dyDescent="0.35">
      <c r="B28" s="15"/>
      <c r="C28" s="15"/>
      <c r="D28" s="13">
        <v>1500</v>
      </c>
      <c r="E28" t="s">
        <v>27</v>
      </c>
      <c r="F28" s="15"/>
      <c r="G28" s="15"/>
      <c r="H28" s="23">
        <f>Increase*2</f>
        <v>0.66</v>
      </c>
      <c r="I28" t="s">
        <v>42</v>
      </c>
    </row>
  </sheetData>
  <pageMargins left="0.7" right="0.7" top="0.75" bottom="0.75" header="0.3" footer="0.3"/>
  <pageSetup orientation="portrait" horizontalDpi="4294967293"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26B82-DDD2-4D76-A9BA-732AF6E28D05}">
  <dimension ref="B1:K34"/>
  <sheetViews>
    <sheetView zoomScale="90" zoomScaleNormal="90" workbookViewId="0">
      <selection activeCell="K10" sqref="K10"/>
    </sheetView>
  </sheetViews>
  <sheetFormatPr defaultRowHeight="14.5" x14ac:dyDescent="0.35"/>
  <cols>
    <col min="1" max="1" width="5.81640625" customWidth="1"/>
    <col min="2" max="2" width="20.08984375" bestFit="1" customWidth="1"/>
    <col min="3" max="3" width="11.08984375" customWidth="1"/>
    <col min="4" max="4" width="9.7265625" bestFit="1" customWidth="1"/>
    <col min="5" max="5" width="15" customWidth="1"/>
    <col min="6" max="6" width="8.36328125" bestFit="1" customWidth="1"/>
    <col min="7" max="7" width="15.1796875" customWidth="1"/>
    <col min="8" max="8" width="5.453125" bestFit="1" customWidth="1"/>
    <col min="9" max="9" width="15.81640625" bestFit="1" customWidth="1"/>
    <col min="10" max="10" width="6.6328125" customWidth="1"/>
    <col min="11" max="11" width="15.81640625" bestFit="1" customWidth="1"/>
  </cols>
  <sheetData>
    <row r="1" spans="2:10" ht="15.5" x14ac:dyDescent="0.35">
      <c r="B1" s="3" t="s">
        <v>0</v>
      </c>
      <c r="G1" s="16" t="s">
        <v>39</v>
      </c>
      <c r="I1" s="44" t="s">
        <v>38</v>
      </c>
    </row>
    <row r="2" spans="2:10" ht="18.5" x14ac:dyDescent="0.45">
      <c r="C2" s="4" t="s">
        <v>8</v>
      </c>
      <c r="D2" s="5" t="s">
        <v>9</v>
      </c>
    </row>
    <row r="3" spans="2:10" ht="15.5" x14ac:dyDescent="0.35">
      <c r="C3" t="s">
        <v>45</v>
      </c>
      <c r="E3" t="s">
        <v>30</v>
      </c>
      <c r="G3" s="6" t="s">
        <v>34</v>
      </c>
      <c r="I3" s="46" t="s">
        <v>35</v>
      </c>
    </row>
    <row r="4" spans="2:10" x14ac:dyDescent="0.35">
      <c r="B4" s="14"/>
      <c r="E4" s="17">
        <f>Reserves*(highPRICE-OPEXwet)</f>
        <v>2250000000</v>
      </c>
      <c r="F4" t="s">
        <v>32</v>
      </c>
      <c r="G4" s="20">
        <v>0.3</v>
      </c>
      <c r="J4" s="14"/>
    </row>
    <row r="5" spans="2:10" ht="18.5" x14ac:dyDescent="0.45">
      <c r="B5" s="28" t="s">
        <v>4</v>
      </c>
      <c r="C5" s="21">
        <f>Reserves</f>
        <v>50000000</v>
      </c>
      <c r="D5" t="s">
        <v>10</v>
      </c>
      <c r="E5" s="17">
        <f>Reserves*(PRICE-OPEXwet)</f>
        <v>1500000000</v>
      </c>
      <c r="F5" t="s">
        <v>31</v>
      </c>
      <c r="G5" s="20">
        <v>0.4</v>
      </c>
      <c r="I5" s="45">
        <f>E4*G4+E5*G5+E6*G6</f>
        <v>1500000000</v>
      </c>
      <c r="J5" s="14"/>
    </row>
    <row r="6" spans="2:10" x14ac:dyDescent="0.35">
      <c r="B6" s="14"/>
      <c r="C6" s="14"/>
      <c r="D6" s="14"/>
      <c r="E6" s="17">
        <f>Reserves*(lowPRICE-OPEXwet)</f>
        <v>750000000</v>
      </c>
      <c r="F6" t="s">
        <v>33</v>
      </c>
      <c r="G6" s="20">
        <v>0.3</v>
      </c>
      <c r="H6" s="14"/>
      <c r="I6" s="14"/>
      <c r="J6" s="14"/>
    </row>
    <row r="8" spans="2:10" x14ac:dyDescent="0.35">
      <c r="B8" s="24"/>
      <c r="E8" t="s">
        <v>30</v>
      </c>
      <c r="H8" s="24"/>
      <c r="I8" s="24"/>
      <c r="J8" s="24"/>
    </row>
    <row r="9" spans="2:10" ht="18.5" x14ac:dyDescent="0.35">
      <c r="B9" s="26" t="s">
        <v>5</v>
      </c>
      <c r="C9" s="19">
        <f>Reserves*(1+ENHANCEhigh)</f>
        <v>65000000</v>
      </c>
      <c r="D9" t="s">
        <v>10</v>
      </c>
      <c r="E9" s="17">
        <f>C9*(highPRICE-OPEXwet)-wetCAPEXhigh*1000000</f>
        <v>1425000000</v>
      </c>
      <c r="F9" t="s">
        <v>32</v>
      </c>
      <c r="G9" s="20">
        <v>0.3</v>
      </c>
      <c r="J9" s="24"/>
    </row>
    <row r="10" spans="2:10" ht="15.5" x14ac:dyDescent="0.35">
      <c r="B10" s="24"/>
      <c r="C10" s="19">
        <f>Reserves*(1+ENHANCE)</f>
        <v>55000000.000000007</v>
      </c>
      <c r="D10" t="s">
        <v>10</v>
      </c>
      <c r="E10" s="17">
        <f>C10*(PRICE-OPEXwet)-wetCAPEX*1000000</f>
        <v>650000000.00000024</v>
      </c>
      <c r="F10" t="s">
        <v>31</v>
      </c>
      <c r="G10" s="20">
        <v>0.4</v>
      </c>
      <c r="I10" s="45">
        <f>G9*E9+G10*E10+G11*E11</f>
        <v>762500000.00000012</v>
      </c>
      <c r="J10" s="24"/>
    </row>
    <row r="11" spans="2:10" x14ac:dyDescent="0.35">
      <c r="B11" s="24"/>
      <c r="C11" s="19">
        <f>Reserves*(1+ENHANCElow)</f>
        <v>50000000</v>
      </c>
      <c r="D11" t="s">
        <v>10</v>
      </c>
      <c r="E11" s="17">
        <f>C11*(lowPRICE-OPEXwet)-wetCAPEXlow*1000000</f>
        <v>250000000</v>
      </c>
      <c r="F11" t="s">
        <v>33</v>
      </c>
      <c r="G11" s="20">
        <v>0.3</v>
      </c>
      <c r="J11" s="24"/>
    </row>
    <row r="12" spans="2:10" x14ac:dyDescent="0.35">
      <c r="B12" s="24"/>
      <c r="C12" s="24"/>
      <c r="D12" s="24"/>
      <c r="E12" s="24" t="s">
        <v>43</v>
      </c>
      <c r="F12" s="24"/>
      <c r="G12" s="24"/>
      <c r="H12" s="24"/>
      <c r="I12" s="24"/>
      <c r="J12" s="24"/>
    </row>
    <row r="13" spans="2:10" x14ac:dyDescent="0.35">
      <c r="B13" s="24"/>
      <c r="C13" s="24"/>
      <c r="D13" s="24" t="s">
        <v>40</v>
      </c>
      <c r="E13" s="24"/>
      <c r="F13" s="24"/>
      <c r="G13" s="24"/>
      <c r="H13" s="24"/>
      <c r="I13" s="24"/>
      <c r="J13" s="24"/>
    </row>
    <row r="14" spans="2:10" ht="15" thickBot="1" x14ac:dyDescent="0.4"/>
    <row r="15" spans="2:10" x14ac:dyDescent="0.35">
      <c r="B15" s="29"/>
      <c r="C15" s="30"/>
      <c r="D15" s="30"/>
      <c r="E15" s="30" t="s">
        <v>30</v>
      </c>
      <c r="F15" s="30"/>
      <c r="G15" s="31"/>
      <c r="H15" s="30"/>
      <c r="I15" s="30"/>
      <c r="J15" s="32"/>
    </row>
    <row r="16" spans="2:10" x14ac:dyDescent="0.35">
      <c r="B16" s="33"/>
      <c r="C16" s="34"/>
      <c r="D16" s="34"/>
      <c r="E16" s="17">
        <f>Reserves*SELLhigh</f>
        <v>1250000000</v>
      </c>
      <c r="F16" s="34" t="s">
        <v>32</v>
      </c>
      <c r="G16" s="20">
        <v>0.3</v>
      </c>
      <c r="H16" s="34"/>
      <c r="I16" s="34"/>
      <c r="J16" s="35"/>
    </row>
    <row r="17" spans="2:11" ht="18.5" x14ac:dyDescent="0.35">
      <c r="B17" s="36" t="s">
        <v>6</v>
      </c>
      <c r="C17" s="37">
        <f>Reserves</f>
        <v>50000000</v>
      </c>
      <c r="D17" s="34" t="s">
        <v>10</v>
      </c>
      <c r="E17" s="17">
        <f>Reserves*SELL</f>
        <v>1000000000</v>
      </c>
      <c r="F17" s="34" t="s">
        <v>31</v>
      </c>
      <c r="G17" s="20">
        <v>0.4</v>
      </c>
      <c r="H17" s="34"/>
      <c r="I17" s="45">
        <f>G16*E16+G17*E17+G18*E18</f>
        <v>1000000000</v>
      </c>
      <c r="J17" s="35"/>
    </row>
    <row r="18" spans="2:11" x14ac:dyDescent="0.35">
      <c r="B18" s="33"/>
      <c r="C18" s="34"/>
      <c r="D18" s="34"/>
      <c r="E18" s="17">
        <f>Reserves*SELLlow</f>
        <v>750000000</v>
      </c>
      <c r="F18" s="34" t="s">
        <v>33</v>
      </c>
      <c r="G18" s="20">
        <v>0.3</v>
      </c>
      <c r="H18" s="34"/>
      <c r="I18" s="34"/>
      <c r="J18" s="35"/>
    </row>
    <row r="19" spans="2:11" ht="15" thickBot="1" x14ac:dyDescent="0.4">
      <c r="B19" s="38"/>
      <c r="C19" s="39"/>
      <c r="D19" s="39"/>
      <c r="E19" s="39"/>
      <c r="F19" s="39"/>
      <c r="G19" s="39"/>
      <c r="H19" s="39"/>
      <c r="I19" s="39"/>
      <c r="J19" s="40"/>
    </row>
    <row r="20" spans="2:11" x14ac:dyDescent="0.35">
      <c r="E20" t="s">
        <v>30</v>
      </c>
      <c r="G20" s="6" t="s">
        <v>36</v>
      </c>
      <c r="H20" s="6"/>
    </row>
    <row r="21" spans="2:11" ht="18.5" x14ac:dyDescent="0.45">
      <c r="B21" s="27" t="s">
        <v>7</v>
      </c>
      <c r="E21" s="17">
        <f>C22*(highPRICE-OPEXdry)</f>
        <v>4482000000</v>
      </c>
      <c r="F21" s="20">
        <v>0.3</v>
      </c>
      <c r="G21" s="43">
        <f>dryCAPEXhigh*1000000</f>
        <v>1500000000</v>
      </c>
      <c r="H21" s="20">
        <v>0.3</v>
      </c>
    </row>
    <row r="22" spans="2:11" x14ac:dyDescent="0.35">
      <c r="B22" s="15"/>
      <c r="C22" s="19">
        <f>Reserves*(1+IncreaseHIGH)</f>
        <v>83000000</v>
      </c>
      <c r="D22" t="s">
        <v>10</v>
      </c>
      <c r="E22" s="17">
        <f>C22*(PRICE-OPEXdry)</f>
        <v>3237000000</v>
      </c>
      <c r="F22" s="20">
        <v>0.4</v>
      </c>
      <c r="G22" s="43">
        <f>dryCAPEX*1000000</f>
        <v>1000000000</v>
      </c>
      <c r="H22" s="20">
        <v>0.4</v>
      </c>
      <c r="I22" s="18">
        <f>(E24-G21)*H21+(E24-G22)*H22+(E24-G23)*H23</f>
        <v>2162000000</v>
      </c>
      <c r="J22" s="20">
        <v>0.3</v>
      </c>
    </row>
    <row r="23" spans="2:11" x14ac:dyDescent="0.35">
      <c r="B23" s="15"/>
      <c r="E23" s="17">
        <f>C22*(lowPRICE-OPEXdry)</f>
        <v>1992000000</v>
      </c>
      <c r="F23" s="20">
        <v>0.3</v>
      </c>
      <c r="G23" s="43">
        <f>dryCAPEXlow*1000000</f>
        <v>750000000</v>
      </c>
      <c r="H23" s="20">
        <v>0.3</v>
      </c>
    </row>
    <row r="24" spans="2:11" x14ac:dyDescent="0.35">
      <c r="B24" s="15"/>
      <c r="E24" s="18">
        <f>E21*F21+E22*F22+E23*F23</f>
        <v>3237000000</v>
      </c>
      <c r="F24" t="s">
        <v>37</v>
      </c>
      <c r="G24" s="22">
        <f>-(G21*H21+G22*H22+G23*H23)</f>
        <v>-1075000000</v>
      </c>
      <c r="H24" t="s">
        <v>37</v>
      </c>
    </row>
    <row r="25" spans="2:11" ht="15.5" x14ac:dyDescent="0.35">
      <c r="B25" s="15"/>
      <c r="K25" s="46" t="s">
        <v>35</v>
      </c>
    </row>
    <row r="26" spans="2:11" x14ac:dyDescent="0.35">
      <c r="B26" s="15"/>
      <c r="E26" s="17">
        <f>C27*(highPRICE-OPEXdry)</f>
        <v>3591000000</v>
      </c>
      <c r="F26" s="20">
        <v>0.3</v>
      </c>
      <c r="G26" s="43">
        <f>dryCAPEXhigh*1000000</f>
        <v>1500000000</v>
      </c>
      <c r="H26" s="20">
        <v>0.3</v>
      </c>
    </row>
    <row r="27" spans="2:11" ht="15.5" x14ac:dyDescent="0.35">
      <c r="B27" s="15"/>
      <c r="C27" s="19">
        <f>Reserves*(1+Increase)</f>
        <v>66500000</v>
      </c>
      <c r="D27" t="s">
        <v>10</v>
      </c>
      <c r="E27" s="17">
        <f>C27*(PRICE-OPEXdry)</f>
        <v>2593500000</v>
      </c>
      <c r="F27" s="20">
        <v>0.4</v>
      </c>
      <c r="G27" s="43">
        <f>dryCAPEX*1000000</f>
        <v>1000000000</v>
      </c>
      <c r="H27" s="20">
        <v>0.4</v>
      </c>
      <c r="I27" s="18">
        <f>(E29-G26)*H26+(E29-G27)*H27+(E29-G28)*H28</f>
        <v>1518500000</v>
      </c>
      <c r="J27" s="20">
        <v>0.4</v>
      </c>
      <c r="K27" s="45">
        <f>I22*J22+I27*J27+I32*J32</f>
        <v>1582850000</v>
      </c>
    </row>
    <row r="28" spans="2:11" x14ac:dyDescent="0.35">
      <c r="B28" s="15"/>
      <c r="E28" s="17">
        <f>C27*(lowPRICE-OPEXdry)</f>
        <v>1596000000</v>
      </c>
      <c r="F28" s="20">
        <v>0.3</v>
      </c>
      <c r="G28" s="43">
        <f>dryCAPEXlow*1000000</f>
        <v>750000000</v>
      </c>
      <c r="H28" s="20">
        <v>0.3</v>
      </c>
    </row>
    <row r="29" spans="2:11" x14ac:dyDescent="0.35">
      <c r="B29" s="15"/>
      <c r="E29" s="18">
        <f>E26*F26+E27*F27+E28*F28</f>
        <v>2593500000</v>
      </c>
      <c r="F29" t="s">
        <v>37</v>
      </c>
      <c r="G29" s="22">
        <f>-(G26*H26+G27*H27+G28*H28)</f>
        <v>-1075000000</v>
      </c>
      <c r="H29" t="s">
        <v>37</v>
      </c>
    </row>
    <row r="30" spans="2:11" x14ac:dyDescent="0.35">
      <c r="B30" s="15"/>
    </row>
    <row r="31" spans="2:11" x14ac:dyDescent="0.35">
      <c r="B31" s="15"/>
      <c r="E31" s="17">
        <f>C32*(highPRICE-OPEXdry)</f>
        <v>2997000000.0000005</v>
      </c>
      <c r="F31" s="20">
        <v>0.3</v>
      </c>
      <c r="G31" s="43">
        <f>dryCAPEXhigh*1000000</f>
        <v>1500000000</v>
      </c>
      <c r="H31" s="20">
        <v>0.3</v>
      </c>
    </row>
    <row r="32" spans="2:11" x14ac:dyDescent="0.35">
      <c r="B32" s="15"/>
      <c r="C32" s="19">
        <f>Reserves*(1+IncreaseLOW)</f>
        <v>55500000.000000007</v>
      </c>
      <c r="D32" t="s">
        <v>10</v>
      </c>
      <c r="E32" s="17">
        <f>C32*(PRICE-OPEXdry)</f>
        <v>2164500000.0000005</v>
      </c>
      <c r="F32" s="20">
        <v>0.4</v>
      </c>
      <c r="G32" s="43">
        <f>dryCAPEX*1000000</f>
        <v>1000000000</v>
      </c>
      <c r="H32" s="20">
        <v>0.4</v>
      </c>
      <c r="I32" s="18">
        <f>(E34-G31)*H31+(E34-G32)*H32+(E34-G33)*H33</f>
        <v>1089500000.0000005</v>
      </c>
      <c r="J32" s="20">
        <v>0.3</v>
      </c>
    </row>
    <row r="33" spans="2:8" x14ac:dyDescent="0.35">
      <c r="B33" s="15"/>
      <c r="E33" s="17">
        <f>C32*(lowPRICE-OPEXdry)</f>
        <v>1332000000.0000002</v>
      </c>
      <c r="F33" s="20">
        <v>0.3</v>
      </c>
      <c r="G33" s="43">
        <f>dryCAPEXlow*1000000</f>
        <v>750000000</v>
      </c>
      <c r="H33" s="20">
        <v>0.3</v>
      </c>
    </row>
    <row r="34" spans="2:8" x14ac:dyDescent="0.35">
      <c r="B34" s="15"/>
      <c r="E34" s="18">
        <f>E31*F31+E32*F32+E33*F33</f>
        <v>2164500000.0000005</v>
      </c>
      <c r="F34" t="s">
        <v>37</v>
      </c>
      <c r="G34" s="22">
        <f>-(G31*H31+G32*H32+G33*H33)</f>
        <v>-1075000000</v>
      </c>
      <c r="H34" t="s">
        <v>37</v>
      </c>
    </row>
  </sheetData>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8A742-9E73-4F61-AE26-D2A5F00A23B8}">
  <dimension ref="A1:H23"/>
  <sheetViews>
    <sheetView tabSelected="1" zoomScale="90" zoomScaleNormal="90" workbookViewId="0">
      <selection activeCell="E23" sqref="E23"/>
    </sheetView>
  </sheetViews>
  <sheetFormatPr defaultRowHeight="14.5" x14ac:dyDescent="0.35"/>
  <cols>
    <col min="2" max="2" width="12.54296875" customWidth="1"/>
    <col min="3" max="3" width="10.6328125" bestFit="1" customWidth="1"/>
    <col min="4" max="4" width="6.7265625" customWidth="1"/>
    <col min="6" max="7" width="15.7265625" bestFit="1" customWidth="1"/>
  </cols>
  <sheetData>
    <row r="1" spans="1:8" x14ac:dyDescent="0.35">
      <c r="A1" t="s">
        <v>48</v>
      </c>
    </row>
    <row r="2" spans="1:8" x14ac:dyDescent="0.35">
      <c r="A2" s="47" t="s">
        <v>11</v>
      </c>
    </row>
    <row r="3" spans="1:8" x14ac:dyDescent="0.35">
      <c r="B3" s="4" t="s">
        <v>49</v>
      </c>
      <c r="C3" s="48">
        <v>800000</v>
      </c>
      <c r="E3" s="4" t="s">
        <v>54</v>
      </c>
      <c r="F3" s="48">
        <v>200000000</v>
      </c>
      <c r="G3" t="s">
        <v>65</v>
      </c>
    </row>
    <row r="4" spans="1:8" x14ac:dyDescent="0.35">
      <c r="B4" s="54" t="s">
        <v>66</v>
      </c>
      <c r="C4" s="48">
        <v>1500000</v>
      </c>
      <c r="E4" s="54" t="s">
        <v>54</v>
      </c>
      <c r="F4" s="48">
        <v>260000000</v>
      </c>
      <c r="G4" s="55" t="s">
        <v>67</v>
      </c>
    </row>
    <row r="5" spans="1:8" x14ac:dyDescent="0.35">
      <c r="B5" s="4" t="s">
        <v>50</v>
      </c>
      <c r="C5" s="48">
        <v>400000</v>
      </c>
      <c r="E5" s="4" t="s">
        <v>55</v>
      </c>
      <c r="F5" s="48">
        <v>15000000</v>
      </c>
      <c r="G5" t="s">
        <v>65</v>
      </c>
    </row>
    <row r="7" spans="1:8" ht="15.5" x14ac:dyDescent="0.35">
      <c r="B7" s="3" t="s">
        <v>51</v>
      </c>
    </row>
    <row r="8" spans="1:8" x14ac:dyDescent="0.35">
      <c r="B8" s="4" t="s">
        <v>52</v>
      </c>
      <c r="C8" s="47">
        <v>170</v>
      </c>
    </row>
    <row r="9" spans="1:8" x14ac:dyDescent="0.35">
      <c r="B9" s="4" t="s">
        <v>53</v>
      </c>
      <c r="C9" s="47">
        <v>100</v>
      </c>
    </row>
    <row r="10" spans="1:8" x14ac:dyDescent="0.35">
      <c r="B10" s="58" t="s">
        <v>72</v>
      </c>
      <c r="C10" s="6">
        <f>SUM(C8:C9)</f>
        <v>270</v>
      </c>
      <c r="E10" s="4" t="s">
        <v>56</v>
      </c>
      <c r="F10" s="49">
        <f>(C8+C9)*MODUrate</f>
        <v>216000000</v>
      </c>
      <c r="G10" s="49">
        <f>(C8+C9)*hpMODUrate</f>
        <v>405000000</v>
      </c>
    </row>
    <row r="11" spans="1:8" x14ac:dyDescent="0.35">
      <c r="E11" s="51" t="s">
        <v>51</v>
      </c>
      <c r="F11" s="50">
        <f>F10+F3</f>
        <v>416000000</v>
      </c>
      <c r="G11" s="50">
        <f>F4+G10</f>
        <v>665000000</v>
      </c>
      <c r="H11" t="s">
        <v>65</v>
      </c>
    </row>
    <row r="12" spans="1:8" x14ac:dyDescent="0.35">
      <c r="G12" s="56" t="s">
        <v>67</v>
      </c>
    </row>
    <row r="13" spans="1:8" ht="15.5" x14ac:dyDescent="0.35">
      <c r="B13" s="3" t="s">
        <v>57</v>
      </c>
    </row>
    <row r="14" spans="1:8" x14ac:dyDescent="0.35">
      <c r="B14" s="4" t="s">
        <v>58</v>
      </c>
      <c r="C14" s="47">
        <v>90</v>
      </c>
      <c r="D14" t="s">
        <v>68</v>
      </c>
    </row>
    <row r="15" spans="1:8" x14ac:dyDescent="0.35">
      <c r="B15" s="4" t="s">
        <v>59</v>
      </c>
      <c r="C15" s="47">
        <v>80</v>
      </c>
      <c r="D15" t="s">
        <v>69</v>
      </c>
    </row>
    <row r="16" spans="1:8" x14ac:dyDescent="0.35">
      <c r="B16" s="4" t="s">
        <v>53</v>
      </c>
      <c r="C16" s="47">
        <v>100</v>
      </c>
      <c r="D16" t="s">
        <v>70</v>
      </c>
    </row>
    <row r="17" spans="2:7" x14ac:dyDescent="0.35">
      <c r="B17" s="58" t="s">
        <v>72</v>
      </c>
      <c r="C17" s="6">
        <f>SUM(C14:C16)</f>
        <v>270</v>
      </c>
      <c r="E17" s="4" t="s">
        <v>56</v>
      </c>
      <c r="F17" s="49">
        <f>C14*MODUrate+(C15+C16)*FrPSrate</f>
        <v>144000000</v>
      </c>
    </row>
    <row r="18" spans="2:7" x14ac:dyDescent="0.35">
      <c r="E18" s="4" t="s">
        <v>71</v>
      </c>
      <c r="F18" s="48">
        <v>20000000</v>
      </c>
      <c r="G18" t="s">
        <v>65</v>
      </c>
    </row>
    <row r="19" spans="2:7" ht="15.5" x14ac:dyDescent="0.35">
      <c r="E19" s="52" t="s">
        <v>57</v>
      </c>
      <c r="F19" s="50">
        <f>F5+F17+F18</f>
        <v>179000000</v>
      </c>
      <c r="G19" t="s">
        <v>65</v>
      </c>
    </row>
    <row r="21" spans="2:7" ht="15.5" x14ac:dyDescent="0.35">
      <c r="B21" s="3" t="s">
        <v>60</v>
      </c>
      <c r="E21" s="4" t="s">
        <v>62</v>
      </c>
      <c r="F21" s="49">
        <f>D22*F11</f>
        <v>4160000000</v>
      </c>
      <c r="G21" s="49">
        <f>D22*G11</f>
        <v>6650000000</v>
      </c>
    </row>
    <row r="22" spans="2:7" ht="15.5" x14ac:dyDescent="0.35">
      <c r="C22" s="4" t="s">
        <v>61</v>
      </c>
      <c r="D22" s="57">
        <v>10</v>
      </c>
      <c r="E22" s="4" t="s">
        <v>63</v>
      </c>
      <c r="F22" s="49">
        <f>D22*F19</f>
        <v>1790000000</v>
      </c>
    </row>
    <row r="23" spans="2:7" ht="15.5" x14ac:dyDescent="0.35">
      <c r="E23" s="64" t="s">
        <v>64</v>
      </c>
      <c r="F23" s="65">
        <f>F21-F22</f>
        <v>2370000000</v>
      </c>
      <c r="G23" s="65">
        <f>G21-F22</f>
        <v>4860000000</v>
      </c>
    </row>
  </sheetData>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vt:i4>
      </vt:variant>
    </vt:vector>
  </HeadingPairs>
  <TitlesOfParts>
    <vt:vector size="27" baseType="lpstr">
      <vt:lpstr>INPUT</vt:lpstr>
      <vt:lpstr>Model</vt:lpstr>
      <vt:lpstr>D&amp;C costs-data</vt:lpstr>
      <vt:lpstr>dryCAPEX</vt:lpstr>
      <vt:lpstr>dryCAPEXhigh</vt:lpstr>
      <vt:lpstr>dryCAPEXlow</vt:lpstr>
      <vt:lpstr>ENHANCE</vt:lpstr>
      <vt:lpstr>ENHANCEhigh</vt:lpstr>
      <vt:lpstr>ENHANCElow</vt:lpstr>
      <vt:lpstr>FrPSrate</vt:lpstr>
      <vt:lpstr>highPRICE</vt:lpstr>
      <vt:lpstr>hpMODUrate</vt:lpstr>
      <vt:lpstr>Increase</vt:lpstr>
      <vt:lpstr>IncreaseHIGH</vt:lpstr>
      <vt:lpstr>IncreaseLOW</vt:lpstr>
      <vt:lpstr>lowPRICE</vt:lpstr>
      <vt:lpstr>MODUrate</vt:lpstr>
      <vt:lpstr>OPEXdry</vt:lpstr>
      <vt:lpstr>OPEXwet</vt:lpstr>
      <vt:lpstr>PRICE</vt:lpstr>
      <vt:lpstr>Reserves</vt:lpstr>
      <vt:lpstr>SELL</vt:lpstr>
      <vt:lpstr>SELLhigh</vt:lpstr>
      <vt:lpstr>SELLlow</vt:lpstr>
      <vt:lpstr>wetCAPEX</vt:lpstr>
      <vt:lpstr>wetCAPEXhigh</vt:lpstr>
      <vt:lpstr>wetCAPEXlow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White</dc:creator>
  <cp:lastModifiedBy>Charles White</cp:lastModifiedBy>
  <dcterms:created xsi:type="dcterms:W3CDTF">2020-08-22T22:18:54Z</dcterms:created>
  <dcterms:modified xsi:type="dcterms:W3CDTF">2020-09-01T21:18:13Z</dcterms:modified>
</cp:coreProperties>
</file>