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D:\01.Project\03TTDWebsite\01Source Code\"/>
    </mc:Choice>
  </mc:AlternateContent>
  <xr:revisionPtr revIDLastSave="0" documentId="13_ncr:1_{BCFE091B-478B-4A34-B001-025B91651FA2}" xr6:coauthVersionLast="47" xr6:coauthVersionMax="47" xr10:uidLastSave="{00000000-0000-0000-0000-000000000000}"/>
  <bookViews>
    <workbookView xWindow="-120" yWindow="-120" windowWidth="29040" windowHeight="15840" firstSheet="24" activeTab="24" xr2:uid="{00000000-000D-0000-FFFF-FFFF00000000}"/>
  </bookViews>
  <sheets>
    <sheet name="4月20日～5月19" sheetId="2" state="hidden" r:id="rId1"/>
    <sheet name="6月20日～7月19" sheetId="3" state="hidden" r:id="rId2"/>
    <sheet name="7月20日～8月19" sheetId="4" state="hidden" r:id="rId3"/>
    <sheet name="9月20日～10月19" sheetId="5" state="hidden" r:id="rId4"/>
    <sheet name="11月20日～12月19" sheetId="6" state="hidden" r:id="rId5"/>
    <sheet name="12月20日～01月19 (2)" sheetId="7" state="hidden" r:id="rId6"/>
    <sheet name="21.02.20-21.03.19" sheetId="8" state="hidden" r:id="rId7"/>
    <sheet name="6月22日～7月20日" sheetId="9" state="hidden" r:id="rId8"/>
    <sheet name="7月21日～8月24日" sheetId="10" state="hidden" r:id="rId9"/>
    <sheet name="8月25日～9月22日" sheetId="11" state="hidden" r:id="rId10"/>
    <sheet name="09月23日～10月20日" sheetId="12" state="hidden" r:id="rId11"/>
    <sheet name="10月20日～11月19日" sheetId="13" state="hidden" r:id="rId12"/>
    <sheet name="1月20日～2月19日" sheetId="14" state="hidden" r:id="rId13"/>
    <sheet name="5月20日～6月19" sheetId="15" state="hidden" r:id="rId14"/>
    <sheet name="21.03.20-21.04.19" sheetId="16" state="hidden" r:id="rId15"/>
    <sheet name="21.04.20-21.05.19 " sheetId="17" state="hidden" r:id="rId16"/>
    <sheet name="21.08.20-21.09.19" sheetId="18" state="hidden" r:id="rId17"/>
    <sheet name="21.09.20-21.10.19" sheetId="19" state="hidden" r:id="rId18"/>
    <sheet name="21.10.20-21.11.19" sheetId="20" state="hidden" r:id="rId19"/>
    <sheet name="21.11.20-21.12.19" sheetId="21" state="hidden" r:id="rId20"/>
    <sheet name="21.12.20-22.01.19" sheetId="22" state="hidden" r:id="rId21"/>
    <sheet name="21.05.20-21.06.19" sheetId="23" state="hidden" r:id="rId22"/>
    <sheet name="21.06.20-21.07.19" sheetId="24" state="hidden" r:id="rId23"/>
    <sheet name="21.07.20-21.08.19" sheetId="25" state="hidden" r:id="rId24"/>
    <sheet name="Sheet1" sheetId="26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2" i="25" l="1"/>
  <c r="F41" i="25"/>
  <c r="D40" i="25"/>
  <c r="C40" i="25"/>
  <c r="F40" i="25" s="1"/>
  <c r="B40" i="25"/>
  <c r="D39" i="25"/>
  <c r="F39" i="25" s="1"/>
  <c r="J35" i="25"/>
  <c r="I34" i="25"/>
  <c r="H34" i="25"/>
  <c r="G34" i="25"/>
  <c r="E34" i="25"/>
  <c r="D34" i="25"/>
  <c r="C34" i="25"/>
  <c r="J34" i="25" s="1"/>
  <c r="B34" i="25"/>
  <c r="I33" i="25"/>
  <c r="H33" i="25"/>
  <c r="E33" i="25"/>
  <c r="D33" i="25"/>
  <c r="C33" i="25"/>
  <c r="J33" i="25" s="1"/>
  <c r="J32" i="25"/>
  <c r="J31" i="25"/>
  <c r="J30" i="25"/>
  <c r="H29" i="25"/>
  <c r="G29" i="25"/>
  <c r="F29" i="25"/>
  <c r="B29" i="25"/>
  <c r="J29" i="25" s="1"/>
  <c r="J28" i="25"/>
  <c r="I27" i="25"/>
  <c r="D27" i="25"/>
  <c r="C27" i="25"/>
  <c r="J27" i="25" s="1"/>
  <c r="J23" i="25"/>
  <c r="I23" i="25"/>
  <c r="G23" i="25"/>
  <c r="C23" i="25"/>
  <c r="B23" i="25"/>
  <c r="H22" i="25"/>
  <c r="J22" i="25" s="1"/>
  <c r="E22" i="25"/>
  <c r="J21" i="25"/>
  <c r="H20" i="25"/>
  <c r="G20" i="25"/>
  <c r="E20" i="25"/>
  <c r="D20" i="25"/>
  <c r="C20" i="25"/>
  <c r="B20" i="25"/>
  <c r="J20" i="25" s="1"/>
  <c r="J19" i="25"/>
  <c r="J18" i="25"/>
  <c r="J17" i="25"/>
  <c r="J16" i="25"/>
  <c r="J15" i="25"/>
  <c r="J14" i="25"/>
  <c r="J13" i="25"/>
  <c r="G12" i="25"/>
  <c r="J12" i="25" s="1"/>
  <c r="G11" i="25"/>
  <c r="F11" i="25"/>
  <c r="J11" i="25" s="1"/>
  <c r="B11" i="25"/>
  <c r="I10" i="25"/>
  <c r="J10" i="25" s="1"/>
  <c r="H10" i="25"/>
  <c r="F9" i="25"/>
  <c r="J9" i="25" s="1"/>
  <c r="J8" i="25"/>
  <c r="J7" i="25"/>
  <c r="J6" i="25"/>
  <c r="I5" i="25"/>
  <c r="H5" i="25"/>
  <c r="J5" i="25" s="1"/>
  <c r="G5" i="25"/>
  <c r="C38" i="24"/>
  <c r="F38" i="24" s="1"/>
  <c r="E37" i="24"/>
  <c r="C37" i="24"/>
  <c r="B37" i="24"/>
  <c r="F37" i="24" s="1"/>
  <c r="D36" i="24"/>
  <c r="F36" i="24" s="1"/>
  <c r="E35" i="24"/>
  <c r="C35" i="24"/>
  <c r="F35" i="24" s="1"/>
  <c r="D31" i="24"/>
  <c r="J31" i="24" s="1"/>
  <c r="I30" i="24"/>
  <c r="H30" i="24"/>
  <c r="G30" i="24"/>
  <c r="F30" i="24"/>
  <c r="E30" i="24"/>
  <c r="D30" i="24"/>
  <c r="J30" i="24" s="1"/>
  <c r="C30" i="24"/>
  <c r="B30" i="24"/>
  <c r="J29" i="24"/>
  <c r="G28" i="24"/>
  <c r="F28" i="24"/>
  <c r="B28" i="24"/>
  <c r="J28" i="24" s="1"/>
  <c r="J27" i="24"/>
  <c r="I26" i="24"/>
  <c r="D26" i="24"/>
  <c r="C26" i="24"/>
  <c r="J26" i="24" s="1"/>
  <c r="H23" i="24"/>
  <c r="J23" i="24" s="1"/>
  <c r="J22" i="24"/>
  <c r="E22" i="24"/>
  <c r="H21" i="24"/>
  <c r="J21" i="24" s="1"/>
  <c r="G21" i="24"/>
  <c r="H20" i="24"/>
  <c r="E20" i="24"/>
  <c r="D20" i="24"/>
  <c r="B20" i="24"/>
  <c r="J20" i="24" s="1"/>
  <c r="J19" i="24"/>
  <c r="I18" i="24"/>
  <c r="H18" i="24"/>
  <c r="E18" i="24"/>
  <c r="C18" i="24"/>
  <c r="J18" i="24" s="1"/>
  <c r="J17" i="24"/>
  <c r="J16" i="24"/>
  <c r="J15" i="24"/>
  <c r="H14" i="24"/>
  <c r="D14" i="24"/>
  <c r="J14" i="24" s="1"/>
  <c r="J13" i="24"/>
  <c r="J12" i="24"/>
  <c r="J11" i="24"/>
  <c r="H11" i="24"/>
  <c r="I10" i="24"/>
  <c r="G10" i="24"/>
  <c r="F10" i="24"/>
  <c r="C10" i="24"/>
  <c r="J10" i="24" s="1"/>
  <c r="J9" i="24"/>
  <c r="H8" i="24"/>
  <c r="J8" i="24" s="1"/>
  <c r="J7" i="24"/>
  <c r="C6" i="24"/>
  <c r="J6" i="24" s="1"/>
  <c r="I5" i="24"/>
  <c r="H5" i="24"/>
  <c r="G5" i="24"/>
  <c r="D5" i="24"/>
  <c r="C5" i="24"/>
  <c r="J5" i="24" s="1"/>
  <c r="F32" i="23"/>
  <c r="C31" i="23"/>
  <c r="F31" i="23" s="1"/>
  <c r="E30" i="23"/>
  <c r="D30" i="23"/>
  <c r="F30" i="23" s="1"/>
  <c r="B30" i="23"/>
  <c r="E29" i="23"/>
  <c r="F29" i="23" s="1"/>
  <c r="C29" i="23"/>
  <c r="J24" i="23"/>
  <c r="D23" i="23"/>
  <c r="J23" i="23" s="1"/>
  <c r="G22" i="23"/>
  <c r="J22" i="23" s="1"/>
  <c r="F22" i="23"/>
  <c r="E21" i="23"/>
  <c r="J21" i="23" s="1"/>
  <c r="H20" i="23"/>
  <c r="E20" i="23"/>
  <c r="D20" i="23"/>
  <c r="C20" i="23"/>
  <c r="B20" i="23"/>
  <c r="J20" i="23" s="1"/>
  <c r="D16" i="23"/>
  <c r="J16" i="23" s="1"/>
  <c r="J15" i="23"/>
  <c r="H14" i="23"/>
  <c r="G14" i="23"/>
  <c r="E14" i="23"/>
  <c r="B14" i="23"/>
  <c r="J14" i="23" s="1"/>
  <c r="J13" i="23"/>
  <c r="H12" i="23"/>
  <c r="D12" i="23"/>
  <c r="C12" i="23"/>
  <c r="J12" i="23" s="1"/>
  <c r="J11" i="23"/>
  <c r="J10" i="23"/>
  <c r="G10" i="23"/>
  <c r="E9" i="23"/>
  <c r="J9" i="23" s="1"/>
  <c r="B9" i="23"/>
  <c r="I8" i="23"/>
  <c r="H8" i="23"/>
  <c r="G8" i="23"/>
  <c r="F8" i="23"/>
  <c r="D8" i="23"/>
  <c r="C8" i="23"/>
  <c r="B8" i="23"/>
  <c r="J8" i="23" s="1"/>
  <c r="I7" i="23"/>
  <c r="F7" i="23"/>
  <c r="D7" i="23"/>
  <c r="C7" i="23"/>
  <c r="J7" i="23" s="1"/>
  <c r="J6" i="23"/>
  <c r="H5" i="23"/>
  <c r="F5" i="23"/>
  <c r="E5" i="23"/>
  <c r="J5" i="23" s="1"/>
  <c r="F30" i="22"/>
  <c r="H30" i="22" s="1"/>
  <c r="D30" i="22"/>
  <c r="F29" i="22"/>
  <c r="H29" i="22" s="1"/>
  <c r="F28" i="22"/>
  <c r="E28" i="22"/>
  <c r="D28" i="22"/>
  <c r="H28" i="22" s="1"/>
  <c r="C27" i="22"/>
  <c r="H27" i="22" s="1"/>
  <c r="H24" i="22"/>
  <c r="G24" i="22"/>
  <c r="J24" i="22" s="1"/>
  <c r="E24" i="22"/>
  <c r="D24" i="22"/>
  <c r="J23" i="22"/>
  <c r="H23" i="22"/>
  <c r="F23" i="22"/>
  <c r="C23" i="22"/>
  <c r="H22" i="22"/>
  <c r="F22" i="22"/>
  <c r="E22" i="22"/>
  <c r="D22" i="22"/>
  <c r="C22" i="22"/>
  <c r="J22" i="22" s="1"/>
  <c r="J21" i="22"/>
  <c r="I20" i="22"/>
  <c r="J20" i="22" s="1"/>
  <c r="H17" i="22"/>
  <c r="G17" i="22"/>
  <c r="F17" i="22"/>
  <c r="K17" i="22" s="1"/>
  <c r="K16" i="22"/>
  <c r="I15" i="22"/>
  <c r="H15" i="22"/>
  <c r="F15" i="22"/>
  <c r="K15" i="22" s="1"/>
  <c r="D15" i="22"/>
  <c r="K14" i="22"/>
  <c r="K13" i="22"/>
  <c r="K12" i="22"/>
  <c r="K11" i="22"/>
  <c r="K10" i="22"/>
  <c r="K9" i="22"/>
  <c r="K8" i="22"/>
  <c r="K7" i="22"/>
  <c r="K6" i="22"/>
  <c r="H5" i="22"/>
  <c r="K5" i="22" s="1"/>
  <c r="K4" i="22"/>
  <c r="I3" i="22"/>
  <c r="H3" i="22"/>
  <c r="G3" i="22"/>
  <c r="F3" i="22"/>
  <c r="E3" i="22"/>
  <c r="D3" i="22"/>
  <c r="C3" i="22"/>
  <c r="K3" i="22" s="1"/>
  <c r="K2" i="22"/>
  <c r="G29" i="21"/>
  <c r="H29" i="21" s="1"/>
  <c r="F29" i="21"/>
  <c r="D29" i="21"/>
  <c r="H28" i="21"/>
  <c r="G28" i="21"/>
  <c r="G27" i="21"/>
  <c r="F27" i="21"/>
  <c r="E27" i="21"/>
  <c r="D27" i="21"/>
  <c r="H27" i="21" s="1"/>
  <c r="D26" i="21"/>
  <c r="C26" i="21"/>
  <c r="H26" i="21" s="1"/>
  <c r="J23" i="21"/>
  <c r="H23" i="21"/>
  <c r="G23" i="21"/>
  <c r="E23" i="21"/>
  <c r="D23" i="21"/>
  <c r="K23" i="21" s="1"/>
  <c r="J22" i="21"/>
  <c r="H22" i="21"/>
  <c r="F22" i="21"/>
  <c r="C22" i="21"/>
  <c r="K22" i="21" s="1"/>
  <c r="K21" i="21"/>
  <c r="J21" i="21"/>
  <c r="H21" i="21"/>
  <c r="E21" i="21"/>
  <c r="K20" i="21"/>
  <c r="I19" i="21"/>
  <c r="K19" i="21" s="1"/>
  <c r="I16" i="21"/>
  <c r="H16" i="21"/>
  <c r="D16" i="21"/>
  <c r="C16" i="21"/>
  <c r="J16" i="21" s="1"/>
  <c r="J15" i="21"/>
  <c r="J14" i="21"/>
  <c r="G13" i="21"/>
  <c r="J13" i="21" s="1"/>
  <c r="J12" i="21"/>
  <c r="J11" i="21"/>
  <c r="D11" i="21"/>
  <c r="G10" i="21"/>
  <c r="J10" i="21" s="1"/>
  <c r="J9" i="21"/>
  <c r="J8" i="21"/>
  <c r="J7" i="21"/>
  <c r="J6" i="21"/>
  <c r="J5" i="21"/>
  <c r="I4" i="21"/>
  <c r="J4" i="21" s="1"/>
  <c r="H4" i="21"/>
  <c r="I3" i="21"/>
  <c r="H3" i="21"/>
  <c r="F3" i="21"/>
  <c r="E3" i="21"/>
  <c r="D3" i="21"/>
  <c r="C3" i="21"/>
  <c r="J3" i="21" s="1"/>
  <c r="J2" i="21"/>
  <c r="E2" i="21"/>
  <c r="C2" i="21"/>
  <c r="H25" i="20"/>
  <c r="D25" i="20"/>
  <c r="H24" i="20"/>
  <c r="F24" i="20"/>
  <c r="F23" i="20"/>
  <c r="E23" i="20"/>
  <c r="D23" i="20"/>
  <c r="H23" i="20" s="1"/>
  <c r="C22" i="20"/>
  <c r="H22" i="20" s="1"/>
  <c r="J19" i="20"/>
  <c r="H19" i="20"/>
  <c r="G19" i="20"/>
  <c r="E19" i="20"/>
  <c r="D19" i="20"/>
  <c r="C19" i="20"/>
  <c r="K19" i="20" s="1"/>
  <c r="K18" i="20"/>
  <c r="J18" i="20"/>
  <c r="K17" i="20"/>
  <c r="K16" i="20"/>
  <c r="K15" i="20"/>
  <c r="I15" i="20"/>
  <c r="H12" i="20"/>
  <c r="J12" i="20" s="1"/>
  <c r="G12" i="20"/>
  <c r="J11" i="20"/>
  <c r="J10" i="20"/>
  <c r="J9" i="20"/>
  <c r="J8" i="20"/>
  <c r="H7" i="20"/>
  <c r="G7" i="20"/>
  <c r="D7" i="20"/>
  <c r="J7" i="20" s="1"/>
  <c r="J6" i="20"/>
  <c r="H5" i="20"/>
  <c r="J5" i="20" s="1"/>
  <c r="G5" i="20"/>
  <c r="F5" i="20"/>
  <c r="I4" i="20"/>
  <c r="H4" i="20"/>
  <c r="J4" i="20" s="1"/>
  <c r="E3" i="20"/>
  <c r="C3" i="20"/>
  <c r="J3" i="20" s="1"/>
  <c r="J2" i="20"/>
  <c r="G2" i="20"/>
  <c r="E2" i="20"/>
  <c r="C2" i="20"/>
  <c r="G48" i="19"/>
  <c r="G47" i="19"/>
  <c r="D47" i="19"/>
  <c r="B47" i="19"/>
  <c r="G46" i="19"/>
  <c r="F45" i="19"/>
  <c r="E45" i="19"/>
  <c r="C45" i="19"/>
  <c r="G45" i="19" s="1"/>
  <c r="F44" i="19"/>
  <c r="B44" i="19"/>
  <c r="G44" i="19" s="1"/>
  <c r="F43" i="19"/>
  <c r="C43" i="19"/>
  <c r="G43" i="19" s="1"/>
  <c r="J39" i="19"/>
  <c r="I38" i="19"/>
  <c r="H38" i="19"/>
  <c r="G38" i="19"/>
  <c r="E38" i="19"/>
  <c r="D38" i="19"/>
  <c r="C38" i="19"/>
  <c r="B38" i="19"/>
  <c r="J38" i="19" s="1"/>
  <c r="J37" i="19"/>
  <c r="J36" i="19"/>
  <c r="J35" i="19"/>
  <c r="J34" i="19"/>
  <c r="F33" i="19"/>
  <c r="J33" i="19" s="1"/>
  <c r="J32" i="19"/>
  <c r="H31" i="19"/>
  <c r="J31" i="19" s="1"/>
  <c r="E31" i="19"/>
  <c r="J28" i="19"/>
  <c r="J27" i="19"/>
  <c r="E27" i="19"/>
  <c r="J26" i="19"/>
  <c r="J25" i="19"/>
  <c r="H24" i="19"/>
  <c r="J24" i="19" s="1"/>
  <c r="J23" i="19"/>
  <c r="J22" i="19"/>
  <c r="J21" i="19"/>
  <c r="J20" i="19"/>
  <c r="J19" i="19"/>
  <c r="J18" i="19"/>
  <c r="J17" i="19"/>
  <c r="D16" i="19"/>
  <c r="J16" i="19" s="1"/>
  <c r="J15" i="19"/>
  <c r="J14" i="19"/>
  <c r="I13" i="19"/>
  <c r="H13" i="19"/>
  <c r="G13" i="19"/>
  <c r="F13" i="19"/>
  <c r="J13" i="19" s="1"/>
  <c r="D13" i="19"/>
  <c r="B13" i="19"/>
  <c r="J12" i="19"/>
  <c r="I12" i="19"/>
  <c r="H12" i="19"/>
  <c r="G12" i="19"/>
  <c r="F12" i="19"/>
  <c r="H11" i="19"/>
  <c r="D11" i="19"/>
  <c r="C11" i="19"/>
  <c r="J11" i="19" s="1"/>
  <c r="J10" i="19"/>
  <c r="J9" i="19"/>
  <c r="J8" i="19"/>
  <c r="J7" i="19"/>
  <c r="B7" i="19"/>
  <c r="J6" i="19"/>
  <c r="I5" i="19"/>
  <c r="H5" i="19"/>
  <c r="E5" i="19"/>
  <c r="J5" i="19" s="1"/>
  <c r="D45" i="18"/>
  <c r="C45" i="18"/>
  <c r="G45" i="18" s="1"/>
  <c r="B45" i="18"/>
  <c r="G44" i="18"/>
  <c r="G43" i="18"/>
  <c r="G42" i="18"/>
  <c r="D42" i="18"/>
  <c r="C42" i="18"/>
  <c r="B42" i="18"/>
  <c r="C41" i="18"/>
  <c r="G41" i="18" s="1"/>
  <c r="I37" i="18"/>
  <c r="H37" i="18"/>
  <c r="J37" i="18" s="1"/>
  <c r="E37" i="18"/>
  <c r="D37" i="18"/>
  <c r="C37" i="18"/>
  <c r="B37" i="18"/>
  <c r="I36" i="18"/>
  <c r="H36" i="18"/>
  <c r="G36" i="18"/>
  <c r="E36" i="18"/>
  <c r="D36" i="18"/>
  <c r="C36" i="18"/>
  <c r="B36" i="18"/>
  <c r="J36" i="18" s="1"/>
  <c r="J35" i="18"/>
  <c r="J34" i="18"/>
  <c r="J33" i="18"/>
  <c r="J32" i="18"/>
  <c r="J31" i="18"/>
  <c r="G31" i="18"/>
  <c r="F31" i="18"/>
  <c r="J30" i="18"/>
  <c r="J29" i="18"/>
  <c r="H26" i="18"/>
  <c r="J26" i="18" s="1"/>
  <c r="J25" i="18"/>
  <c r="D25" i="18"/>
  <c r="C25" i="18"/>
  <c r="J24" i="18"/>
  <c r="J23" i="18"/>
  <c r="J22" i="18"/>
  <c r="E22" i="18"/>
  <c r="J21" i="18"/>
  <c r="H20" i="18"/>
  <c r="E20" i="18"/>
  <c r="B20" i="18"/>
  <c r="J20" i="18" s="1"/>
  <c r="J19" i="18"/>
  <c r="J18" i="18"/>
  <c r="J17" i="18"/>
  <c r="J16" i="18"/>
  <c r="J15" i="18"/>
  <c r="H15" i="18"/>
  <c r="D15" i="18"/>
  <c r="J14" i="18"/>
  <c r="J13" i="18"/>
  <c r="H12" i="18"/>
  <c r="D12" i="18"/>
  <c r="J12" i="18" s="1"/>
  <c r="J11" i="18"/>
  <c r="G11" i="18"/>
  <c r="F11" i="18"/>
  <c r="J10" i="18"/>
  <c r="I10" i="18"/>
  <c r="H10" i="18"/>
  <c r="D10" i="18"/>
  <c r="C10" i="18"/>
  <c r="J9" i="18"/>
  <c r="J8" i="18"/>
  <c r="J7" i="18"/>
  <c r="J6" i="18"/>
  <c r="J5" i="18"/>
  <c r="H5" i="18"/>
  <c r="E14" i="17"/>
  <c r="J14" i="17" s="1"/>
  <c r="J13" i="17"/>
  <c r="J12" i="17"/>
  <c r="G12" i="17"/>
  <c r="H11" i="17"/>
  <c r="D11" i="17"/>
  <c r="C11" i="17"/>
  <c r="J11" i="17" s="1"/>
  <c r="G10" i="17"/>
  <c r="J10" i="17" s="1"/>
  <c r="F10" i="17"/>
  <c r="C10" i="17"/>
  <c r="J9" i="17"/>
  <c r="J8" i="17"/>
  <c r="J7" i="17"/>
  <c r="B6" i="17"/>
  <c r="J6" i="17" s="1"/>
  <c r="J5" i="17"/>
  <c r="C24" i="16"/>
  <c r="F24" i="16" s="1"/>
  <c r="E23" i="16"/>
  <c r="F23" i="16" s="1"/>
  <c r="B23" i="16"/>
  <c r="E22" i="16"/>
  <c r="F22" i="16" s="1"/>
  <c r="J18" i="16"/>
  <c r="J17" i="16"/>
  <c r="G17" i="16"/>
  <c r="F17" i="16"/>
  <c r="G16" i="16"/>
  <c r="E16" i="16"/>
  <c r="C16" i="16"/>
  <c r="B16" i="16"/>
  <c r="J16" i="16" s="1"/>
  <c r="J15" i="16"/>
  <c r="J11" i="16"/>
  <c r="J10" i="16"/>
  <c r="I10" i="16"/>
  <c r="J9" i="16"/>
  <c r="J8" i="16"/>
  <c r="J7" i="16"/>
  <c r="I6" i="16"/>
  <c r="H6" i="16"/>
  <c r="G6" i="16"/>
  <c r="F6" i="16"/>
  <c r="E6" i="16"/>
  <c r="C6" i="16"/>
  <c r="B6" i="16"/>
  <c r="J6" i="16" s="1"/>
  <c r="I5" i="16"/>
  <c r="H5" i="16"/>
  <c r="G5" i="16"/>
  <c r="E5" i="16"/>
  <c r="D5" i="16"/>
  <c r="C5" i="16"/>
  <c r="J5" i="16" s="1"/>
  <c r="I24" i="15"/>
  <c r="B24" i="15"/>
  <c r="C23" i="15"/>
  <c r="I23" i="15" s="1"/>
  <c r="I22" i="15"/>
  <c r="H22" i="15"/>
  <c r="E22" i="15"/>
  <c r="I21" i="15"/>
  <c r="E20" i="15"/>
  <c r="I20" i="15" s="1"/>
  <c r="H19" i="15"/>
  <c r="G19" i="15"/>
  <c r="I18" i="15"/>
  <c r="H18" i="15"/>
  <c r="D18" i="15"/>
  <c r="I17" i="15"/>
  <c r="H17" i="15"/>
  <c r="G17" i="15"/>
  <c r="D17" i="15"/>
  <c r="C17" i="15"/>
  <c r="B17" i="15"/>
  <c r="G16" i="15"/>
  <c r="F16" i="15"/>
  <c r="I16" i="15" s="1"/>
  <c r="E16" i="15"/>
  <c r="D16" i="15"/>
  <c r="C16" i="15"/>
  <c r="B16" i="15"/>
  <c r="G11" i="15"/>
  <c r="F11" i="15"/>
  <c r="B11" i="15"/>
  <c r="J11" i="15" s="1"/>
  <c r="M16" i="15" s="1"/>
  <c r="D10" i="15"/>
  <c r="J10" i="15" s="1"/>
  <c r="J9" i="15"/>
  <c r="E9" i="15"/>
  <c r="D9" i="15"/>
  <c r="C9" i="15"/>
  <c r="I8" i="15"/>
  <c r="H8" i="15"/>
  <c r="F8" i="15"/>
  <c r="D8" i="15"/>
  <c r="B8" i="15"/>
  <c r="J8" i="15" s="1"/>
  <c r="I7" i="15"/>
  <c r="H7" i="15"/>
  <c r="J7" i="15" s="1"/>
  <c r="D7" i="15"/>
  <c r="C7" i="15"/>
  <c r="B7" i="15"/>
  <c r="I6" i="15"/>
  <c r="J6" i="15" s="1"/>
  <c r="B6" i="15"/>
  <c r="J5" i="15"/>
  <c r="J12" i="14"/>
  <c r="I12" i="14"/>
  <c r="H12" i="14"/>
  <c r="G12" i="14"/>
  <c r="F12" i="14"/>
  <c r="E12" i="14"/>
  <c r="D12" i="14"/>
  <c r="C12" i="14"/>
  <c r="M12" i="13"/>
  <c r="L12" i="13"/>
  <c r="J12" i="13"/>
  <c r="I12" i="13"/>
  <c r="H12" i="13"/>
  <c r="G12" i="13"/>
  <c r="F12" i="13"/>
  <c r="E12" i="13"/>
  <c r="D12" i="13"/>
  <c r="E9" i="13"/>
  <c r="K7" i="13"/>
  <c r="K12" i="13" s="1"/>
  <c r="F7" i="13"/>
  <c r="F5" i="13"/>
  <c r="E4" i="13"/>
  <c r="C4" i="13"/>
  <c r="C12" i="13" s="1"/>
  <c r="J10" i="12"/>
  <c r="I10" i="12"/>
  <c r="H10" i="12"/>
  <c r="G10" i="12"/>
  <c r="F10" i="12"/>
  <c r="E10" i="12"/>
  <c r="D10" i="12"/>
  <c r="H9" i="12"/>
  <c r="C7" i="12"/>
  <c r="C6" i="12"/>
  <c r="C5" i="12"/>
  <c r="C4" i="12"/>
  <c r="C10" i="12" s="1"/>
  <c r="K10" i="11"/>
  <c r="I10" i="11"/>
  <c r="H10" i="11"/>
  <c r="G10" i="11"/>
  <c r="D10" i="11"/>
  <c r="F9" i="11"/>
  <c r="J8" i="11"/>
  <c r="I8" i="11"/>
  <c r="C8" i="11"/>
  <c r="J7" i="11"/>
  <c r="J10" i="11" s="1"/>
  <c r="I7" i="11"/>
  <c r="F7" i="11"/>
  <c r="C7" i="11"/>
  <c r="J6" i="11"/>
  <c r="I6" i="11"/>
  <c r="C6" i="11"/>
  <c r="J5" i="11"/>
  <c r="I5" i="11"/>
  <c r="E5" i="11"/>
  <c r="C5" i="11"/>
  <c r="J4" i="11"/>
  <c r="I4" i="11"/>
  <c r="F4" i="11"/>
  <c r="F10" i="11" s="1"/>
  <c r="E4" i="11"/>
  <c r="E10" i="11" s="1"/>
  <c r="C4" i="11"/>
  <c r="C10" i="11" s="1"/>
  <c r="K10" i="10"/>
  <c r="J10" i="10"/>
  <c r="G10" i="10"/>
  <c r="F10" i="10"/>
  <c r="D10" i="10"/>
  <c r="C10" i="10"/>
  <c r="I9" i="10"/>
  <c r="F9" i="10"/>
  <c r="K8" i="10"/>
  <c r="I8" i="10"/>
  <c r="E8" i="10"/>
  <c r="D8" i="10"/>
  <c r="C8" i="10"/>
  <c r="J7" i="10"/>
  <c r="I7" i="10"/>
  <c r="H7" i="10"/>
  <c r="H10" i="10" s="1"/>
  <c r="E7" i="10"/>
  <c r="I6" i="10"/>
  <c r="E6" i="10"/>
  <c r="D6" i="10"/>
  <c r="I5" i="10"/>
  <c r="E5" i="10"/>
  <c r="E10" i="10" s="1"/>
  <c r="D5" i="10"/>
  <c r="I4" i="10"/>
  <c r="I10" i="10" s="1"/>
  <c r="E4" i="10"/>
  <c r="D4" i="10"/>
  <c r="J10" i="9"/>
  <c r="I10" i="9"/>
  <c r="G10" i="9"/>
  <c r="F10" i="9"/>
  <c r="D10" i="9"/>
  <c r="C10" i="9"/>
  <c r="I9" i="9"/>
  <c r="H9" i="9"/>
  <c r="E9" i="9"/>
  <c r="H8" i="9"/>
  <c r="G8" i="9"/>
  <c r="E8" i="9"/>
  <c r="K7" i="9"/>
  <c r="K10" i="9" s="1"/>
  <c r="H6" i="9"/>
  <c r="H10" i="9" s="1"/>
  <c r="E6" i="9"/>
  <c r="J5" i="9"/>
  <c r="I5" i="9"/>
  <c r="H5" i="9"/>
  <c r="E5" i="9"/>
  <c r="H4" i="9"/>
  <c r="G4" i="9"/>
  <c r="E4" i="9"/>
  <c r="E10" i="9" s="1"/>
  <c r="B30" i="8"/>
  <c r="C23" i="8"/>
  <c r="F23" i="8" s="1"/>
  <c r="F22" i="8"/>
  <c r="J17" i="8"/>
  <c r="H16" i="8"/>
  <c r="J16" i="8" s="1"/>
  <c r="D16" i="8"/>
  <c r="C16" i="8"/>
  <c r="I15" i="8"/>
  <c r="G15" i="8"/>
  <c r="J15" i="8" s="1"/>
  <c r="J12" i="8"/>
  <c r="D11" i="8"/>
  <c r="C11" i="8"/>
  <c r="J11" i="8" s="1"/>
  <c r="H10" i="8"/>
  <c r="E10" i="8"/>
  <c r="J10" i="8" s="1"/>
  <c r="J9" i="8"/>
  <c r="B9" i="8"/>
  <c r="D8" i="8"/>
  <c r="B8" i="8"/>
  <c r="J8" i="8" s="1"/>
  <c r="H7" i="8"/>
  <c r="E7" i="8"/>
  <c r="D7" i="8"/>
  <c r="J7" i="8" s="1"/>
  <c r="B7" i="8"/>
  <c r="I6" i="8"/>
  <c r="H6" i="8"/>
  <c r="G6" i="8"/>
  <c r="E6" i="8"/>
  <c r="C6" i="8"/>
  <c r="B6" i="8"/>
  <c r="J6" i="8" s="1"/>
  <c r="I5" i="8"/>
  <c r="H5" i="8"/>
  <c r="G5" i="8"/>
  <c r="F5" i="8"/>
  <c r="E5" i="8"/>
  <c r="C5" i="8"/>
  <c r="J5" i="8" s="1"/>
  <c r="B32" i="7"/>
  <c r="E25" i="7"/>
  <c r="E24" i="7"/>
  <c r="E23" i="7"/>
  <c r="C22" i="7"/>
  <c r="E22" i="7" s="1"/>
  <c r="C21" i="7"/>
  <c r="E21" i="7" s="1"/>
  <c r="J16" i="7"/>
  <c r="I16" i="7"/>
  <c r="G16" i="7"/>
  <c r="E16" i="7"/>
  <c r="C16" i="7"/>
  <c r="B16" i="7"/>
  <c r="F15" i="7"/>
  <c r="D15" i="7"/>
  <c r="C15" i="7"/>
  <c r="B15" i="7"/>
  <c r="J15" i="7" s="1"/>
  <c r="I14" i="7"/>
  <c r="J14" i="7" s="1"/>
  <c r="G14" i="7"/>
  <c r="J9" i="7"/>
  <c r="J8" i="7"/>
  <c r="F7" i="7"/>
  <c r="C7" i="7"/>
  <c r="J7" i="7" s="1"/>
  <c r="I6" i="7"/>
  <c r="G6" i="7"/>
  <c r="E6" i="7"/>
  <c r="D6" i="7"/>
  <c r="C6" i="7"/>
  <c r="B6" i="7"/>
  <c r="J6" i="7" s="1"/>
  <c r="I5" i="7"/>
  <c r="H5" i="7"/>
  <c r="G5" i="7"/>
  <c r="F5" i="7"/>
  <c r="E5" i="7"/>
  <c r="D5" i="7"/>
  <c r="C5" i="7"/>
  <c r="B5" i="7"/>
  <c r="J5" i="7" s="1"/>
  <c r="G15" i="6"/>
  <c r="H15" i="6" s="1"/>
  <c r="F15" i="6"/>
  <c r="E15" i="6"/>
  <c r="D15" i="6"/>
  <c r="C15" i="6"/>
  <c r="B15" i="6"/>
  <c r="H14" i="6"/>
  <c r="G14" i="6"/>
  <c r="G9" i="6"/>
  <c r="K9" i="6" s="1"/>
  <c r="I8" i="6"/>
  <c r="K8" i="6" s="1"/>
  <c r="K7" i="6"/>
  <c r="I6" i="6"/>
  <c r="H6" i="6"/>
  <c r="K6" i="6" s="1"/>
  <c r="J5" i="6"/>
  <c r="I5" i="6"/>
  <c r="H5" i="6"/>
  <c r="F5" i="6"/>
  <c r="E5" i="6"/>
  <c r="D5" i="6"/>
  <c r="C5" i="6"/>
  <c r="B5" i="6"/>
  <c r="K5" i="6" s="1"/>
  <c r="G18" i="5"/>
  <c r="F18" i="5"/>
  <c r="H18" i="5" s="1"/>
  <c r="D18" i="5"/>
  <c r="C18" i="5"/>
  <c r="B18" i="5"/>
  <c r="F17" i="5"/>
  <c r="E17" i="5"/>
  <c r="B17" i="5"/>
  <c r="H17" i="5" s="1"/>
  <c r="F12" i="5"/>
  <c r="K12" i="5" s="1"/>
  <c r="B12" i="5"/>
  <c r="I11" i="5"/>
  <c r="K11" i="5" s="1"/>
  <c r="H11" i="5"/>
  <c r="E11" i="5"/>
  <c r="C11" i="5"/>
  <c r="J10" i="5"/>
  <c r="I10" i="5"/>
  <c r="H10" i="5"/>
  <c r="F10" i="5"/>
  <c r="E10" i="5"/>
  <c r="C10" i="5"/>
  <c r="B10" i="5"/>
  <c r="K10" i="5" s="1"/>
  <c r="K9" i="5"/>
  <c r="E9" i="5"/>
  <c r="D9" i="5"/>
  <c r="G8" i="5"/>
  <c r="D8" i="5"/>
  <c r="B8" i="5"/>
  <c r="K8" i="5" s="1"/>
  <c r="I7" i="5"/>
  <c r="B7" i="5"/>
  <c r="K7" i="5" s="1"/>
  <c r="H6" i="5"/>
  <c r="F6" i="5"/>
  <c r="K6" i="5" s="1"/>
  <c r="D6" i="5"/>
  <c r="B6" i="5"/>
  <c r="J5" i="5"/>
  <c r="I5" i="5"/>
  <c r="H5" i="5"/>
  <c r="G5" i="5"/>
  <c r="F5" i="5"/>
  <c r="E5" i="5"/>
  <c r="D5" i="5"/>
  <c r="C5" i="5"/>
  <c r="B5" i="5"/>
  <c r="K5" i="5" s="1"/>
  <c r="I20" i="4"/>
  <c r="I19" i="4"/>
  <c r="G18" i="4"/>
  <c r="E18" i="4"/>
  <c r="C18" i="4"/>
  <c r="B18" i="4"/>
  <c r="I18" i="4" s="1"/>
  <c r="H17" i="4"/>
  <c r="I17" i="4" s="1"/>
  <c r="G17" i="4"/>
  <c r="F17" i="4"/>
  <c r="D17" i="4"/>
  <c r="B17" i="4"/>
  <c r="K13" i="4"/>
  <c r="K12" i="4"/>
  <c r="K11" i="4"/>
  <c r="K10" i="4"/>
  <c r="K9" i="4"/>
  <c r="K8" i="4"/>
  <c r="I7" i="4"/>
  <c r="K7" i="4" s="1"/>
  <c r="E7" i="4"/>
  <c r="C7" i="4"/>
  <c r="K6" i="4"/>
  <c r="I6" i="4"/>
  <c r="E6" i="4"/>
  <c r="I5" i="4"/>
  <c r="H5" i="4"/>
  <c r="G5" i="4"/>
  <c r="F5" i="4"/>
  <c r="D5" i="4"/>
  <c r="B5" i="4"/>
  <c r="K5" i="4" s="1"/>
  <c r="H24" i="3"/>
  <c r="G24" i="3"/>
  <c r="H23" i="3"/>
  <c r="H22" i="3"/>
  <c r="D22" i="3"/>
  <c r="H21" i="3"/>
  <c r="D21" i="3"/>
  <c r="F20" i="3"/>
  <c r="E20" i="3"/>
  <c r="C20" i="3"/>
  <c r="H20" i="3" s="1"/>
  <c r="I20" i="3" s="1"/>
  <c r="B20" i="3"/>
  <c r="F19" i="3"/>
  <c r="H19" i="3" s="1"/>
  <c r="B19" i="3"/>
  <c r="J15" i="3"/>
  <c r="J14" i="3"/>
  <c r="I14" i="3"/>
  <c r="I13" i="3"/>
  <c r="J13" i="3" s="1"/>
  <c r="G12" i="3"/>
  <c r="B12" i="3"/>
  <c r="J12" i="3" s="1"/>
  <c r="J11" i="3"/>
  <c r="J10" i="3"/>
  <c r="K10" i="3" s="1"/>
  <c r="G10" i="3"/>
  <c r="B10" i="3"/>
  <c r="J9" i="3"/>
  <c r="B9" i="3"/>
  <c r="H8" i="3"/>
  <c r="F8" i="3"/>
  <c r="E8" i="3"/>
  <c r="J8" i="3" s="1"/>
  <c r="J7" i="3"/>
  <c r="D7" i="3"/>
  <c r="C7" i="3"/>
  <c r="J6" i="3"/>
  <c r="E6" i="3"/>
  <c r="D6" i="3"/>
  <c r="C6" i="3"/>
  <c r="I5" i="3"/>
  <c r="H5" i="3"/>
  <c r="G5" i="3"/>
  <c r="F5" i="3"/>
  <c r="C5" i="3"/>
  <c r="B5" i="3"/>
  <c r="J5" i="3" s="1"/>
  <c r="J22" i="2"/>
  <c r="B22" i="2"/>
  <c r="J21" i="2"/>
  <c r="E21" i="2"/>
  <c r="D20" i="2"/>
  <c r="C20" i="2"/>
  <c r="B20" i="2"/>
  <c r="J20" i="2" s="1"/>
  <c r="G19" i="2"/>
  <c r="J19" i="2" s="1"/>
  <c r="I18" i="2"/>
  <c r="H18" i="2"/>
  <c r="J18" i="2" s="1"/>
  <c r="F18" i="2"/>
  <c r="E18" i="2"/>
  <c r="D18" i="2"/>
  <c r="B18" i="2"/>
  <c r="I17" i="2"/>
  <c r="H17" i="2"/>
  <c r="E17" i="2"/>
  <c r="J17" i="2" s="1"/>
  <c r="J16" i="2"/>
  <c r="I16" i="2"/>
  <c r="H16" i="2"/>
  <c r="G16" i="2"/>
  <c r="F16" i="2"/>
  <c r="E16" i="2"/>
  <c r="D16" i="2"/>
  <c r="B16" i="2"/>
  <c r="G11" i="2"/>
  <c r="J11" i="2" s="1"/>
  <c r="E10" i="2"/>
  <c r="J10" i="2" s="1"/>
  <c r="D10" i="2"/>
  <c r="D9" i="2"/>
  <c r="J9" i="2" s="1"/>
  <c r="C9" i="2"/>
  <c r="I8" i="2"/>
  <c r="H8" i="2"/>
  <c r="F8" i="2"/>
  <c r="D8" i="2"/>
  <c r="J8" i="2" s="1"/>
  <c r="I7" i="2"/>
  <c r="H7" i="2"/>
  <c r="J7" i="2" s="1"/>
  <c r="F7" i="2"/>
  <c r="D7" i="2"/>
  <c r="C7" i="2"/>
  <c r="B7" i="2"/>
  <c r="I6" i="2"/>
  <c r="H6" i="2"/>
  <c r="F6" i="2"/>
  <c r="E6" i="2"/>
  <c r="C6" i="2"/>
  <c r="B6" i="2"/>
  <c r="J6" i="2" s="1"/>
  <c r="J5" i="2"/>
  <c r="I5" i="2"/>
  <c r="J23" i="2" l="1"/>
  <c r="I25" i="15"/>
  <c r="J12" i="2"/>
  <c r="J12" i="15"/>
</calcChain>
</file>

<file path=xl/sharedStrings.xml><?xml version="1.0" encoding="utf-8"?>
<sst xmlns="http://schemas.openxmlformats.org/spreadsheetml/2006/main" count="1063" uniqueCount="181">
  <si>
    <t>順</t>
  </si>
  <si>
    <t>社員</t>
  </si>
  <si>
    <t>Jokogawa</t>
  </si>
  <si>
    <t>Tokai</t>
  </si>
  <si>
    <t>Crane anime</t>
  </si>
  <si>
    <t>Ushiku</t>
  </si>
  <si>
    <t>Kogaigawa</t>
  </si>
  <si>
    <t>Kinugawa</t>
  </si>
  <si>
    <t>Office</t>
  </si>
  <si>
    <t>Hiep</t>
  </si>
  <si>
    <t>Duy</t>
  </si>
  <si>
    <t>Son</t>
  </si>
  <si>
    <t>Minh</t>
  </si>
  <si>
    <t>Sang</t>
  </si>
  <si>
    <t>Ngoc</t>
  </si>
  <si>
    <t>Hieu</t>
  </si>
  <si>
    <t>Thang</t>
  </si>
  <si>
    <t>Hoan</t>
  </si>
  <si>
    <t>Thủy</t>
  </si>
  <si>
    <t>Total</t>
  </si>
  <si>
    <t>Project</t>
  </si>
  <si>
    <t xml:space="preserve">Thắng </t>
  </si>
  <si>
    <t>Khu</t>
  </si>
  <si>
    <t>Hiếu</t>
  </si>
  <si>
    <t>Ngọc</t>
  </si>
  <si>
    <t>Sơn</t>
  </si>
  <si>
    <t>04T17C.KIN-Kinugawa</t>
  </si>
  <si>
    <t>ok</t>
  </si>
  <si>
    <t>05T26C.KUR-Kurotori Phase II</t>
  </si>
  <si>
    <t>04T16C.KOG-Kogaigawa</t>
  </si>
  <si>
    <t>05T25C.DAI-Daigigawa CIM</t>
  </si>
  <si>
    <t>05T27C.FUN-Fukuyama Numakuma</t>
  </si>
  <si>
    <t>05T02C.ANI-Crane Animation in CAD</t>
  </si>
  <si>
    <t>Hải</t>
  </si>
  <si>
    <t>Tùng</t>
  </si>
  <si>
    <t>Linh</t>
  </si>
  <si>
    <t>Lý</t>
  </si>
  <si>
    <t>Sáng</t>
  </si>
  <si>
    <t>Hưng</t>
  </si>
  <si>
    <t>Lâm</t>
  </si>
  <si>
    <t>05T20B.SAM-Sanki MEP</t>
  </si>
  <si>
    <t>05T23B.CEM-CEM Family modeling</t>
  </si>
  <si>
    <t>05T05C.USH-Ushiku Tsuchiura BP</t>
  </si>
  <si>
    <t>05I07B.TF5-5D BIM Software</t>
  </si>
  <si>
    <t>04T19B.TAN-Kazama House renovation</t>
  </si>
  <si>
    <t>05I04B.SAL-Sales and promotion activities</t>
  </si>
  <si>
    <t>05T32C.EM3-Emukae 3</t>
  </si>
  <si>
    <t>05T31C.SHI-Shiba Bridge CIM</t>
  </si>
  <si>
    <t>05I30B.HAS-BOQ table Haseko Project</t>
  </si>
  <si>
    <t>04T15C.TOK-Tokai JCT</t>
  </si>
  <si>
    <t>total</t>
  </si>
  <si>
    <t>05T28B.KTB-Model Kataurabashi from PointCloud</t>
  </si>
  <si>
    <t>05T29B.TKJ-Model Toukai JCT from PointCloud</t>
  </si>
  <si>
    <t>Vang</t>
  </si>
  <si>
    <t>05T33C.EM4-Emukae 4</t>
  </si>
  <si>
    <t>05T34C.RMC-Road modeling using Civil3D</t>
  </si>
  <si>
    <t>05T35C.YRC-Yasu Ritto CIM</t>
  </si>
  <si>
    <t>05I36R.R&amp;D-Research and development</t>
  </si>
  <si>
    <t>Khoa</t>
  </si>
  <si>
    <t>05I29B.TKJ-Model Toukai JCT from PointCloud</t>
  </si>
  <si>
    <t>06T01C.IYO-IYOKI road modeling</t>
  </si>
  <si>
    <t>05T38C.YOD-Yodogawa Bridge</t>
  </si>
  <si>
    <t>06T03C.HAM-Hama Iwa CIM</t>
  </si>
  <si>
    <t>06T02C.SOA-Shin Omiya Ageo</t>
  </si>
  <si>
    <t>06T04C.KNR-Kurosaki Nishi Ramp CIM</t>
  </si>
  <si>
    <t>06T05C.MYB-Minami Yoshida Bridge CIM</t>
  </si>
  <si>
    <t>Hà</t>
  </si>
  <si>
    <t>06T06B.IHP-Ikebukuro Hatasupotsu PointCloud Model</t>
  </si>
  <si>
    <t>06I07R.CRT-Basic C# and Revit API Training</t>
  </si>
  <si>
    <t>05I05C.TIM-Timesheet improvement</t>
  </si>
  <si>
    <t>06I08R.DIM-Digital Marketing</t>
  </si>
  <si>
    <t>Model project of Wakayama様</t>
  </si>
  <si>
    <t>05T37C.TSD-Tsuchiura doboku</t>
  </si>
  <si>
    <t>06T13C.NBC-Nagahama Bridge CIM</t>
  </si>
  <si>
    <t>06I16C.RVD-Create Pier formwork and rebar drawing in Revit</t>
  </si>
  <si>
    <t>06T15C.BDI-Bridge image &amp; damage diagram_S</t>
  </si>
  <si>
    <t>05T11C.FUJ-Fujishiro</t>
  </si>
  <si>
    <t>06T17C.HHK-Haha kawa CIM</t>
  </si>
  <si>
    <t>06T14B.SMC-SuSo Model Of Lake Conditioning</t>
  </si>
  <si>
    <t>Toan</t>
  </si>
  <si>
    <t>Lam</t>
  </si>
  <si>
    <t>06I11R.TWB-T and T Design Company Website</t>
  </si>
  <si>
    <t>7月分の時間集計表(6月22日～7月20日）</t>
  </si>
  <si>
    <t>Oyodogawa</t>
  </si>
  <si>
    <t xml:space="preserve">Indonesia </t>
  </si>
  <si>
    <t>NKE BIM</t>
  </si>
  <si>
    <t>Dynamo</t>
  </si>
  <si>
    <t>Kurotori Bridge</t>
  </si>
  <si>
    <t xml:space="preserve">Matsuura </t>
  </si>
  <si>
    <t xml:space="preserve">Kochi </t>
  </si>
  <si>
    <t>SD5</t>
  </si>
  <si>
    <t>Tram</t>
  </si>
  <si>
    <t>Tuan Anh</t>
  </si>
  <si>
    <t>8月分の時間集計表(7月21日～8月24日）</t>
  </si>
  <si>
    <t>Choudai</t>
  </si>
  <si>
    <t>9月分の時間集計表(8月25日～9月22日）</t>
  </si>
  <si>
    <t>10月分の時間集計表(9月23日～10月20日）</t>
  </si>
  <si>
    <t xml:space="preserve">Misono </t>
  </si>
  <si>
    <t>11月分の時間集計表(10月20日～11月19日）</t>
  </si>
  <si>
    <t>using Inventor
 for bearing modeling</t>
  </si>
  <si>
    <t>Crane Animation in CAD</t>
  </si>
  <si>
    <t>JIS A5136 translation</t>
  </si>
  <si>
    <t xml:space="preserve">Ushiku </t>
  </si>
  <si>
    <t xml:space="preserve">Chodai </t>
  </si>
  <si>
    <t>Optimization on
 CAD file size</t>
  </si>
  <si>
    <t>using Advance Steel for steel structure modeling</t>
  </si>
  <si>
    <t>PC rebar modeling
-Training</t>
  </si>
  <si>
    <t>Quang</t>
  </si>
  <si>
    <t>2分の時間集計表(1月20日～2月19日）</t>
  </si>
  <si>
    <t>Sensudai</t>
  </si>
  <si>
    <t>Tak</t>
  </si>
  <si>
    <t>Point cloud</t>
  </si>
  <si>
    <t>Fujishiro</t>
  </si>
  <si>
    <t>06I20C.DPM-Create model for TTD website</t>
  </si>
  <si>
    <t>06T21C.ATB-Asakawa Toka Bridge CIM</t>
  </si>
  <si>
    <t>06T22C.CRC-Chuusei Road CIM</t>
  </si>
  <si>
    <t>6T19B.KDP-Kanda Project BIM 5D</t>
  </si>
  <si>
    <t>6T18B.NUH-Nursing House Modeling BIM 5D</t>
  </si>
  <si>
    <t>Toản</t>
  </si>
  <si>
    <t>sum</t>
  </si>
  <si>
    <t>06T23C.SBC-07. 瀬戸田橋CIM (Setoda Bridge CIM)</t>
  </si>
  <si>
    <t>06T24C.SHI-08. 下田4号橋CIM (Shimoda Bridge CIM)</t>
  </si>
  <si>
    <t>05I02C.ADS-using Advance Steel for steel structure modeling</t>
  </si>
  <si>
    <t>06T25C.KTL-09. 小松田口線仮桟橋 ( Komatsu Taguchi Line)</t>
  </si>
  <si>
    <t>6T26C.TDC-10. 高田川橋CIM (Takadagawa CIM)</t>
  </si>
  <si>
    <t>6T29C.OBC-11. 大川橋梁CIM (Okawa Bridge CIM)</t>
  </si>
  <si>
    <t>6T28C.SOV-Shin Omiya Ageo construction simulation video</t>
  </si>
  <si>
    <t>6T30C.KBC-12. 汲川原橋CIM (Kumigawara Bridge CIM)</t>
  </si>
  <si>
    <t>6T34B.CNF-Chiba City New Cleaning Plant Construction Work</t>
  </si>
  <si>
    <t>6T37C.HIC-13. 広幡IC_CIM (Hirohata IC CIM)</t>
  </si>
  <si>
    <t>6T39C.SIB-14. 下池橋 CIM (Shimo Ike Bridge CIM)</t>
  </si>
  <si>
    <t>Tuấn</t>
  </si>
  <si>
    <t>6T31B.TOA-TOA Structural Modelling</t>
  </si>
  <si>
    <t>6T33B.OLW-Oji Wharf Logistics Warehouse</t>
  </si>
  <si>
    <t>6T36B.SBR-Subaru</t>
  </si>
  <si>
    <t>Nam</t>
  </si>
  <si>
    <t>6T27R.HIS-Hirose System</t>
  </si>
  <si>
    <t>6T38R.KCW-KYG E-Commerce Website</t>
  </si>
  <si>
    <t>07T02C.KIT-01.JAS-北長瀬高架橋CIM(Kitanagase)</t>
  </si>
  <si>
    <t>07T01R.MCS-Maeda Corporation Sample</t>
  </si>
  <si>
    <t>Divison</t>
  </si>
  <si>
    <t>Pham Trong Hieu</t>
  </si>
  <si>
    <t>Dao Van Vang</t>
  </si>
  <si>
    <t>Vu Van Khu</t>
  </si>
  <si>
    <t>Triệu Quang Thắng</t>
  </si>
  <si>
    <t>Nguyễn Bảo Ngọc</t>
  </si>
  <si>
    <t>Nguyen Van Minh</t>
  </si>
  <si>
    <t>Bui Nguyen Duy</t>
  </si>
  <si>
    <t>CIM</t>
  </si>
  <si>
    <t>06T29C.OBC-11. 大川橋梁CIM (Okawa Bridge CIM)</t>
  </si>
  <si>
    <t>06T30C.KBC-12. 汲川原橋CIM (Kumigawara Bridge CIM)</t>
  </si>
  <si>
    <t>06T39C.SIB-14. 下池橋 CIM (Shimo Ike Bridge CIM)</t>
  </si>
  <si>
    <t>07T03C.MIK-NKE15. 三倉高架橋CIM (Mikura Bridge CIM)</t>
  </si>
  <si>
    <t>07T04C.AKU-NKE16. 芥見IC CIM (Akutami IC CIM)</t>
  </si>
  <si>
    <t>07T05C.ARA-JAS02.06.荒尾第２高架橋(Araodai2koukabashi )</t>
  </si>
  <si>
    <t>07T07C.MAE-JAS03.前川橋一般図(Maekawabashi)</t>
  </si>
  <si>
    <t>Pham Minh Tung</t>
  </si>
  <si>
    <t>Nguyen Quoc Hung</t>
  </si>
  <si>
    <t xml:space="preserve">Đinh Quang Tuấn </t>
  </si>
  <si>
    <t>Hoang Son Lam</t>
  </si>
  <si>
    <t>Truong Minh Sang</t>
  </si>
  <si>
    <t>Nguyen The Ha</t>
  </si>
  <si>
    <t>Tran Van Khoa</t>
  </si>
  <si>
    <t>Hoang Thi Ly</t>
  </si>
  <si>
    <t>BIM</t>
  </si>
  <si>
    <t>06T34B.CNF-Chiba City New Cleaning Plant Construction Work</t>
  </si>
  <si>
    <t>06T36B.SBR-Subaru</t>
  </si>
  <si>
    <t>7T06B.OFC-New Layout Office</t>
  </si>
  <si>
    <t>Trần Phương Nam</t>
  </si>
  <si>
    <t>Vương Đình Toản</t>
  </si>
  <si>
    <t>Nguyễn Hồng Sơn</t>
  </si>
  <si>
    <t>Pham Cong Hoan</t>
  </si>
  <si>
    <t>Pham Quoc Lam</t>
  </si>
  <si>
    <t>R&amp;D</t>
  </si>
  <si>
    <t>07T09C.OKM-NKE17. 岡山環状南CIM (Okayama Kanjyou Minami CIM)</t>
  </si>
  <si>
    <t>07T08C.CKB-JAS04.香取市忠敬橋3D計測 (chuukeibashi)</t>
  </si>
  <si>
    <t>07T10C.MIC-JAS05. 町田IC(Machida IC）</t>
  </si>
  <si>
    <t>07T11C.OVP-NKE18.1825号線跨道橋CIM</t>
  </si>
  <si>
    <t>Le Van Cuong</t>
  </si>
  <si>
    <t>07T12C.MAR-JAS06.パース作成 (3D modeling and rendered)</t>
  </si>
  <si>
    <t>#REF!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</si>
</sst>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00"/>
    <numFmt numFmtId="166" formatCode="0.0"/>
  </numFmts>
  <fonts count="25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Ｍ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Calibri"/>
      <family val="2"/>
    </font>
    <font>
      <b/>
      <sz val="11"/>
      <color rgb="FFFF0000"/>
      <name val="Arial"/>
      <family val="2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</font>
    <font>
      <b/>
      <sz val="11"/>
      <color rgb="FF171616"/>
      <name val="Times New Roman"/>
      <family val="1"/>
    </font>
    <font>
      <sz val="10"/>
      <color rgb="FF000000"/>
      <name val="Arial"/>
      <family val="2"/>
    </font>
    <font>
      <b/>
      <sz val="11"/>
      <color rgb="FFFF0000"/>
      <name val="Calibri"/>
      <family val="2"/>
    </font>
    <font>
      <sz val="11"/>
      <color rgb="FFFF0000"/>
      <name val="Times New Roman"/>
      <family val="1"/>
    </font>
    <font>
      <sz val="10"/>
      <color rgb="FFFF0000"/>
      <name val="Arial"/>
      <family val="2"/>
    </font>
    <font>
      <b/>
      <sz val="9"/>
      <color rgb="FF000000"/>
      <name val="Arial Narrow"/>
      <family val="2"/>
    </font>
    <font>
      <b/>
      <sz val="9"/>
      <color theme="1"/>
      <name val="Arial Narrow"/>
      <family val="2"/>
    </font>
    <font>
      <sz val="10"/>
      <color rgb="FF000000"/>
      <name val="Times New Roman"/>
      <family val="1"/>
    </font>
    <font>
      <sz val="10"/>
      <color rgb="FF000000"/>
      <name val="Roboto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7"/>
        <bgColor theme="7"/>
      </patternFill>
    </fill>
    <fill>
      <patternFill patternType="solid">
        <fgColor theme="0"/>
        <bgColor theme="0"/>
      </patternFill>
    </fill>
    <fill>
      <patternFill patternType="solid">
        <fgColor theme="5"/>
        <bgColor theme="5"/>
      </patternFill>
    </fill>
    <fill>
      <patternFill patternType="solid">
        <fgColor rgb="FFF7CAAC"/>
        <bgColor rgb="FFF7CAAC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BDD6EE"/>
        <bgColor rgb="FFBDD6EE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07">
    <xf numFmtId="0" fontId="0" fillId="0" borderId="0" xfId="0" applyFont="1" applyAlignment="1"/>
    <xf numFmtId="0" fontId="3" fillId="2" borderId="1" xfId="0" applyFont="1" applyFill="1" applyBorder="1"/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4" fillId="0" borderId="2" xfId="0" applyFont="1" applyBorder="1" applyAlignment="1">
      <alignment horizontal="center"/>
    </xf>
    <xf numFmtId="0" fontId="4" fillId="4" borderId="2" xfId="0" applyFont="1" applyFill="1" applyBorder="1"/>
    <xf numFmtId="0" fontId="7" fillId="2" borderId="2" xfId="0" applyFont="1" applyFill="1" applyBorder="1"/>
    <xf numFmtId="0" fontId="3" fillId="0" borderId="2" xfId="0" applyFont="1" applyBorder="1"/>
    <xf numFmtId="0" fontId="3" fillId="0" borderId="0" xfId="0" applyFont="1"/>
    <xf numFmtId="4" fontId="7" fillId="2" borderId="2" xfId="0" applyNumberFormat="1" applyFont="1" applyFill="1" applyBorder="1"/>
    <xf numFmtId="0" fontId="8" fillId="0" borderId="2" xfId="0" applyFont="1" applyBorder="1"/>
    <xf numFmtId="0" fontId="8" fillId="0" borderId="0" xfId="0" applyFont="1"/>
    <xf numFmtId="0" fontId="4" fillId="0" borderId="3" xfId="0" applyFont="1" applyBorder="1"/>
    <xf numFmtId="0" fontId="4" fillId="5" borderId="4" xfId="0" applyFont="1" applyFill="1" applyBorder="1"/>
    <xf numFmtId="0" fontId="11" fillId="5" borderId="2" xfId="0" applyFont="1" applyFill="1" applyBorder="1"/>
    <xf numFmtId="0" fontId="3" fillId="0" borderId="0" xfId="0" applyFont="1" applyAlignment="1">
      <alignment horizontal="center"/>
    </xf>
    <xf numFmtId="0" fontId="4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/>
    </xf>
    <xf numFmtId="0" fontId="4" fillId="0" borderId="2" xfId="0" applyFont="1" applyBorder="1" applyAlignment="1">
      <alignment vertical="center"/>
    </xf>
    <xf numFmtId="0" fontId="7" fillId="0" borderId="2" xfId="0" applyFont="1" applyBorder="1"/>
    <xf numFmtId="4" fontId="7" fillId="0" borderId="2" xfId="0" applyNumberFormat="1" applyFont="1" applyBorder="1"/>
    <xf numFmtId="0" fontId="12" fillId="0" borderId="2" xfId="0" applyFont="1" applyBorder="1"/>
    <xf numFmtId="0" fontId="7" fillId="0" borderId="0" xfId="0" applyFont="1"/>
    <xf numFmtId="0" fontId="10" fillId="0" borderId="0" xfId="0" applyFont="1"/>
    <xf numFmtId="0" fontId="13" fillId="0" borderId="2" xfId="0" applyFont="1" applyBorder="1"/>
    <xf numFmtId="3" fontId="7" fillId="0" borderId="2" xfId="0" applyNumberFormat="1" applyFont="1" applyBorder="1"/>
    <xf numFmtId="164" fontId="7" fillId="0" borderId="2" xfId="0" applyNumberFormat="1" applyFont="1" applyBorder="1"/>
    <xf numFmtId="4" fontId="7" fillId="0" borderId="0" xfId="0" applyNumberFormat="1" applyFont="1"/>
    <xf numFmtId="4" fontId="9" fillId="0" borderId="2" xfId="0" applyNumberFormat="1" applyFont="1" applyBorder="1"/>
    <xf numFmtId="4" fontId="7" fillId="0" borderId="2" xfId="0" applyNumberFormat="1" applyFont="1" applyBorder="1" applyAlignment="1">
      <alignment horizontal="right"/>
    </xf>
    <xf numFmtId="0" fontId="11" fillId="0" borderId="0" xfId="0" applyFont="1"/>
    <xf numFmtId="0" fontId="4" fillId="0" borderId="2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14" fillId="0" borderId="2" xfId="0" applyFont="1" applyBorder="1"/>
    <xf numFmtId="0" fontId="3" fillId="0" borderId="7" xfId="0" applyFont="1" applyBorder="1"/>
    <xf numFmtId="0" fontId="15" fillId="0" borderId="2" xfId="0" applyFont="1" applyBorder="1" applyAlignment="1">
      <alignment vertical="center"/>
    </xf>
    <xf numFmtId="2" fontId="7" fillId="0" borderId="2" xfId="0" applyNumberFormat="1" applyFont="1" applyBorder="1"/>
    <xf numFmtId="0" fontId="16" fillId="0" borderId="2" xfId="0" applyFont="1" applyBorder="1"/>
    <xf numFmtId="0" fontId="16" fillId="2" borderId="2" xfId="0" applyFont="1" applyFill="1" applyBorder="1"/>
    <xf numFmtId="2" fontId="7" fillId="2" borderId="2" xfId="0" applyNumberFormat="1" applyFont="1" applyFill="1" applyBorder="1"/>
    <xf numFmtId="3" fontId="7" fillId="2" borderId="2" xfId="0" applyNumberFormat="1" applyFont="1" applyFill="1" applyBorder="1"/>
    <xf numFmtId="4" fontId="7" fillId="2" borderId="1" xfId="0" applyNumberFormat="1" applyFont="1" applyFill="1" applyBorder="1"/>
    <xf numFmtId="0" fontId="7" fillId="2" borderId="1" xfId="0" applyFont="1" applyFill="1" applyBorder="1"/>
    <xf numFmtId="0" fontId="8" fillId="2" borderId="1" xfId="0" applyFont="1" applyFill="1" applyBorder="1"/>
    <xf numFmtId="0" fontId="13" fillId="0" borderId="0" xfId="0" applyFont="1"/>
    <xf numFmtId="0" fontId="14" fillId="0" borderId="0" xfId="0" applyFont="1"/>
    <xf numFmtId="0" fontId="13" fillId="2" borderId="2" xfId="0" applyFont="1" applyFill="1" applyBorder="1"/>
    <xf numFmtId="0" fontId="14" fillId="2" borderId="2" xfId="0" applyFont="1" applyFill="1" applyBorder="1"/>
    <xf numFmtId="0" fontId="14" fillId="2" borderId="1" xfId="0" applyFont="1" applyFill="1" applyBorder="1"/>
    <xf numFmtId="0" fontId="17" fillId="0" borderId="2" xfId="0" applyFont="1" applyBorder="1"/>
    <xf numFmtId="0" fontId="4" fillId="0" borderId="2" xfId="0" applyFont="1" applyBorder="1" applyAlignment="1">
      <alignment horizontal="center" vertical="center"/>
    </xf>
    <xf numFmtId="0" fontId="18" fillId="0" borderId="2" xfId="0" applyFont="1" applyBorder="1"/>
    <xf numFmtId="0" fontId="11" fillId="0" borderId="2" xfId="0" applyFont="1" applyBorder="1"/>
    <xf numFmtId="0" fontId="3" fillId="7" borderId="2" xfId="0" applyFont="1" applyFill="1" applyBorder="1" applyAlignment="1">
      <alignment horizontal="center"/>
    </xf>
    <xf numFmtId="0" fontId="3" fillId="7" borderId="2" xfId="0" applyFont="1" applyFill="1" applyBorder="1"/>
    <xf numFmtId="0" fontId="3" fillId="0" borderId="3" xfId="0" applyFont="1" applyBorder="1" applyAlignment="1">
      <alignment horizontal="center"/>
    </xf>
    <xf numFmtId="0" fontId="3" fillId="4" borderId="4" xfId="0" applyFont="1" applyFill="1" applyBorder="1"/>
    <xf numFmtId="0" fontId="3" fillId="0" borderId="2" xfId="0" applyFont="1" applyBorder="1" applyAlignment="1">
      <alignment horizontal="center"/>
    </xf>
    <xf numFmtId="0" fontId="3" fillId="4" borderId="2" xfId="0" applyFont="1" applyFill="1" applyBorder="1"/>
    <xf numFmtId="0" fontId="3" fillId="0" borderId="2" xfId="0" applyFont="1" applyBorder="1" applyAlignment="1">
      <alignment horizontal="right"/>
    </xf>
    <xf numFmtId="0" fontId="4" fillId="0" borderId="0" xfId="0" applyFont="1"/>
    <xf numFmtId="0" fontId="8" fillId="4" borderId="4" xfId="0" applyFont="1" applyFill="1" applyBorder="1"/>
    <xf numFmtId="0" fontId="8" fillId="4" borderId="2" xfId="0" applyFont="1" applyFill="1" applyBorder="1"/>
    <xf numFmtId="0" fontId="8" fillId="0" borderId="2" xfId="0" applyFont="1" applyBorder="1" applyAlignment="1">
      <alignment horizontal="right"/>
    </xf>
    <xf numFmtId="0" fontId="5" fillId="3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 wrapText="1"/>
    </xf>
    <xf numFmtId="0" fontId="19" fillId="3" borderId="2" xfId="0" applyFont="1" applyFill="1" applyBorder="1" applyAlignment="1">
      <alignment vertical="center" wrapText="1"/>
    </xf>
    <xf numFmtId="0" fontId="7" fillId="4" borderId="2" xfId="0" applyFont="1" applyFill="1" applyBorder="1"/>
    <xf numFmtId="0" fontId="7" fillId="0" borderId="2" xfId="0" applyFont="1" applyBorder="1" applyAlignment="1">
      <alignment horizontal="right"/>
    </xf>
    <xf numFmtId="0" fontId="9" fillId="0" borderId="0" xfId="0" applyFont="1"/>
    <xf numFmtId="0" fontId="10" fillId="8" borderId="2" xfId="0" applyFont="1" applyFill="1" applyBorder="1"/>
    <xf numFmtId="0" fontId="10" fillId="5" borderId="4" xfId="0" applyFont="1" applyFill="1" applyBorder="1"/>
    <xf numFmtId="0" fontId="11" fillId="5" borderId="4" xfId="0" applyFont="1" applyFill="1" applyBorder="1"/>
    <xf numFmtId="4" fontId="7" fillId="4" borderId="2" xfId="0" applyNumberFormat="1" applyFont="1" applyFill="1" applyBorder="1"/>
    <xf numFmtId="4" fontId="9" fillId="0" borderId="0" xfId="0" applyNumberFormat="1" applyFont="1"/>
    <xf numFmtId="0" fontId="14" fillId="0" borderId="7" xfId="0" applyFont="1" applyBorder="1"/>
    <xf numFmtId="165" fontId="7" fillId="2" borderId="2" xfId="0" applyNumberFormat="1" applyFont="1" applyFill="1" applyBorder="1"/>
    <xf numFmtId="2" fontId="14" fillId="0" borderId="2" xfId="0" applyNumberFormat="1" applyFont="1" applyBorder="1"/>
    <xf numFmtId="165" fontId="11" fillId="0" borderId="0" xfId="0" applyNumberFormat="1" applyFont="1"/>
    <xf numFmtId="0" fontId="20" fillId="0" borderId="2" xfId="0" applyFont="1" applyBorder="1"/>
    <xf numFmtId="2" fontId="7" fillId="2" borderId="1" xfId="0" applyNumberFormat="1" applyFont="1" applyFill="1" applyBorder="1"/>
    <xf numFmtId="166" fontId="11" fillId="0" borderId="2" xfId="0" applyNumberFormat="1" applyFont="1" applyBorder="1"/>
    <xf numFmtId="0" fontId="20" fillId="0" borderId="0" xfId="0" applyFont="1"/>
    <xf numFmtId="0" fontId="21" fillId="9" borderId="2" xfId="0" applyFont="1" applyFill="1" applyBorder="1" applyAlignment="1">
      <alignment horizontal="center"/>
    </xf>
    <xf numFmtId="0" fontId="21" fillId="0" borderId="2" xfId="0" applyFont="1" applyBorder="1" applyAlignment="1">
      <alignment horizontal="left" vertical="center"/>
    </xf>
    <xf numFmtId="0" fontId="21" fillId="0" borderId="2" xfId="0" applyFont="1" applyBorder="1"/>
    <xf numFmtId="2" fontId="22" fillId="0" borderId="2" xfId="0" applyNumberFormat="1" applyFont="1" applyBorder="1" applyAlignment="1">
      <alignment horizontal="center" vertical="center"/>
    </xf>
    <xf numFmtId="2" fontId="22" fillId="2" borderId="2" xfId="0" applyNumberFormat="1" applyFont="1" applyFill="1" applyBorder="1"/>
    <xf numFmtId="0" fontId="21" fillId="0" borderId="3" xfId="0" applyFont="1" applyBorder="1" applyAlignment="1">
      <alignment horizontal="left" vertical="center"/>
    </xf>
    <xf numFmtId="0" fontId="21" fillId="0" borderId="3" xfId="0" applyFont="1" applyBorder="1"/>
    <xf numFmtId="2" fontId="22" fillId="0" borderId="3" xfId="0" applyNumberFormat="1" applyFont="1" applyBorder="1" applyAlignment="1">
      <alignment horizontal="center" vertical="center"/>
    </xf>
    <xf numFmtId="0" fontId="23" fillId="10" borderId="8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2" fillId="10" borderId="8" xfId="0" applyFont="1" applyFill="1" applyBorder="1" applyAlignment="1">
      <alignment horizontal="center" vertical="center"/>
    </xf>
    <xf numFmtId="0" fontId="22" fillId="4" borderId="8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10" borderId="8" xfId="0" applyFont="1" applyFill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4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/>
    <xf numFmtId="0" fontId="2" fillId="0" borderId="0" xfId="0" applyFont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2578125" defaultRowHeight="15" customHeight="1"/>
  <cols>
    <col min="1" max="1" width="38.7109375" customWidth="1"/>
    <col min="2" max="2" width="10.5703125" customWidth="1"/>
    <col min="3" max="3" width="12" customWidth="1"/>
    <col min="4" max="4" width="13.85546875" customWidth="1"/>
    <col min="5" max="5" width="13.28515625" customWidth="1"/>
    <col min="6" max="6" width="10.7109375" customWidth="1"/>
    <col min="7" max="7" width="11.140625" customWidth="1"/>
    <col min="8" max="10" width="10.5703125" customWidth="1"/>
    <col min="11" max="12" width="9.140625" customWidth="1"/>
    <col min="13" max="13" width="10" customWidth="1"/>
    <col min="14" max="18" width="9.140625" customWidth="1"/>
    <col min="19" max="26" width="8.7109375" customWidth="1"/>
  </cols>
  <sheetData>
    <row r="1" spans="1:26" ht="18.75" customHeight="1">
      <c r="A1" s="8"/>
      <c r="B1" s="105"/>
      <c r="C1" s="106"/>
      <c r="D1" s="106"/>
      <c r="E1" s="106"/>
      <c r="F1" s="106"/>
      <c r="G1" s="10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>
      <c r="A4" s="16" t="s">
        <v>20</v>
      </c>
      <c r="B4" s="17" t="s">
        <v>21</v>
      </c>
      <c r="C4" s="17" t="s">
        <v>22</v>
      </c>
      <c r="D4" s="17" t="s">
        <v>23</v>
      </c>
      <c r="E4" s="17" t="s">
        <v>24</v>
      </c>
      <c r="F4" s="17" t="s">
        <v>25</v>
      </c>
      <c r="G4" s="17" t="s">
        <v>17</v>
      </c>
      <c r="H4" s="17" t="s">
        <v>10</v>
      </c>
      <c r="I4" s="17" t="s">
        <v>12</v>
      </c>
      <c r="J4" s="17" t="s">
        <v>19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>
      <c r="A5" s="18" t="s">
        <v>8</v>
      </c>
      <c r="B5" s="19"/>
      <c r="C5" s="19"/>
      <c r="D5" s="20"/>
      <c r="E5" s="19"/>
      <c r="F5" s="19"/>
      <c r="G5" s="19"/>
      <c r="H5" s="19"/>
      <c r="I5" s="19">
        <f>3</f>
        <v>3</v>
      </c>
      <c r="J5" s="21">
        <f t="shared" ref="J5:J11" si="0">SUM(B5:I5)</f>
        <v>3</v>
      </c>
      <c r="K5" s="22"/>
      <c r="L5" s="22"/>
      <c r="M5" s="23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>
      <c r="A6" s="24" t="s">
        <v>26</v>
      </c>
      <c r="B6" s="19">
        <f>108.75+25.5</f>
        <v>134.25</v>
      </c>
      <c r="C6" s="19">
        <f>16</f>
        <v>16</v>
      </c>
      <c r="D6" s="20">
        <v>8</v>
      </c>
      <c r="E6" s="19">
        <f>81.5+8</f>
        <v>89.5</v>
      </c>
      <c r="F6" s="25">
        <f>32</f>
        <v>32</v>
      </c>
      <c r="G6" s="20"/>
      <c r="H6" s="26">
        <f>124.5+4</f>
        <v>128.5</v>
      </c>
      <c r="I6" s="25">
        <f>56+23</f>
        <v>79</v>
      </c>
      <c r="J6" s="21">
        <f t="shared" si="0"/>
        <v>487.25</v>
      </c>
      <c r="K6" s="27" t="s">
        <v>27</v>
      </c>
      <c r="L6" s="27"/>
      <c r="M6" s="23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>
      <c r="A7" s="24" t="s">
        <v>28</v>
      </c>
      <c r="B7" s="19">
        <f>17.75+53.75</f>
        <v>71.5</v>
      </c>
      <c r="C7" s="19">
        <f>86+81.5</f>
        <v>167.5</v>
      </c>
      <c r="D7" s="20">
        <f>24</f>
        <v>24</v>
      </c>
      <c r="E7" s="19"/>
      <c r="F7" s="25">
        <f>62+66</f>
        <v>128</v>
      </c>
      <c r="G7" s="19"/>
      <c r="H7" s="20">
        <f>66</f>
        <v>66</v>
      </c>
      <c r="I7" s="25">
        <f>44+37</f>
        <v>81</v>
      </c>
      <c r="J7" s="21">
        <f t="shared" si="0"/>
        <v>538</v>
      </c>
      <c r="K7" s="27" t="s">
        <v>27</v>
      </c>
      <c r="L7" s="27"/>
      <c r="M7" s="23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>
      <c r="A8" s="24" t="s">
        <v>29</v>
      </c>
      <c r="B8" s="19">
        <v>4</v>
      </c>
      <c r="C8" s="19"/>
      <c r="D8" s="20">
        <f>8+4</f>
        <v>12</v>
      </c>
      <c r="E8" s="19"/>
      <c r="F8" s="25">
        <f>8</f>
        <v>8</v>
      </c>
      <c r="G8" s="20"/>
      <c r="H8" s="19">
        <f>4</f>
        <v>4</v>
      </c>
      <c r="I8" s="19">
        <f>5</f>
        <v>5</v>
      </c>
      <c r="J8" s="21">
        <f t="shared" si="0"/>
        <v>33</v>
      </c>
      <c r="K8" s="22" t="s">
        <v>27</v>
      </c>
      <c r="L8" s="22"/>
      <c r="M8" s="23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>
      <c r="A9" s="24" t="s">
        <v>30</v>
      </c>
      <c r="B9" s="19"/>
      <c r="C9" s="19">
        <f>8</f>
        <v>8</v>
      </c>
      <c r="D9" s="20">
        <f>26+4</f>
        <v>30</v>
      </c>
      <c r="E9" s="20">
        <v>34</v>
      </c>
      <c r="F9" s="28"/>
      <c r="G9" s="20"/>
      <c r="H9" s="20"/>
      <c r="I9" s="20"/>
      <c r="J9" s="21">
        <f t="shared" si="0"/>
        <v>72</v>
      </c>
      <c r="K9" s="27" t="s">
        <v>27</v>
      </c>
      <c r="L9" s="27"/>
      <c r="M9" s="23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>
      <c r="A10" s="24" t="s">
        <v>31</v>
      </c>
      <c r="B10" s="19"/>
      <c r="C10" s="19"/>
      <c r="D10" s="29">
        <f>81+26.5</f>
        <v>107.5</v>
      </c>
      <c r="E10" s="19">
        <f>2.5+68.5</f>
        <v>71</v>
      </c>
      <c r="F10" s="20"/>
      <c r="G10" s="20"/>
      <c r="H10" s="19"/>
      <c r="I10" s="19"/>
      <c r="J10" s="21">
        <f t="shared" si="0"/>
        <v>178.5</v>
      </c>
      <c r="K10" s="22" t="s">
        <v>27</v>
      </c>
      <c r="L10" s="22"/>
      <c r="M10" s="23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>
      <c r="A11" s="24" t="s">
        <v>32</v>
      </c>
      <c r="B11" s="19"/>
      <c r="C11" s="19"/>
      <c r="D11" s="19"/>
      <c r="E11" s="19"/>
      <c r="F11" s="19"/>
      <c r="G11" s="19">
        <f>88+64</f>
        <v>152</v>
      </c>
      <c r="H11" s="19"/>
      <c r="I11" s="19"/>
      <c r="J11" s="21">
        <f t="shared" si="0"/>
        <v>152</v>
      </c>
      <c r="K11" s="22" t="s">
        <v>27</v>
      </c>
      <c r="L11" s="22"/>
      <c r="M11" s="30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>
      <c r="A12" s="31"/>
      <c r="B12" s="19"/>
      <c r="C12" s="19"/>
      <c r="D12" s="19"/>
      <c r="E12" s="19"/>
      <c r="F12" s="19"/>
      <c r="G12" s="19"/>
      <c r="H12" s="19"/>
      <c r="I12" s="19"/>
      <c r="J12" s="19">
        <f>SUM(J5:J11)</f>
        <v>1463.75</v>
      </c>
      <c r="K12" s="22"/>
      <c r="L12" s="22"/>
      <c r="M12" s="30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>
      <c r="A13" s="32"/>
      <c r="B13" s="22"/>
      <c r="C13" s="22"/>
      <c r="D13" s="22"/>
      <c r="E13" s="22"/>
      <c r="F13" s="22"/>
      <c r="G13" s="22"/>
      <c r="H13" s="22"/>
      <c r="I13" s="30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>
      <c r="A14" s="8"/>
      <c r="B14" s="8"/>
      <c r="C14" s="8"/>
      <c r="D14" s="8"/>
      <c r="E14" s="8"/>
      <c r="F14" s="8"/>
      <c r="G14" s="8"/>
      <c r="H14" s="8"/>
      <c r="I14" s="30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>
      <c r="A15" s="33" t="s">
        <v>20</v>
      </c>
      <c r="B15" s="33" t="s">
        <v>33</v>
      </c>
      <c r="C15" s="33" t="s">
        <v>34</v>
      </c>
      <c r="D15" s="33" t="s">
        <v>35</v>
      </c>
      <c r="E15" s="33" t="s">
        <v>18</v>
      </c>
      <c r="F15" s="33" t="s">
        <v>36</v>
      </c>
      <c r="G15" s="33" t="s">
        <v>37</v>
      </c>
      <c r="H15" s="33" t="s">
        <v>38</v>
      </c>
      <c r="I15" s="33" t="s">
        <v>39</v>
      </c>
      <c r="J15" s="34" t="s">
        <v>19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>
      <c r="A16" s="18" t="s">
        <v>8</v>
      </c>
      <c r="B16" s="35">
        <f>2</f>
        <v>2</v>
      </c>
      <c r="C16" s="35"/>
      <c r="D16" s="35">
        <f>24</f>
        <v>24</v>
      </c>
      <c r="E16" s="35">
        <f>8</f>
        <v>8</v>
      </c>
      <c r="F16" s="35">
        <f>69</f>
        <v>69</v>
      </c>
      <c r="G16" s="35">
        <f>32</f>
        <v>32</v>
      </c>
      <c r="H16" s="35">
        <f>26</f>
        <v>26</v>
      </c>
      <c r="I16" s="35">
        <f>63+8</f>
        <v>71</v>
      </c>
      <c r="J16" s="7">
        <f t="shared" ref="J16:J22" si="1">SUM(B16:I16)</f>
        <v>232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>
      <c r="A17" s="7" t="s">
        <v>40</v>
      </c>
      <c r="B17" s="35"/>
      <c r="C17" s="35"/>
      <c r="D17" s="35"/>
      <c r="E17" s="35">
        <f>41.5</f>
        <v>41.5</v>
      </c>
      <c r="F17" s="35"/>
      <c r="G17" s="35"/>
      <c r="H17" s="35">
        <f>56+36</f>
        <v>92</v>
      </c>
      <c r="I17" s="35">
        <f>4+56</f>
        <v>60</v>
      </c>
      <c r="J17" s="7">
        <f t="shared" si="1"/>
        <v>193.5</v>
      </c>
      <c r="K17" s="8" t="s">
        <v>27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>
      <c r="A18" s="7" t="s">
        <v>41</v>
      </c>
      <c r="B18" s="35">
        <f>8</f>
        <v>8</v>
      </c>
      <c r="C18" s="35"/>
      <c r="D18" s="35">
        <f>40</f>
        <v>40</v>
      </c>
      <c r="E18" s="35">
        <f>26.5+31</f>
        <v>57.5</v>
      </c>
      <c r="F18" s="35">
        <f>27+56</f>
        <v>83</v>
      </c>
      <c r="G18" s="35"/>
      <c r="H18" s="35">
        <f>12+28</f>
        <v>40</v>
      </c>
      <c r="I18" s="35">
        <f>25</f>
        <v>25</v>
      </c>
      <c r="J18" s="7">
        <f t="shared" si="1"/>
        <v>253.5</v>
      </c>
      <c r="K18" s="8" t="s">
        <v>27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>
      <c r="A19" s="24" t="s">
        <v>42</v>
      </c>
      <c r="B19" s="35"/>
      <c r="C19" s="35"/>
      <c r="D19" s="35"/>
      <c r="E19" s="35"/>
      <c r="F19" s="35"/>
      <c r="G19" s="35">
        <f>17+80</f>
        <v>97</v>
      </c>
      <c r="H19" s="35"/>
      <c r="I19" s="35"/>
      <c r="J19" s="7">
        <f t="shared" si="1"/>
        <v>97</v>
      </c>
      <c r="K19" s="8" t="s">
        <v>27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>
      <c r="A20" s="24" t="s">
        <v>43</v>
      </c>
      <c r="B20" s="35">
        <f>47+44</f>
        <v>91</v>
      </c>
      <c r="C20" s="35">
        <f>96+64</f>
        <v>160</v>
      </c>
      <c r="D20" s="35">
        <f>85.5</f>
        <v>85.5</v>
      </c>
      <c r="E20" s="35"/>
      <c r="F20" s="35"/>
      <c r="G20" s="35"/>
      <c r="H20" s="35"/>
      <c r="I20" s="35"/>
      <c r="J20" s="7">
        <f t="shared" si="1"/>
        <v>336.5</v>
      </c>
      <c r="K20" s="8" t="s">
        <v>27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>
      <c r="A21" s="24" t="s">
        <v>44</v>
      </c>
      <c r="B21" s="35"/>
      <c r="C21" s="35"/>
      <c r="D21" s="35"/>
      <c r="E21" s="35">
        <f>29.5+25</f>
        <v>54.5</v>
      </c>
      <c r="F21" s="35"/>
      <c r="G21" s="35"/>
      <c r="H21" s="35"/>
      <c r="I21" s="35"/>
      <c r="J21" s="7">
        <f t="shared" si="1"/>
        <v>54.5</v>
      </c>
      <c r="K21" s="8" t="s">
        <v>27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>
      <c r="A22" s="7" t="s">
        <v>45</v>
      </c>
      <c r="B22" s="35">
        <f>39</f>
        <v>39</v>
      </c>
      <c r="C22" s="7"/>
      <c r="D22" s="7"/>
      <c r="E22" s="7"/>
      <c r="F22" s="7"/>
      <c r="G22" s="7"/>
      <c r="H22" s="7"/>
      <c r="I22" s="7"/>
      <c r="J22" s="7">
        <f t="shared" si="1"/>
        <v>39</v>
      </c>
      <c r="K22" s="8" t="s">
        <v>27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>
      <c r="A23" s="8"/>
      <c r="B23" s="8"/>
      <c r="C23" s="8"/>
      <c r="D23" s="8"/>
      <c r="E23" s="8"/>
      <c r="F23" s="8"/>
      <c r="G23" s="8"/>
      <c r="H23" s="8"/>
      <c r="I23" s="8"/>
      <c r="J23" s="36">
        <f>SUM(J16:J22)</f>
        <v>1206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">
    <mergeCell ref="B1:G1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/>
  <cols>
    <col min="1" max="1" width="43.28515625" customWidth="1"/>
    <col min="2" max="2" width="10.5703125" customWidth="1"/>
    <col min="3" max="3" width="12" customWidth="1"/>
    <col min="4" max="4" width="13.85546875" customWidth="1"/>
    <col min="5" max="5" width="13.28515625" customWidth="1"/>
    <col min="6" max="6" width="10.7109375" customWidth="1"/>
    <col min="7" max="7" width="11.140625" customWidth="1"/>
    <col min="8" max="10" width="10.5703125" customWidth="1"/>
    <col min="11" max="12" width="9.140625" customWidth="1"/>
    <col min="13" max="13" width="10" customWidth="1"/>
    <col min="14" max="18" width="9.140625" customWidth="1"/>
    <col min="19" max="26" width="8.7109375" customWidth="1"/>
  </cols>
  <sheetData>
    <row r="1" spans="1:26" ht="18.75" customHeight="1">
      <c r="A1" s="8"/>
      <c r="B1" s="105"/>
      <c r="C1" s="106"/>
      <c r="D1" s="106"/>
      <c r="E1" s="106"/>
      <c r="F1" s="106"/>
      <c r="G1" s="10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>
      <c r="A4" s="16" t="s">
        <v>20</v>
      </c>
      <c r="B4" s="17" t="s">
        <v>21</v>
      </c>
      <c r="C4" s="17" t="s">
        <v>22</v>
      </c>
      <c r="D4" s="17" t="s">
        <v>23</v>
      </c>
      <c r="E4" s="17" t="s">
        <v>24</v>
      </c>
      <c r="F4" s="17" t="s">
        <v>25</v>
      </c>
      <c r="G4" s="17" t="s">
        <v>17</v>
      </c>
      <c r="H4" s="17" t="s">
        <v>10</v>
      </c>
      <c r="I4" s="17" t="s">
        <v>12</v>
      </c>
      <c r="J4" s="17" t="s">
        <v>19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>
      <c r="A5" s="37" t="s">
        <v>8</v>
      </c>
      <c r="B5" s="19">
        <f>72</f>
        <v>72</v>
      </c>
      <c r="C5" s="19">
        <f>16</f>
        <v>16</v>
      </c>
      <c r="D5" s="20">
        <v>54</v>
      </c>
      <c r="E5" s="19"/>
      <c r="F5" s="38">
        <f>56+45</f>
        <v>101</v>
      </c>
      <c r="G5" s="19">
        <f>96</f>
        <v>96</v>
      </c>
      <c r="H5" s="19">
        <f>43.5+40</f>
        <v>83.5</v>
      </c>
      <c r="I5" s="19">
        <f>26.5+26</f>
        <v>52.5</v>
      </c>
      <c r="J5" s="19">
        <f t="shared" ref="J5:J15" si="0">SUM(B5:I5)</f>
        <v>475</v>
      </c>
      <c r="K5" s="22"/>
      <c r="L5" s="22"/>
      <c r="M5" s="23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>
      <c r="A6" s="39" t="s">
        <v>30</v>
      </c>
      <c r="B6" s="19"/>
      <c r="C6" s="19">
        <f>24+41.5</f>
        <v>65.5</v>
      </c>
      <c r="D6" s="20">
        <f>12+29</f>
        <v>41</v>
      </c>
      <c r="E6" s="19">
        <f>38.5+44</f>
        <v>82.5</v>
      </c>
      <c r="F6" s="25"/>
      <c r="G6" s="20"/>
      <c r="H6" s="26"/>
      <c r="I6" s="20"/>
      <c r="J6" s="19">
        <f t="shared" si="0"/>
        <v>189</v>
      </c>
      <c r="K6" s="27"/>
      <c r="L6" s="27"/>
      <c r="M6" s="23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>
      <c r="A7" s="40" t="s">
        <v>28</v>
      </c>
      <c r="B7" s="6"/>
      <c r="C7" s="41">
        <f>32.5</f>
        <v>32.5</v>
      </c>
      <c r="D7" s="9">
        <f>72</f>
        <v>72</v>
      </c>
      <c r="E7" s="41">
        <v>29</v>
      </c>
      <c r="F7" s="42"/>
      <c r="G7" s="6"/>
      <c r="H7" s="9"/>
      <c r="I7" s="9"/>
      <c r="J7" s="6">
        <f t="shared" si="0"/>
        <v>133.5</v>
      </c>
      <c r="K7" s="43"/>
      <c r="L7" s="43"/>
      <c r="M7" s="44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1:26">
      <c r="A8" s="39" t="s">
        <v>46</v>
      </c>
      <c r="B8" s="19"/>
      <c r="C8" s="19">
        <v>42.25</v>
      </c>
      <c r="D8" s="20"/>
      <c r="E8" s="19">
        <f>55.5</f>
        <v>55.5</v>
      </c>
      <c r="F8" s="26">
        <f>87.5</f>
        <v>87.5</v>
      </c>
      <c r="G8" s="20"/>
      <c r="H8" s="19">
        <f>63</f>
        <v>63</v>
      </c>
      <c r="I8" s="38">
        <v>24.5</v>
      </c>
      <c r="J8" s="19">
        <f t="shared" si="0"/>
        <v>272.75</v>
      </c>
      <c r="K8" s="22"/>
      <c r="L8" s="22"/>
      <c r="M8" s="23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>
      <c r="A9" s="39" t="s">
        <v>29</v>
      </c>
      <c r="B9" s="19">
        <f>16</f>
        <v>16</v>
      </c>
      <c r="C9" s="38"/>
      <c r="D9" s="20"/>
      <c r="E9" s="20"/>
      <c r="F9" s="28"/>
      <c r="G9" s="20"/>
      <c r="H9" s="20"/>
      <c r="I9" s="20">
        <v>2</v>
      </c>
      <c r="J9" s="19">
        <f t="shared" si="0"/>
        <v>18</v>
      </c>
      <c r="K9" s="27"/>
      <c r="L9" s="27"/>
      <c r="M9" s="23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>
      <c r="A10" s="39" t="s">
        <v>32</v>
      </c>
      <c r="B10" s="19">
        <f>40</f>
        <v>40</v>
      </c>
      <c r="C10" s="19"/>
      <c r="D10" s="29"/>
      <c r="E10" s="19"/>
      <c r="F10" s="20"/>
      <c r="G10" s="20">
        <f>56.5</f>
        <v>56.5</v>
      </c>
      <c r="H10" s="19"/>
      <c r="I10" s="19"/>
      <c r="J10" s="19">
        <f t="shared" si="0"/>
        <v>96.5</v>
      </c>
      <c r="K10" s="22">
        <f>J10+H23</f>
        <v>102.5</v>
      </c>
      <c r="L10" s="22"/>
      <c r="M10" s="23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>
      <c r="A11" s="39" t="s">
        <v>47</v>
      </c>
      <c r="B11" s="19">
        <v>23.75</v>
      </c>
      <c r="C11" s="19"/>
      <c r="D11" s="19"/>
      <c r="E11" s="19"/>
      <c r="F11" s="19"/>
      <c r="G11" s="19"/>
      <c r="H11" s="19"/>
      <c r="I11" s="19">
        <v>4</v>
      </c>
      <c r="J11" s="19">
        <f t="shared" si="0"/>
        <v>27.75</v>
      </c>
      <c r="K11" s="22"/>
      <c r="L11" s="22"/>
      <c r="M11" s="30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>
      <c r="A12" s="39" t="s">
        <v>31</v>
      </c>
      <c r="B12" s="19">
        <f>8</f>
        <v>8</v>
      </c>
      <c r="C12" s="19"/>
      <c r="D12" s="19">
        <v>13</v>
      </c>
      <c r="E12" s="19"/>
      <c r="F12" s="19"/>
      <c r="G12" s="19">
        <f>12</f>
        <v>12</v>
      </c>
      <c r="H12" s="19"/>
      <c r="I12" s="19">
        <v>5</v>
      </c>
      <c r="J12" s="19">
        <f t="shared" si="0"/>
        <v>38</v>
      </c>
      <c r="K12" s="22"/>
      <c r="L12" s="22"/>
      <c r="M12" s="30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>
      <c r="A13" s="39" t="s">
        <v>26</v>
      </c>
      <c r="B13" s="19"/>
      <c r="C13" s="19"/>
      <c r="D13" s="19"/>
      <c r="E13" s="19"/>
      <c r="F13" s="19"/>
      <c r="G13" s="19"/>
      <c r="H13" s="19"/>
      <c r="I13" s="35">
        <f>2</f>
        <v>2</v>
      </c>
      <c r="J13" s="19">
        <f t="shared" si="0"/>
        <v>2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>
      <c r="A14" s="39" t="s">
        <v>48</v>
      </c>
      <c r="B14" s="19"/>
      <c r="C14" s="19"/>
      <c r="D14" s="19"/>
      <c r="E14" s="19"/>
      <c r="F14" s="19"/>
      <c r="G14" s="19"/>
      <c r="H14" s="19"/>
      <c r="I14" s="35">
        <f>11+25</f>
        <v>36</v>
      </c>
      <c r="J14" s="19">
        <f t="shared" si="0"/>
        <v>36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>
      <c r="A15" s="39" t="s">
        <v>49</v>
      </c>
      <c r="B15" s="19"/>
      <c r="C15" s="19"/>
      <c r="D15" s="19"/>
      <c r="E15" s="19"/>
      <c r="F15" s="19"/>
      <c r="G15" s="19"/>
      <c r="H15" s="19"/>
      <c r="I15" s="35">
        <v>7</v>
      </c>
      <c r="J15" s="19">
        <f t="shared" si="0"/>
        <v>7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>
      <c r="A16" s="46"/>
      <c r="B16" s="22"/>
      <c r="C16" s="22"/>
      <c r="D16" s="22"/>
      <c r="E16" s="22"/>
      <c r="F16" s="22"/>
      <c r="G16" s="22"/>
      <c r="H16" s="22"/>
      <c r="I16" s="30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>
      <c r="A17" s="8"/>
      <c r="B17" s="8"/>
      <c r="C17" s="8"/>
      <c r="D17" s="8"/>
      <c r="E17" s="8"/>
      <c r="F17" s="8"/>
      <c r="G17" s="8"/>
      <c r="H17" s="8"/>
      <c r="I17" s="30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>
      <c r="A18" s="16" t="s">
        <v>20</v>
      </c>
      <c r="B18" s="16" t="s">
        <v>34</v>
      </c>
      <c r="C18" s="16" t="s">
        <v>37</v>
      </c>
      <c r="D18" s="16" t="s">
        <v>38</v>
      </c>
      <c r="E18" s="16" t="s">
        <v>39</v>
      </c>
      <c r="F18" s="16" t="s">
        <v>36</v>
      </c>
      <c r="G18" s="16" t="s">
        <v>18</v>
      </c>
      <c r="H18" s="16" t="s">
        <v>50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>
      <c r="A19" s="18" t="s">
        <v>8</v>
      </c>
      <c r="B19" s="35">
        <f>7.75+71.65</f>
        <v>79.400000000000006</v>
      </c>
      <c r="C19" s="35"/>
      <c r="D19" s="35">
        <v>10</v>
      </c>
      <c r="E19" s="35">
        <v>28</v>
      </c>
      <c r="F19" s="35">
        <f>104</f>
        <v>104</v>
      </c>
      <c r="G19" s="35">
        <v>74</v>
      </c>
      <c r="H19" s="35">
        <f t="shared" ref="H19:H24" si="1">SUM(B19:G19)</f>
        <v>295.39999999999998</v>
      </c>
      <c r="I19" s="47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>
      <c r="A20" s="48" t="s">
        <v>48</v>
      </c>
      <c r="B20" s="49">
        <f>50+33.5</f>
        <v>83.5</v>
      </c>
      <c r="C20" s="49">
        <f>56+88</f>
        <v>144</v>
      </c>
      <c r="D20" s="49"/>
      <c r="E20" s="49">
        <f>56+68</f>
        <v>124</v>
      </c>
      <c r="F20" s="49">
        <f>41</f>
        <v>41</v>
      </c>
      <c r="G20" s="49">
        <v>30</v>
      </c>
      <c r="H20" s="49">
        <f t="shared" si="1"/>
        <v>422.5</v>
      </c>
      <c r="I20" s="50">
        <f>H20+J14</f>
        <v>458.5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24" t="s">
        <v>51</v>
      </c>
      <c r="B21" s="35"/>
      <c r="C21" s="35"/>
      <c r="D21" s="35">
        <f>24+45.5</f>
        <v>69.5</v>
      </c>
      <c r="E21" s="35"/>
      <c r="F21" s="35"/>
      <c r="G21" s="35"/>
      <c r="H21" s="35">
        <f t="shared" si="1"/>
        <v>69.5</v>
      </c>
      <c r="I21" s="47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>
      <c r="A22" s="24" t="s">
        <v>52</v>
      </c>
      <c r="B22" s="35"/>
      <c r="C22" s="35"/>
      <c r="D22" s="35">
        <f>30+41</f>
        <v>71</v>
      </c>
      <c r="E22" s="35"/>
      <c r="F22" s="35"/>
      <c r="G22" s="35"/>
      <c r="H22" s="35">
        <f t="shared" si="1"/>
        <v>71</v>
      </c>
      <c r="I22" s="47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>
      <c r="A23" s="39" t="s">
        <v>32</v>
      </c>
      <c r="B23" s="35"/>
      <c r="C23" s="35"/>
      <c r="D23" s="35"/>
      <c r="E23" s="35"/>
      <c r="F23" s="35">
        <v>6</v>
      </c>
      <c r="G23" s="35"/>
      <c r="H23" s="35">
        <f t="shared" si="1"/>
        <v>6</v>
      </c>
      <c r="I23" s="47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>
      <c r="A24" s="24" t="s">
        <v>40</v>
      </c>
      <c r="B24" s="35"/>
      <c r="C24" s="35"/>
      <c r="D24" s="35"/>
      <c r="E24" s="35"/>
      <c r="F24" s="35"/>
      <c r="G24" s="35">
        <f>16.5+9</f>
        <v>25.5</v>
      </c>
      <c r="H24" s="35">
        <f t="shared" si="1"/>
        <v>25.5</v>
      </c>
      <c r="I24" s="47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>
      <c r="A25" s="46"/>
      <c r="B25" s="47"/>
      <c r="C25" s="47"/>
      <c r="D25" s="47"/>
      <c r="E25" s="47"/>
      <c r="F25" s="47"/>
      <c r="G25" s="47"/>
      <c r="H25" s="47"/>
      <c r="I25" s="47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>
      <c r="A26" s="46"/>
      <c r="B26" s="47"/>
      <c r="C26" s="47"/>
      <c r="D26" s="47"/>
      <c r="E26" s="47"/>
      <c r="F26" s="47"/>
      <c r="G26" s="47"/>
      <c r="H26" s="47"/>
      <c r="I26" s="47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>
      <c r="A27" s="46"/>
      <c r="B27" s="47"/>
      <c r="C27" s="47"/>
      <c r="D27" s="47"/>
      <c r="E27" s="47"/>
      <c r="F27" s="47"/>
      <c r="G27" s="47"/>
      <c r="H27" s="47"/>
      <c r="I27" s="47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>
      <c r="A28" s="8"/>
      <c r="B28" s="8"/>
      <c r="C28" s="8"/>
      <c r="D28" s="8"/>
      <c r="E28" s="8"/>
      <c r="F28" s="8"/>
      <c r="G28" s="8"/>
      <c r="H28" s="8"/>
      <c r="I28" s="47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">
    <mergeCell ref="B1:G1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2578125" defaultRowHeight="15" customHeight="1"/>
  <cols>
    <col min="1" max="1" width="43.28515625" customWidth="1"/>
    <col min="2" max="2" width="10.5703125" customWidth="1"/>
    <col min="3" max="3" width="12" customWidth="1"/>
    <col min="4" max="4" width="13.85546875" customWidth="1"/>
    <col min="5" max="5" width="13.28515625" customWidth="1"/>
    <col min="6" max="6" width="10.7109375" customWidth="1"/>
    <col min="7" max="7" width="11.140625" customWidth="1"/>
    <col min="8" max="11" width="10.5703125" customWidth="1"/>
    <col min="12" max="13" width="9.140625" customWidth="1"/>
    <col min="14" max="14" width="10" customWidth="1"/>
    <col min="15" max="19" width="9.140625" customWidth="1"/>
    <col min="20" max="26" width="8.7109375" customWidth="1"/>
  </cols>
  <sheetData>
    <row r="1" spans="1:26" ht="18.75" customHeight="1">
      <c r="A1" s="8"/>
      <c r="B1" s="105"/>
      <c r="C1" s="106"/>
      <c r="D1" s="106"/>
      <c r="E1" s="106"/>
      <c r="F1" s="106"/>
      <c r="G1" s="10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>
      <c r="A4" s="16" t="s">
        <v>20</v>
      </c>
      <c r="B4" s="17" t="s">
        <v>21</v>
      </c>
      <c r="C4" s="17" t="s">
        <v>22</v>
      </c>
      <c r="D4" s="17" t="s">
        <v>23</v>
      </c>
      <c r="E4" s="17" t="s">
        <v>24</v>
      </c>
      <c r="F4" s="17" t="s">
        <v>25</v>
      </c>
      <c r="G4" s="17" t="s">
        <v>17</v>
      </c>
      <c r="H4" s="17" t="s">
        <v>10</v>
      </c>
      <c r="I4" s="17" t="s">
        <v>12</v>
      </c>
      <c r="J4" s="17" t="s">
        <v>53</v>
      </c>
      <c r="K4" s="17" t="s">
        <v>19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>
      <c r="A5" s="37" t="s">
        <v>8</v>
      </c>
      <c r="B5" s="19">
        <f>103.5+58</f>
        <v>161.5</v>
      </c>
      <c r="C5" s="19"/>
      <c r="D5" s="20">
        <f>12+20</f>
        <v>32</v>
      </c>
      <c r="E5" s="19"/>
      <c r="F5" s="38">
        <f>104</f>
        <v>104</v>
      </c>
      <c r="G5" s="19">
        <f>40+61.75</f>
        <v>101.75</v>
      </c>
      <c r="H5" s="19">
        <f>104+40</f>
        <v>144</v>
      </c>
      <c r="I5" s="19">
        <f>47+20.5</f>
        <v>67.5</v>
      </c>
      <c r="J5" s="19">
        <v>24</v>
      </c>
      <c r="K5" s="19">
        <f t="shared" ref="K5:K13" si="0">SUM(B5:J5)</f>
        <v>634.75</v>
      </c>
      <c r="L5" s="22"/>
      <c r="M5" s="22"/>
      <c r="N5" s="23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>
      <c r="A6" s="24" t="s">
        <v>46</v>
      </c>
      <c r="B6" s="19"/>
      <c r="C6" s="19">
        <v>24</v>
      </c>
      <c r="D6" s="20"/>
      <c r="E6" s="19">
        <f>24</f>
        <v>24</v>
      </c>
      <c r="F6" s="25">
        <v>28</v>
      </c>
      <c r="G6" s="20"/>
      <c r="H6" s="26">
        <v>24</v>
      </c>
      <c r="I6" s="20">
        <f>31+15</f>
        <v>46</v>
      </c>
      <c r="J6" s="20"/>
      <c r="K6" s="19">
        <f t="shared" si="0"/>
        <v>146</v>
      </c>
      <c r="L6" s="27" t="s">
        <v>27</v>
      </c>
      <c r="M6" s="27"/>
      <c r="N6" s="23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>
      <c r="A7" s="40" t="s">
        <v>54</v>
      </c>
      <c r="B7" s="6"/>
      <c r="C7" s="41">
        <f>106+38.75</f>
        <v>144.75</v>
      </c>
      <c r="D7" s="9"/>
      <c r="E7" s="41">
        <f>96+41.5</f>
        <v>137.5</v>
      </c>
      <c r="F7" s="42">
        <v>27</v>
      </c>
      <c r="G7" s="6"/>
      <c r="H7" s="9">
        <v>39.5</v>
      </c>
      <c r="I7" s="9">
        <f>4+12</f>
        <v>16</v>
      </c>
      <c r="J7" s="9"/>
      <c r="K7" s="19">
        <f t="shared" si="0"/>
        <v>364.75</v>
      </c>
      <c r="L7" s="43" t="s">
        <v>27</v>
      </c>
      <c r="M7" s="43"/>
      <c r="N7" s="44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1:26">
      <c r="A8" s="24" t="s">
        <v>55</v>
      </c>
      <c r="B8" s="19"/>
      <c r="C8" s="19"/>
      <c r="D8" s="20">
        <v>76</v>
      </c>
      <c r="E8" s="19"/>
      <c r="F8" s="26"/>
      <c r="G8" s="20"/>
      <c r="H8" s="19"/>
      <c r="I8" s="38">
        <v>16</v>
      </c>
      <c r="J8" s="38"/>
      <c r="K8" s="19">
        <f t="shared" si="0"/>
        <v>92</v>
      </c>
      <c r="L8" s="22" t="s">
        <v>27</v>
      </c>
      <c r="M8" s="22"/>
      <c r="N8" s="23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>
      <c r="A9" s="24" t="s">
        <v>56</v>
      </c>
      <c r="B9" s="19"/>
      <c r="C9" s="38"/>
      <c r="D9" s="20">
        <v>16</v>
      </c>
      <c r="E9" s="20"/>
      <c r="F9" s="28"/>
      <c r="G9" s="20"/>
      <c r="H9" s="20"/>
      <c r="I9" s="20"/>
      <c r="J9" s="20"/>
      <c r="K9" s="19">
        <f t="shared" si="0"/>
        <v>16</v>
      </c>
      <c r="L9" s="27" t="s">
        <v>27</v>
      </c>
      <c r="M9" s="27"/>
      <c r="N9" s="23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>
      <c r="A10" s="24" t="s">
        <v>49</v>
      </c>
      <c r="B10" s="19"/>
      <c r="C10" s="19"/>
      <c r="D10" s="29">
        <v>26</v>
      </c>
      <c r="E10" s="19"/>
      <c r="F10" s="20"/>
      <c r="G10" s="20"/>
      <c r="H10" s="19"/>
      <c r="I10" s="19">
        <v>14.5</v>
      </c>
      <c r="J10" s="19"/>
      <c r="K10" s="19">
        <f t="shared" si="0"/>
        <v>40.5</v>
      </c>
      <c r="L10" s="22" t="s">
        <v>27</v>
      </c>
      <c r="M10" s="22"/>
      <c r="N10" s="23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>
      <c r="A11" s="24" t="s">
        <v>57</v>
      </c>
      <c r="B11" s="19"/>
      <c r="C11" s="19"/>
      <c r="D11" s="19"/>
      <c r="E11" s="19"/>
      <c r="F11" s="19"/>
      <c r="G11" s="19">
        <v>48</v>
      </c>
      <c r="H11" s="19"/>
      <c r="I11" s="19"/>
      <c r="J11" s="19"/>
      <c r="K11" s="19">
        <f t="shared" si="0"/>
        <v>48</v>
      </c>
      <c r="L11" s="22"/>
      <c r="M11" s="22"/>
      <c r="N11" s="30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>
      <c r="A12" s="51" t="s">
        <v>32</v>
      </c>
      <c r="B12" s="19"/>
      <c r="C12" s="19"/>
      <c r="D12" s="19"/>
      <c r="E12" s="19"/>
      <c r="F12" s="19"/>
      <c r="G12" s="19">
        <v>8</v>
      </c>
      <c r="H12" s="19"/>
      <c r="I12" s="19"/>
      <c r="J12" s="19"/>
      <c r="K12" s="19">
        <f t="shared" si="0"/>
        <v>8</v>
      </c>
      <c r="L12" s="22"/>
      <c r="M12" s="22"/>
      <c r="N12" s="30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>
      <c r="A13" s="46" t="s">
        <v>31</v>
      </c>
      <c r="B13" s="22"/>
      <c r="C13" s="22"/>
      <c r="D13" s="22">
        <v>8</v>
      </c>
      <c r="E13" s="22"/>
      <c r="F13" s="22"/>
      <c r="G13" s="22"/>
      <c r="H13" s="22"/>
      <c r="I13" s="22"/>
      <c r="J13" s="22"/>
      <c r="K13" s="19">
        <f t="shared" si="0"/>
        <v>8</v>
      </c>
      <c r="L13" s="22"/>
      <c r="M13" s="22"/>
      <c r="N13" s="30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>
      <c r="A14" s="46"/>
      <c r="B14" s="22"/>
      <c r="C14" s="22"/>
      <c r="D14" s="22"/>
      <c r="E14" s="22"/>
      <c r="F14" s="22"/>
      <c r="G14" s="22"/>
      <c r="H14" s="22"/>
      <c r="I14" s="30"/>
      <c r="J14" s="30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>
      <c r="A15" s="8"/>
      <c r="B15" s="8"/>
      <c r="C15" s="8"/>
      <c r="D15" s="8"/>
      <c r="E15" s="8"/>
      <c r="F15" s="8"/>
      <c r="G15" s="8"/>
      <c r="H15" s="8"/>
      <c r="I15" s="30"/>
      <c r="J15" s="30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>
      <c r="A16" s="16" t="s">
        <v>20</v>
      </c>
      <c r="B16" s="16" t="s">
        <v>34</v>
      </c>
      <c r="C16" s="16" t="s">
        <v>37</v>
      </c>
      <c r="D16" s="16" t="s">
        <v>38</v>
      </c>
      <c r="E16" s="16" t="s">
        <v>39</v>
      </c>
      <c r="F16" s="16" t="s">
        <v>36</v>
      </c>
      <c r="G16" s="16" t="s">
        <v>18</v>
      </c>
      <c r="H16" s="16" t="s">
        <v>58</v>
      </c>
      <c r="I16" s="16" t="s">
        <v>19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>
      <c r="A17" s="18" t="s">
        <v>8</v>
      </c>
      <c r="B17" s="35">
        <f>80+25</f>
        <v>105</v>
      </c>
      <c r="C17" s="35"/>
      <c r="D17" s="35">
        <f>104+15</f>
        <v>119</v>
      </c>
      <c r="E17" s="35">
        <v>8</v>
      </c>
      <c r="F17" s="35">
        <f>77+32</f>
        <v>109</v>
      </c>
      <c r="G17" s="35">
        <f>42+45</f>
        <v>87</v>
      </c>
      <c r="H17" s="35">
        <f>24</f>
        <v>24</v>
      </c>
      <c r="I17" s="35">
        <f>SUM(B17:H17)</f>
        <v>452</v>
      </c>
      <c r="J17" s="47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>
      <c r="A18" s="46" t="s">
        <v>48</v>
      </c>
      <c r="B18" s="49">
        <f>24</f>
        <v>24</v>
      </c>
      <c r="C18" s="49">
        <f>88+56</f>
        <v>144</v>
      </c>
      <c r="D18" s="49"/>
      <c r="E18" s="49">
        <f>80+56</f>
        <v>136</v>
      </c>
      <c r="F18" s="49">
        <v>28</v>
      </c>
      <c r="G18" s="49">
        <f>66.5+25</f>
        <v>91.5</v>
      </c>
      <c r="H18" s="49"/>
      <c r="I18" s="35">
        <f>SUM(B18:H18)+2</f>
        <v>425.5</v>
      </c>
      <c r="J18" s="50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46" t="s">
        <v>43</v>
      </c>
      <c r="B19" s="35">
        <v>24</v>
      </c>
      <c r="C19" s="35">
        <v>16</v>
      </c>
      <c r="D19" s="35"/>
      <c r="E19" s="35">
        <v>24</v>
      </c>
      <c r="F19" s="35"/>
      <c r="G19" s="35"/>
      <c r="H19" s="35"/>
      <c r="I19" s="35">
        <f t="shared" ref="I19:I20" si="1">SUM(B19:H19)</f>
        <v>64</v>
      </c>
      <c r="J19" s="47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>
      <c r="A20" s="46" t="s">
        <v>59</v>
      </c>
      <c r="B20" s="35"/>
      <c r="C20" s="35"/>
      <c r="D20" s="35">
        <v>52</v>
      </c>
      <c r="E20" s="35"/>
      <c r="F20" s="35"/>
      <c r="G20" s="35"/>
      <c r="H20" s="35"/>
      <c r="I20" s="35">
        <f t="shared" si="1"/>
        <v>52</v>
      </c>
      <c r="J20" s="47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>
      <c r="A21" s="47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>
      <c r="A22" s="47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>
      <c r="A23" s="46"/>
      <c r="B23" s="47"/>
      <c r="C23" s="47"/>
      <c r="D23" s="47"/>
      <c r="E23" s="47"/>
      <c r="F23" s="47"/>
      <c r="G23" s="47"/>
      <c r="H23" s="47"/>
      <c r="I23" s="47"/>
      <c r="J23" s="47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>
      <c r="A24" s="46"/>
      <c r="B24" s="47"/>
      <c r="C24" s="47"/>
      <c r="D24" s="47"/>
      <c r="E24" s="47"/>
      <c r="F24" s="47"/>
      <c r="G24" s="47"/>
      <c r="H24" s="47"/>
      <c r="I24" s="47"/>
      <c r="J24" s="47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>
      <c r="A25" s="46"/>
      <c r="B25" s="47"/>
      <c r="C25" s="47"/>
      <c r="D25" s="47"/>
      <c r="E25" s="47"/>
      <c r="F25" s="47"/>
      <c r="G25" s="47"/>
      <c r="H25" s="47"/>
      <c r="I25" s="47"/>
      <c r="J25" s="47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>
      <c r="A26" s="8"/>
      <c r="B26" s="8"/>
      <c r="C26" s="8"/>
      <c r="D26" s="8"/>
      <c r="E26" s="8"/>
      <c r="F26" s="8"/>
      <c r="G26" s="8"/>
      <c r="H26" s="8"/>
      <c r="I26" s="47"/>
      <c r="J26" s="47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">
    <mergeCell ref="B1:G1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defaultColWidth="14.42578125" defaultRowHeight="15" customHeight="1"/>
  <cols>
    <col min="1" max="1" width="43.28515625" customWidth="1"/>
    <col min="2" max="2" width="10.5703125" customWidth="1"/>
    <col min="3" max="3" width="12" customWidth="1"/>
    <col min="4" max="4" width="13.85546875" customWidth="1"/>
    <col min="5" max="5" width="13.28515625" customWidth="1"/>
    <col min="6" max="6" width="10.7109375" customWidth="1"/>
    <col min="7" max="7" width="11.140625" customWidth="1"/>
    <col min="8" max="11" width="10.5703125" customWidth="1"/>
    <col min="12" max="13" width="9.140625" customWidth="1"/>
    <col min="14" max="14" width="10" customWidth="1"/>
    <col min="15" max="19" width="9.140625" customWidth="1"/>
    <col min="20" max="26" width="8.7109375" customWidth="1"/>
  </cols>
  <sheetData>
    <row r="1" spans="1:26" ht="18.75" customHeight="1">
      <c r="A1" s="8"/>
      <c r="B1" s="105"/>
      <c r="C1" s="106"/>
      <c r="D1" s="106"/>
      <c r="E1" s="106"/>
      <c r="F1" s="106"/>
      <c r="G1" s="10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>
      <c r="A4" s="16" t="s">
        <v>20</v>
      </c>
      <c r="B4" s="4" t="s">
        <v>21</v>
      </c>
      <c r="C4" s="17" t="s">
        <v>22</v>
      </c>
      <c r="D4" s="17" t="s">
        <v>23</v>
      </c>
      <c r="E4" s="17" t="s">
        <v>24</v>
      </c>
      <c r="F4" s="4" t="s">
        <v>25</v>
      </c>
      <c r="G4" s="17" t="s">
        <v>17</v>
      </c>
      <c r="H4" s="17" t="s">
        <v>10</v>
      </c>
      <c r="I4" s="17" t="s">
        <v>12</v>
      </c>
      <c r="J4" s="17" t="s">
        <v>53</v>
      </c>
      <c r="K4" s="17" t="s">
        <v>19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>
      <c r="A5" s="37" t="s">
        <v>8</v>
      </c>
      <c r="B5" s="19">
        <f>6+40</f>
        <v>46</v>
      </c>
      <c r="C5" s="19">
        <f>2</f>
        <v>2</v>
      </c>
      <c r="D5" s="20">
        <f>5</f>
        <v>5</v>
      </c>
      <c r="E5" s="19">
        <f>2+20</f>
        <v>22</v>
      </c>
      <c r="F5" s="38">
        <f>15</f>
        <v>15</v>
      </c>
      <c r="G5" s="19">
        <f>2.25</f>
        <v>2.25</v>
      </c>
      <c r="H5" s="19">
        <f>74.5</f>
        <v>74.5</v>
      </c>
      <c r="I5" s="19">
        <f>40+18</f>
        <v>58</v>
      </c>
      <c r="J5" s="19">
        <f>104+48</f>
        <v>152</v>
      </c>
      <c r="K5" s="6">
        <f t="shared" ref="K5:K12" si="0">SUM(B5:J5)</f>
        <v>376.75</v>
      </c>
      <c r="L5" s="22"/>
      <c r="M5" s="22"/>
      <c r="N5" s="23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>
      <c r="A6" s="46" t="s">
        <v>56</v>
      </c>
      <c r="B6" s="19">
        <f>33</f>
        <v>33</v>
      </c>
      <c r="C6" s="19"/>
      <c r="D6" s="20">
        <f>26</f>
        <v>26</v>
      </c>
      <c r="E6" s="19"/>
      <c r="F6" s="25">
        <f>8</f>
        <v>8</v>
      </c>
      <c r="G6" s="20"/>
      <c r="H6" s="26">
        <f>35</f>
        <v>35</v>
      </c>
      <c r="I6" s="20">
        <v>8</v>
      </c>
      <c r="J6" s="20"/>
      <c r="K6" s="6">
        <f t="shared" si="0"/>
        <v>110</v>
      </c>
      <c r="L6" s="27"/>
      <c r="M6" s="27"/>
      <c r="N6" s="23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>
      <c r="A7" s="46" t="s">
        <v>60</v>
      </c>
      <c r="B7" s="19">
        <f>3</f>
        <v>3</v>
      </c>
      <c r="C7" s="38"/>
      <c r="D7" s="20">
        <v>13</v>
      </c>
      <c r="E7" s="38"/>
      <c r="F7" s="25"/>
      <c r="G7" s="19"/>
      <c r="H7" s="20"/>
      <c r="I7" s="20">
        <f>13</f>
        <v>13</v>
      </c>
      <c r="J7" s="20"/>
      <c r="K7" s="6">
        <f t="shared" si="0"/>
        <v>29</v>
      </c>
      <c r="L7" s="27"/>
      <c r="M7" s="27"/>
      <c r="N7" s="22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>
      <c r="A8" s="46" t="s">
        <v>57</v>
      </c>
      <c r="B8" s="19">
        <f>38</f>
        <v>38</v>
      </c>
      <c r="C8" s="19"/>
      <c r="D8" s="20">
        <f>16+30</f>
        <v>46</v>
      </c>
      <c r="E8" s="19"/>
      <c r="F8" s="26"/>
      <c r="G8" s="20">
        <f>100.5+64</f>
        <v>164.5</v>
      </c>
      <c r="H8" s="19"/>
      <c r="I8" s="38"/>
      <c r="J8" s="38"/>
      <c r="K8" s="6">
        <f t="shared" si="0"/>
        <v>248.5</v>
      </c>
      <c r="L8" s="22"/>
      <c r="M8" s="22"/>
      <c r="N8" s="23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>
      <c r="A9" s="46" t="s">
        <v>30</v>
      </c>
      <c r="B9" s="19"/>
      <c r="C9" s="38"/>
      <c r="D9" s="20">
        <f>26+16</f>
        <v>42</v>
      </c>
      <c r="E9" s="20">
        <f>4</f>
        <v>4</v>
      </c>
      <c r="F9" s="28"/>
      <c r="G9" s="20"/>
      <c r="H9" s="20"/>
      <c r="I9" s="20"/>
      <c r="J9" s="20"/>
      <c r="K9" s="6">
        <f t="shared" si="0"/>
        <v>46</v>
      </c>
      <c r="L9" s="27"/>
      <c r="M9" s="27"/>
      <c r="N9" s="23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>
      <c r="A10" s="46" t="s">
        <v>54</v>
      </c>
      <c r="B10" s="19">
        <f>8</f>
        <v>8</v>
      </c>
      <c r="C10" s="19">
        <f>139.75+16</f>
        <v>155.75</v>
      </c>
      <c r="D10" s="29">
        <v>14</v>
      </c>
      <c r="E10" s="19">
        <f>122</f>
        <v>122</v>
      </c>
      <c r="F10" s="20">
        <f>92.75+53.5</f>
        <v>146.25</v>
      </c>
      <c r="G10" s="20"/>
      <c r="H10" s="19">
        <f>4</f>
        <v>4</v>
      </c>
      <c r="I10" s="19">
        <f>36.5+18</f>
        <v>54.5</v>
      </c>
      <c r="J10" s="19">
        <f>20</f>
        <v>20</v>
      </c>
      <c r="K10" s="6">
        <f t="shared" si="0"/>
        <v>524.5</v>
      </c>
      <c r="L10" s="22"/>
      <c r="M10" s="22"/>
      <c r="N10" s="23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>
      <c r="A11" s="46" t="s">
        <v>46</v>
      </c>
      <c r="B11" s="19"/>
      <c r="C11" s="19">
        <f>40</f>
        <v>40</v>
      </c>
      <c r="D11" s="19"/>
      <c r="E11" s="19">
        <f>42.5</f>
        <v>42.5</v>
      </c>
      <c r="F11" s="19"/>
      <c r="G11" s="19"/>
      <c r="H11" s="19">
        <f>65</f>
        <v>65</v>
      </c>
      <c r="I11" s="19">
        <f>15</f>
        <v>15</v>
      </c>
      <c r="J11" s="19"/>
      <c r="K11" s="6">
        <f t="shared" si="0"/>
        <v>162.5</v>
      </c>
      <c r="L11" s="22"/>
      <c r="M11" s="22"/>
      <c r="N11" s="30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>
      <c r="A12" s="46" t="s">
        <v>61</v>
      </c>
      <c r="B12" s="19">
        <f>24</f>
        <v>24</v>
      </c>
      <c r="C12" s="19"/>
      <c r="D12" s="19"/>
      <c r="E12" s="19"/>
      <c r="F12" s="19">
        <f>17.5</f>
        <v>17.5</v>
      </c>
      <c r="G12" s="19"/>
      <c r="H12" s="19"/>
      <c r="I12" s="19">
        <v>31.5</v>
      </c>
      <c r="J12" s="19"/>
      <c r="K12" s="6">
        <f t="shared" si="0"/>
        <v>73</v>
      </c>
      <c r="L12" s="22"/>
      <c r="M12" s="22"/>
      <c r="N12" s="30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>
      <c r="A13" s="46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30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>
      <c r="A14" s="46"/>
      <c r="B14" s="22"/>
      <c r="C14" s="22"/>
      <c r="D14" s="22"/>
      <c r="E14" s="22"/>
      <c r="F14" s="22"/>
      <c r="G14" s="22"/>
      <c r="H14" s="22"/>
      <c r="I14" s="30"/>
      <c r="J14" s="30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>
      <c r="A15" s="8"/>
      <c r="B15" s="8"/>
      <c r="C15" s="8"/>
      <c r="D15" s="8"/>
      <c r="E15" s="8"/>
      <c r="F15" s="8"/>
      <c r="G15" s="8"/>
      <c r="H15" s="8"/>
      <c r="I15" s="30"/>
      <c r="J15" s="30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>
      <c r="A16" s="16" t="s">
        <v>20</v>
      </c>
      <c r="B16" s="52" t="s">
        <v>39</v>
      </c>
      <c r="C16" s="16" t="s">
        <v>34</v>
      </c>
      <c r="D16" s="16" t="s">
        <v>58</v>
      </c>
      <c r="E16" s="16" t="s">
        <v>38</v>
      </c>
      <c r="F16" s="52" t="s">
        <v>37</v>
      </c>
      <c r="G16" s="16" t="s">
        <v>36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>
      <c r="A17" s="18" t="s">
        <v>8</v>
      </c>
      <c r="B17" s="35">
        <f>3</f>
        <v>3</v>
      </c>
      <c r="C17" s="35"/>
      <c r="D17" s="35"/>
      <c r="E17" s="35">
        <f>96+64</f>
        <v>160</v>
      </c>
      <c r="F17" s="35">
        <f>36</f>
        <v>36</v>
      </c>
      <c r="G17" s="35">
        <v>4</v>
      </c>
      <c r="H17" s="50">
        <f t="shared" ref="H17:H18" si="1">SUM(B17:G17)</f>
        <v>203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>
      <c r="A18" s="24" t="s">
        <v>43</v>
      </c>
      <c r="B18" s="35">
        <f>98+64</f>
        <v>162</v>
      </c>
      <c r="C18" s="35">
        <f>96+58</f>
        <v>154</v>
      </c>
      <c r="D18" s="35">
        <f>102.75+64</f>
        <v>166.75</v>
      </c>
      <c r="E18" s="35"/>
      <c r="F18" s="35">
        <f>92+20</f>
        <v>112</v>
      </c>
      <c r="G18" s="35">
        <f>91.5+64</f>
        <v>155.5</v>
      </c>
      <c r="H18" s="50">
        <f t="shared" si="1"/>
        <v>750.25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>
      <c r="A19" s="47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>
      <c r="A20" s="47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>
      <c r="A21" s="46"/>
      <c r="B21" s="47"/>
      <c r="C21" s="47"/>
      <c r="D21" s="47"/>
      <c r="E21" s="47"/>
      <c r="F21" s="47"/>
      <c r="G21" s="47"/>
      <c r="H21" s="47"/>
      <c r="I21" s="47"/>
      <c r="J21" s="47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>
      <c r="A22" s="46"/>
      <c r="B22" s="47"/>
      <c r="C22" s="47"/>
      <c r="D22" s="47"/>
      <c r="E22" s="47"/>
      <c r="F22" s="47"/>
      <c r="G22" s="47"/>
      <c r="H22" s="47"/>
      <c r="I22" s="47"/>
      <c r="J22" s="47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>
      <c r="A23" s="46"/>
      <c r="B23" s="47"/>
      <c r="C23" s="47"/>
      <c r="D23" s="47"/>
      <c r="E23" s="47"/>
      <c r="F23" s="47"/>
      <c r="G23" s="47"/>
      <c r="H23" s="47"/>
      <c r="I23" s="47"/>
      <c r="J23" s="47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>
      <c r="A24" s="8"/>
      <c r="B24" s="8"/>
      <c r="C24" s="8"/>
      <c r="D24" s="8"/>
      <c r="E24" s="8"/>
      <c r="F24" s="8"/>
      <c r="G24" s="8"/>
      <c r="H24" s="8"/>
      <c r="I24" s="47"/>
      <c r="J24" s="47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">
    <mergeCell ref="B1:G1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4.42578125" defaultRowHeight="15" customHeight="1"/>
  <cols>
    <col min="1" max="1" width="43.28515625" customWidth="1"/>
    <col min="2" max="2" width="10.5703125" customWidth="1"/>
    <col min="3" max="3" width="12" customWidth="1"/>
    <col min="4" max="4" width="13.85546875" customWidth="1"/>
    <col min="5" max="5" width="13.28515625" customWidth="1"/>
    <col min="6" max="6" width="10.7109375" customWidth="1"/>
    <col min="7" max="7" width="11.140625" customWidth="1"/>
    <col min="8" max="10" width="10.5703125" customWidth="1"/>
    <col min="11" max="11" width="15" customWidth="1"/>
    <col min="12" max="13" width="9.140625" customWidth="1"/>
    <col min="14" max="14" width="10" customWidth="1"/>
    <col min="15" max="19" width="9.140625" customWidth="1"/>
    <col min="20" max="26" width="8.7109375" customWidth="1"/>
  </cols>
  <sheetData>
    <row r="1" spans="1:26" ht="18.75" customHeight="1">
      <c r="A1" s="8"/>
      <c r="B1" s="105"/>
      <c r="C1" s="106"/>
      <c r="D1" s="106"/>
      <c r="E1" s="106"/>
      <c r="F1" s="106"/>
      <c r="G1" s="10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>
      <c r="A4" s="16" t="s">
        <v>20</v>
      </c>
      <c r="B4" s="4" t="s">
        <v>21</v>
      </c>
      <c r="C4" s="17" t="s">
        <v>22</v>
      </c>
      <c r="D4" s="17" t="s">
        <v>23</v>
      </c>
      <c r="E4" s="17" t="s">
        <v>24</v>
      </c>
      <c r="F4" s="4" t="s">
        <v>25</v>
      </c>
      <c r="G4" s="17" t="s">
        <v>17</v>
      </c>
      <c r="H4" s="17" t="s">
        <v>10</v>
      </c>
      <c r="I4" s="17" t="s">
        <v>12</v>
      </c>
      <c r="J4" s="17" t="s">
        <v>53</v>
      </c>
      <c r="K4" s="17" t="s">
        <v>19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>
      <c r="A5" s="37" t="s">
        <v>8</v>
      </c>
      <c r="B5" s="19">
        <f>56+64</f>
        <v>120</v>
      </c>
      <c r="C5" s="19">
        <f>52+22</f>
        <v>74</v>
      </c>
      <c r="D5" s="20">
        <f>56+51</f>
        <v>107</v>
      </c>
      <c r="E5" s="19">
        <f>40+26</f>
        <v>66</v>
      </c>
      <c r="F5" s="38">
        <f>56+108</f>
        <v>164</v>
      </c>
      <c r="G5" s="19"/>
      <c r="H5" s="19">
        <f>51+63.5</f>
        <v>114.5</v>
      </c>
      <c r="I5" s="19">
        <f>36+80</f>
        <v>116</v>
      </c>
      <c r="J5" s="19">
        <f>48+48</f>
        <v>96</v>
      </c>
      <c r="K5" s="41">
        <f t="shared" ref="K5:K9" si="0">SUM(B5:J5)</f>
        <v>857.5</v>
      </c>
      <c r="L5" s="22" t="s">
        <v>27</v>
      </c>
      <c r="M5" s="22"/>
      <c r="N5" s="23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>
      <c r="A6" s="46" t="s">
        <v>30</v>
      </c>
      <c r="B6" s="19">
        <v>16</v>
      </c>
      <c r="C6" s="19">
        <v>66</v>
      </c>
      <c r="D6" s="20">
        <v>58</v>
      </c>
      <c r="E6" s="19">
        <v>40</v>
      </c>
      <c r="F6" s="25"/>
      <c r="G6" s="20"/>
      <c r="H6" s="26">
        <f>23</f>
        <v>23</v>
      </c>
      <c r="I6" s="20">
        <f>8.5</f>
        <v>8.5</v>
      </c>
      <c r="J6" s="20">
        <v>27.5</v>
      </c>
      <c r="K6" s="41">
        <f t="shared" si="0"/>
        <v>239</v>
      </c>
      <c r="L6" s="27" t="s">
        <v>27</v>
      </c>
      <c r="M6" s="27"/>
      <c r="N6" s="23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>
      <c r="A7" s="46" t="s">
        <v>62</v>
      </c>
      <c r="B7" s="19">
        <v>22.75</v>
      </c>
      <c r="C7" s="38">
        <v>35.5</v>
      </c>
      <c r="D7" s="20">
        <v>16</v>
      </c>
      <c r="E7" s="38">
        <v>32</v>
      </c>
      <c r="F7" s="25"/>
      <c r="G7" s="19"/>
      <c r="H7" s="20">
        <v>24</v>
      </c>
      <c r="I7" s="20">
        <v>4</v>
      </c>
      <c r="J7" s="20"/>
      <c r="K7" s="41">
        <f t="shared" si="0"/>
        <v>134.25</v>
      </c>
      <c r="L7" s="27" t="s">
        <v>27</v>
      </c>
      <c r="M7" s="27"/>
      <c r="N7" s="22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>
      <c r="A8" s="46" t="s">
        <v>63</v>
      </c>
      <c r="B8" s="19"/>
      <c r="C8" s="19">
        <v>2</v>
      </c>
      <c r="D8" s="20"/>
      <c r="E8" s="19">
        <v>14</v>
      </c>
      <c r="F8" s="26"/>
      <c r="G8" s="20"/>
      <c r="H8" s="19"/>
      <c r="I8" s="38">
        <f>8+2</f>
        <v>10</v>
      </c>
      <c r="J8" s="38">
        <v>41</v>
      </c>
      <c r="K8" s="41">
        <f t="shared" si="0"/>
        <v>67</v>
      </c>
      <c r="L8" s="22" t="s">
        <v>27</v>
      </c>
      <c r="M8" s="22"/>
      <c r="N8" s="23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>
      <c r="A9" s="46" t="s">
        <v>57</v>
      </c>
      <c r="B9" s="19"/>
      <c r="C9" s="38"/>
      <c r="D9" s="20"/>
      <c r="E9" s="20"/>
      <c r="F9" s="28"/>
      <c r="G9" s="20">
        <f>39+112</f>
        <v>151</v>
      </c>
      <c r="H9" s="20"/>
      <c r="I9" s="20"/>
      <c r="J9" s="20"/>
      <c r="K9" s="41">
        <f t="shared" si="0"/>
        <v>151</v>
      </c>
      <c r="L9" s="27" t="s">
        <v>27</v>
      </c>
      <c r="M9" s="27"/>
      <c r="N9" s="23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>
      <c r="A10" s="46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30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>
      <c r="A11" s="46"/>
      <c r="B11" s="22"/>
      <c r="C11" s="22"/>
      <c r="D11" s="22"/>
      <c r="E11" s="22"/>
      <c r="F11" s="22"/>
      <c r="G11" s="22"/>
      <c r="H11" s="22"/>
      <c r="I11" s="30"/>
      <c r="J11" s="30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>
      <c r="A12" s="8"/>
      <c r="B12" s="8"/>
      <c r="C12" s="8"/>
      <c r="D12" s="8"/>
      <c r="E12" s="8"/>
      <c r="F12" s="8"/>
      <c r="G12" s="8"/>
      <c r="H12" s="8"/>
      <c r="I12" s="30"/>
      <c r="J12" s="30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>
      <c r="A13" s="16" t="s">
        <v>20</v>
      </c>
      <c r="B13" s="52" t="s">
        <v>39</v>
      </c>
      <c r="C13" s="16" t="s">
        <v>34</v>
      </c>
      <c r="D13" s="16" t="s">
        <v>58</v>
      </c>
      <c r="E13" s="16" t="s">
        <v>38</v>
      </c>
      <c r="F13" s="52" t="s">
        <v>37</v>
      </c>
      <c r="G13" s="16" t="s">
        <v>36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>
      <c r="A14" s="18" t="s">
        <v>8</v>
      </c>
      <c r="B14" s="35"/>
      <c r="C14" s="35"/>
      <c r="D14" s="35"/>
      <c r="E14" s="35"/>
      <c r="F14" s="35"/>
      <c r="G14" s="35">
        <f>39.75+88</f>
        <v>127.75</v>
      </c>
      <c r="H14" s="50">
        <f t="shared" ref="H14:H15" si="1">SUM(B14:G14)</f>
        <v>127.75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>
      <c r="A15" s="24" t="s">
        <v>43</v>
      </c>
      <c r="B15" s="35">
        <f>112+56.5</f>
        <v>168.5</v>
      </c>
      <c r="C15" s="35">
        <f>108.5+49</f>
        <v>157.5</v>
      </c>
      <c r="D15" s="35">
        <f>104+56</f>
        <v>160</v>
      </c>
      <c r="E15" s="35">
        <f>112+56</f>
        <v>168</v>
      </c>
      <c r="F15" s="35">
        <f>101.5+46.5</f>
        <v>148</v>
      </c>
      <c r="G15" s="35">
        <f>12+8</f>
        <v>20</v>
      </c>
      <c r="H15" s="50">
        <f t="shared" si="1"/>
        <v>822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>
      <c r="A16" s="47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>
      <c r="A17" s="47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>
      <c r="A18" s="46"/>
      <c r="B18" s="47"/>
      <c r="C18" s="47"/>
      <c r="D18" s="47"/>
      <c r="E18" s="47"/>
      <c r="F18" s="47"/>
      <c r="G18" s="47"/>
      <c r="H18" s="47"/>
      <c r="I18" s="47"/>
      <c r="J18" s="47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>
      <c r="A19" s="46"/>
      <c r="B19" s="47"/>
      <c r="C19" s="47"/>
      <c r="D19" s="47"/>
      <c r="E19" s="47"/>
      <c r="F19" s="47"/>
      <c r="G19" s="47"/>
      <c r="H19" s="47"/>
      <c r="I19" s="47"/>
      <c r="J19" s="47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>
      <c r="A20" s="46"/>
      <c r="B20" s="47"/>
      <c r="C20" s="47"/>
      <c r="D20" s="47"/>
      <c r="E20" s="47"/>
      <c r="F20" s="47"/>
      <c r="G20" s="47"/>
      <c r="H20" s="47"/>
      <c r="I20" s="47"/>
      <c r="J20" s="47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>
      <c r="A21" s="8"/>
      <c r="B21" s="8"/>
      <c r="C21" s="8"/>
      <c r="D21" s="8"/>
      <c r="E21" s="8"/>
      <c r="F21" s="8"/>
      <c r="G21" s="8"/>
      <c r="H21" s="8"/>
      <c r="I21" s="47"/>
      <c r="J21" s="47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">
    <mergeCell ref="B1:G1"/>
  </mergeCell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defaultColWidth="14.42578125" defaultRowHeight="15" customHeight="1"/>
  <cols>
    <col min="1" max="1" width="46.85546875" customWidth="1"/>
    <col min="2" max="2" width="10.5703125" customWidth="1"/>
    <col min="3" max="3" width="12" customWidth="1"/>
    <col min="4" max="4" width="13.85546875" customWidth="1"/>
    <col min="5" max="5" width="13.28515625" customWidth="1"/>
    <col min="6" max="6" width="10.7109375" customWidth="1"/>
    <col min="7" max="7" width="11.140625" customWidth="1"/>
    <col min="8" max="10" width="10.5703125" customWidth="1"/>
    <col min="11" max="11" width="15" customWidth="1"/>
    <col min="12" max="13" width="9.140625" customWidth="1"/>
    <col min="14" max="14" width="10" customWidth="1"/>
    <col min="15" max="19" width="9.140625" customWidth="1"/>
    <col min="20" max="26" width="8.7109375" customWidth="1"/>
  </cols>
  <sheetData>
    <row r="1" spans="1:26" ht="18.75" customHeight="1">
      <c r="A1" s="8"/>
      <c r="B1" s="105"/>
      <c r="C1" s="106"/>
      <c r="D1" s="106"/>
      <c r="E1" s="106"/>
      <c r="F1" s="106"/>
      <c r="G1" s="10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>
      <c r="A4" s="16" t="s">
        <v>20</v>
      </c>
      <c r="B4" s="4" t="s">
        <v>21</v>
      </c>
      <c r="C4" s="17" t="s">
        <v>22</v>
      </c>
      <c r="D4" s="17" t="s">
        <v>23</v>
      </c>
      <c r="E4" s="17" t="s">
        <v>24</v>
      </c>
      <c r="F4" s="4" t="s">
        <v>25</v>
      </c>
      <c r="G4" s="17" t="s">
        <v>10</v>
      </c>
      <c r="H4" s="17" t="s">
        <v>12</v>
      </c>
      <c r="I4" s="17" t="s">
        <v>53</v>
      </c>
      <c r="J4" s="17" t="s">
        <v>19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>
      <c r="A5" s="46" t="s">
        <v>8</v>
      </c>
      <c r="B5" s="19">
        <f>24</f>
        <v>24</v>
      </c>
      <c r="C5" s="19">
        <f>45+26</f>
        <v>71</v>
      </c>
      <c r="D5" s="20">
        <f>10+20</f>
        <v>30</v>
      </c>
      <c r="E5" s="19">
        <f>35+35</f>
        <v>70</v>
      </c>
      <c r="F5" s="38">
        <f>81+40</f>
        <v>121</v>
      </c>
      <c r="G5" s="19">
        <f>15+24</f>
        <v>39</v>
      </c>
      <c r="H5" s="19">
        <f>22+37.5</f>
        <v>59.5</v>
      </c>
      <c r="I5" s="19">
        <f>13.5+40</f>
        <v>53.5</v>
      </c>
      <c r="J5" s="41">
        <f t="shared" ref="J5:J9" si="0">SUM(B5:I5)</f>
        <v>468</v>
      </c>
      <c r="K5" s="8" t="s">
        <v>27</v>
      </c>
      <c r="L5" s="22"/>
      <c r="M5" s="22"/>
      <c r="N5" s="23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>
      <c r="A6" s="46" t="s">
        <v>64</v>
      </c>
      <c r="B6" s="19">
        <f>95+16</f>
        <v>111</v>
      </c>
      <c r="C6" s="19">
        <f>35.5+13</f>
        <v>48.5</v>
      </c>
      <c r="D6" s="20">
        <f>104.5+24</f>
        <v>128.5</v>
      </c>
      <c r="E6" s="19">
        <f>60.5+5</f>
        <v>65.5</v>
      </c>
      <c r="F6" s="25"/>
      <c r="G6" s="20">
        <f>73.75+24</f>
        <v>97.75</v>
      </c>
      <c r="H6" s="20"/>
      <c r="I6" s="20">
        <f>104+24</f>
        <v>128</v>
      </c>
      <c r="J6" s="41">
        <f t="shared" si="0"/>
        <v>579.25</v>
      </c>
      <c r="K6" s="8" t="s">
        <v>27</v>
      </c>
      <c r="L6" s="27"/>
      <c r="M6" s="27"/>
      <c r="N6" s="23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>
      <c r="A7" s="46" t="s">
        <v>63</v>
      </c>
      <c r="B7" s="19"/>
      <c r="C7" s="38">
        <f>27+4</f>
        <v>31</v>
      </c>
      <c r="D7" s="20"/>
      <c r="E7" s="38">
        <v>6</v>
      </c>
      <c r="F7" s="25">
        <f>15</f>
        <v>15</v>
      </c>
      <c r="G7" s="20"/>
      <c r="H7" s="20"/>
      <c r="I7" s="20"/>
      <c r="J7" s="41">
        <f t="shared" si="0"/>
        <v>52</v>
      </c>
      <c r="K7" s="11" t="s">
        <v>27</v>
      </c>
      <c r="L7" s="27"/>
      <c r="M7" s="27"/>
      <c r="N7" s="22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>
      <c r="A8" s="46" t="s">
        <v>62</v>
      </c>
      <c r="B8" s="19">
        <v>16</v>
      </c>
      <c r="C8" s="19">
        <v>16</v>
      </c>
      <c r="D8" s="20">
        <v>13</v>
      </c>
      <c r="E8" s="19">
        <v>16</v>
      </c>
      <c r="F8" s="26"/>
      <c r="G8" s="19">
        <v>21.5</v>
      </c>
      <c r="H8" s="38"/>
      <c r="I8" s="38"/>
      <c r="J8" s="41">
        <f t="shared" si="0"/>
        <v>82.5</v>
      </c>
      <c r="K8" s="8" t="s">
        <v>27</v>
      </c>
      <c r="L8" s="22"/>
      <c r="M8" s="22"/>
      <c r="N8" s="23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>
      <c r="A9" s="46" t="s">
        <v>65</v>
      </c>
      <c r="B9" s="19">
        <v>8</v>
      </c>
      <c r="C9" s="38">
        <v>5</v>
      </c>
      <c r="D9" s="20"/>
      <c r="E9" s="20"/>
      <c r="F9" s="28">
        <v>24</v>
      </c>
      <c r="G9" s="20"/>
      <c r="H9" s="20"/>
      <c r="I9" s="20"/>
      <c r="J9" s="41">
        <f t="shared" si="0"/>
        <v>37</v>
      </c>
      <c r="K9" s="8" t="s">
        <v>27</v>
      </c>
      <c r="L9" s="27"/>
      <c r="M9" s="27"/>
      <c r="N9" s="23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>
      <c r="A10" s="46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30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>
      <c r="A11" s="46"/>
      <c r="B11" s="22"/>
      <c r="C11" s="22"/>
      <c r="D11" s="22"/>
      <c r="E11" s="22"/>
      <c r="F11" s="22"/>
      <c r="G11" s="22"/>
      <c r="H11" s="22"/>
      <c r="I11" s="30"/>
      <c r="J11" s="30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>
      <c r="A12" s="8"/>
      <c r="B12" s="8"/>
      <c r="C12" s="8"/>
      <c r="D12" s="8"/>
      <c r="E12" s="8"/>
      <c r="F12" s="8"/>
      <c r="G12" s="8"/>
      <c r="H12" s="8"/>
      <c r="I12" s="30"/>
      <c r="J12" s="30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>
      <c r="A13" s="16" t="s">
        <v>20</v>
      </c>
      <c r="B13" s="52" t="s">
        <v>39</v>
      </c>
      <c r="C13" s="16" t="s">
        <v>34</v>
      </c>
      <c r="D13" s="16" t="s">
        <v>58</v>
      </c>
      <c r="E13" s="16" t="s">
        <v>38</v>
      </c>
      <c r="F13" s="52" t="s">
        <v>37</v>
      </c>
      <c r="G13" s="16" t="s">
        <v>36</v>
      </c>
      <c r="H13" s="16" t="s">
        <v>66</v>
      </c>
      <c r="I13" s="16" t="s">
        <v>18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>
      <c r="A14" s="18" t="s">
        <v>8</v>
      </c>
      <c r="B14" s="35"/>
      <c r="C14" s="35"/>
      <c r="D14" s="35"/>
      <c r="E14" s="35">
        <v>24</v>
      </c>
      <c r="F14" s="35"/>
      <c r="G14" s="35">
        <f>40+16</f>
        <v>56</v>
      </c>
      <c r="H14" s="35"/>
      <c r="I14" s="7">
        <f>16</f>
        <v>16</v>
      </c>
      <c r="J14" s="30">
        <f t="shared" ref="J14:J16" si="1">SUM(B14:I14)</f>
        <v>96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>
      <c r="A15" s="24" t="s">
        <v>43</v>
      </c>
      <c r="B15" s="35">
        <f>55+63</f>
        <v>118</v>
      </c>
      <c r="C15" s="35">
        <f>49.5+17</f>
        <v>66.5</v>
      </c>
      <c r="D15" s="35">
        <f>96+56</f>
        <v>152</v>
      </c>
      <c r="E15" s="35">
        <v>40</v>
      </c>
      <c r="F15" s="35">
        <f>52+15.5</f>
        <v>67.5</v>
      </c>
      <c r="G15" s="35"/>
      <c r="H15" s="35">
        <v>52</v>
      </c>
      <c r="I15" s="7"/>
      <c r="J15" s="30">
        <f t="shared" si="1"/>
        <v>496</v>
      </c>
      <c r="K15" s="8" t="s">
        <v>27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>
      <c r="A16" s="24" t="s">
        <v>67</v>
      </c>
      <c r="B16" s="35">
        <f>35.5</f>
        <v>35.5</v>
      </c>
      <c r="C16" s="35">
        <f>66+15.75</f>
        <v>81.75</v>
      </c>
      <c r="D16" s="35"/>
      <c r="E16" s="35">
        <f>73+26.5</f>
        <v>99.5</v>
      </c>
      <c r="F16" s="35">
        <v>76</v>
      </c>
      <c r="G16" s="35">
        <f>24+82</f>
        <v>106</v>
      </c>
      <c r="H16" s="35">
        <v>88</v>
      </c>
      <c r="I16" s="7">
        <f>80+16.75</f>
        <v>96.75</v>
      </c>
      <c r="J16" s="30">
        <f t="shared" si="1"/>
        <v>583.5</v>
      </c>
      <c r="K16" s="8" t="s">
        <v>27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>
      <c r="A17" s="47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>
      <c r="A18" s="46"/>
      <c r="B18" s="47"/>
      <c r="C18" s="47"/>
      <c r="D18" s="47"/>
      <c r="E18" s="47"/>
      <c r="F18" s="47"/>
      <c r="G18" s="47"/>
      <c r="H18" s="47"/>
      <c r="I18" s="47"/>
      <c r="J18" s="47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>
      <c r="A19" s="46"/>
      <c r="B19" s="47"/>
      <c r="C19" s="47"/>
      <c r="D19" s="47"/>
      <c r="E19" s="47"/>
      <c r="F19" s="47"/>
      <c r="G19" s="47"/>
      <c r="H19" s="47"/>
      <c r="I19" s="47"/>
      <c r="J19" s="47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>
      <c r="A20" s="16" t="s">
        <v>20</v>
      </c>
      <c r="B20" s="52" t="s">
        <v>39</v>
      </c>
      <c r="C20" s="16" t="s">
        <v>17</v>
      </c>
      <c r="D20" s="47" t="s">
        <v>12</v>
      </c>
      <c r="E20" s="47"/>
      <c r="F20" s="47"/>
      <c r="G20" s="47"/>
      <c r="H20" s="47"/>
      <c r="I20" s="47"/>
      <c r="J20" s="47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>
      <c r="A21" s="24" t="s">
        <v>57</v>
      </c>
      <c r="B21" s="7"/>
      <c r="C21" s="7">
        <f>43+64</f>
        <v>107</v>
      </c>
      <c r="D21" s="8">
        <v>54</v>
      </c>
      <c r="E21" s="8">
        <f t="shared" ref="E21:E25" si="2">SUM(B21:D21)</f>
        <v>161</v>
      </c>
      <c r="F21" s="8"/>
      <c r="G21" s="8"/>
      <c r="H21" s="8"/>
      <c r="I21" s="47"/>
      <c r="J21" s="47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>
      <c r="A22" s="53" t="s">
        <v>68</v>
      </c>
      <c r="B22" s="7"/>
      <c r="C22" s="7">
        <f>16.5+5.25</f>
        <v>21.75</v>
      </c>
      <c r="D22" s="8"/>
      <c r="E22" s="8">
        <f t="shared" si="2"/>
        <v>21.75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>
      <c r="A23" s="24" t="s">
        <v>69</v>
      </c>
      <c r="B23" s="7"/>
      <c r="C23" s="7">
        <v>60</v>
      </c>
      <c r="D23" s="8"/>
      <c r="E23" s="8">
        <f t="shared" si="2"/>
        <v>60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>
      <c r="A24" s="53" t="s">
        <v>8</v>
      </c>
      <c r="B24" s="7"/>
      <c r="C24" s="7">
        <v>8</v>
      </c>
      <c r="D24" s="8"/>
      <c r="E24" s="8">
        <f t="shared" si="2"/>
        <v>8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>
      <c r="A25" s="46" t="s">
        <v>70</v>
      </c>
      <c r="B25" s="8">
        <v>3.5</v>
      </c>
      <c r="C25" s="8">
        <v>4.5</v>
      </c>
      <c r="D25" s="8"/>
      <c r="E25" s="8">
        <f t="shared" si="2"/>
        <v>8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>
      <c r="A28" s="46" t="s">
        <v>71</v>
      </c>
      <c r="B28" s="8">
        <v>42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>
      <c r="A32" s="46" t="s">
        <v>72</v>
      </c>
      <c r="B32" s="8">
        <f>62+54</f>
        <v>116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">
    <mergeCell ref="B1:G1"/>
  </mergeCell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defaultColWidth="14.42578125" defaultRowHeight="15" customHeight="1"/>
  <cols>
    <col min="1" max="1" width="52.140625" customWidth="1"/>
    <col min="2" max="2" width="10.5703125" customWidth="1"/>
    <col min="3" max="3" width="12" customWidth="1"/>
    <col min="4" max="4" width="13.85546875" customWidth="1"/>
    <col min="5" max="5" width="13.28515625" customWidth="1"/>
    <col min="6" max="6" width="10.42578125" customWidth="1"/>
    <col min="7" max="7" width="11.140625" customWidth="1"/>
    <col min="8" max="10" width="10.5703125" customWidth="1"/>
    <col min="11" max="11" width="15" customWidth="1"/>
    <col min="12" max="13" width="9.140625" customWidth="1"/>
    <col min="14" max="14" width="10" customWidth="1"/>
    <col min="15" max="19" width="9.140625" customWidth="1"/>
    <col min="20" max="26" width="8.7109375" customWidth="1"/>
  </cols>
  <sheetData>
    <row r="1" spans="1:26" ht="18.75" customHeight="1">
      <c r="A1" s="8"/>
      <c r="B1" s="105"/>
      <c r="C1" s="106"/>
      <c r="D1" s="106"/>
      <c r="E1" s="106"/>
      <c r="F1" s="106"/>
      <c r="G1" s="10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>
      <c r="A4" s="16" t="s">
        <v>20</v>
      </c>
      <c r="B4" s="4" t="s">
        <v>21</v>
      </c>
      <c r="C4" s="17" t="s">
        <v>22</v>
      </c>
      <c r="D4" s="17" t="s">
        <v>23</v>
      </c>
      <c r="E4" s="17" t="s">
        <v>24</v>
      </c>
      <c r="F4" s="4" t="s">
        <v>25</v>
      </c>
      <c r="G4" s="17" t="s">
        <v>10</v>
      </c>
      <c r="H4" s="17" t="s">
        <v>12</v>
      </c>
      <c r="I4" s="17" t="s">
        <v>53</v>
      </c>
      <c r="J4" s="17" t="s">
        <v>19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>
      <c r="A5" s="24" t="s">
        <v>8</v>
      </c>
      <c r="B5" s="19"/>
      <c r="C5" s="19">
        <f>14+20</f>
        <v>34</v>
      </c>
      <c r="D5" s="20">
        <v>21</v>
      </c>
      <c r="E5" s="19">
        <f>12+8</f>
        <v>20</v>
      </c>
      <c r="F5" s="38">
        <f>87+40</f>
        <v>127</v>
      </c>
      <c r="G5" s="19">
        <f>16</f>
        <v>16</v>
      </c>
      <c r="H5" s="19">
        <f>25+8</f>
        <v>33</v>
      </c>
      <c r="I5" s="19">
        <f>12+64</f>
        <v>76</v>
      </c>
      <c r="J5" s="41">
        <f t="shared" ref="J5:J12" si="0">SUM(B5:I5)</f>
        <v>327</v>
      </c>
      <c r="K5" s="8"/>
      <c r="L5" s="22"/>
      <c r="M5" s="22"/>
      <c r="N5" s="23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>
      <c r="A6" s="24" t="s">
        <v>73</v>
      </c>
      <c r="B6" s="19">
        <f>42.5+24</f>
        <v>66.5</v>
      </c>
      <c r="C6" s="19">
        <f>32+27</f>
        <v>59</v>
      </c>
      <c r="D6" s="20"/>
      <c r="E6" s="19">
        <f>58</f>
        <v>58</v>
      </c>
      <c r="F6" s="25"/>
      <c r="G6" s="20">
        <f>22+45.25</f>
        <v>67.25</v>
      </c>
      <c r="H6" s="20">
        <f>23.5+8</f>
        <v>31.5</v>
      </c>
      <c r="I6" s="20">
        <f>37+44</f>
        <v>81</v>
      </c>
      <c r="J6" s="41">
        <f t="shared" si="0"/>
        <v>363.25</v>
      </c>
      <c r="K6" s="8"/>
      <c r="L6" s="27"/>
      <c r="M6" s="27"/>
      <c r="N6" s="23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>
      <c r="A7" s="24" t="s">
        <v>63</v>
      </c>
      <c r="B7" s="19">
        <f>31.75</f>
        <v>31.75</v>
      </c>
      <c r="C7" s="38">
        <v>34</v>
      </c>
      <c r="D7" s="20">
        <f>14</f>
        <v>14</v>
      </c>
      <c r="E7" s="38">
        <f>14+4</f>
        <v>18</v>
      </c>
      <c r="F7" s="26">
        <v>36.5</v>
      </c>
      <c r="G7" s="20">
        <v>32</v>
      </c>
      <c r="H7" s="20">
        <f>15+49.5</f>
        <v>64.5</v>
      </c>
      <c r="I7" s="20"/>
      <c r="J7" s="41">
        <f t="shared" si="0"/>
        <v>230.75</v>
      </c>
      <c r="K7" s="11"/>
      <c r="L7" s="27"/>
      <c r="M7" s="27"/>
      <c r="N7" s="22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>
      <c r="A8" s="24" t="s">
        <v>74</v>
      </c>
      <c r="B8" s="19">
        <f>36+16</f>
        <v>52</v>
      </c>
      <c r="C8" s="19">
        <v>4</v>
      </c>
      <c r="D8" s="20">
        <f>13+36</f>
        <v>49</v>
      </c>
      <c r="E8" s="19"/>
      <c r="F8" s="26"/>
      <c r="G8" s="19">
        <v>48</v>
      </c>
      <c r="H8" s="38"/>
      <c r="I8" s="38">
        <v>2</v>
      </c>
      <c r="J8" s="41">
        <f t="shared" si="0"/>
        <v>155</v>
      </c>
      <c r="K8" s="8"/>
      <c r="L8" s="22"/>
      <c r="M8" s="22"/>
      <c r="N8" s="23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>
      <c r="A9" s="24" t="s">
        <v>47</v>
      </c>
      <c r="B9" s="19">
        <f>12+33.5</f>
        <v>45.5</v>
      </c>
      <c r="C9" s="38">
        <v>37.5</v>
      </c>
      <c r="D9" s="20"/>
      <c r="E9" s="20"/>
      <c r="F9" s="28"/>
      <c r="G9" s="20"/>
      <c r="H9" s="20"/>
      <c r="I9" s="20">
        <v>18</v>
      </c>
      <c r="J9" s="41">
        <f t="shared" si="0"/>
        <v>101</v>
      </c>
      <c r="K9" s="8"/>
      <c r="L9" s="27"/>
      <c r="M9" s="27"/>
      <c r="N9" s="23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5.75" customHeight="1">
      <c r="A10" s="24" t="s">
        <v>75</v>
      </c>
      <c r="B10" s="19"/>
      <c r="C10" s="19"/>
      <c r="D10" s="19"/>
      <c r="E10" s="19">
        <f>32.5+37</f>
        <v>69.5</v>
      </c>
      <c r="F10" s="19"/>
      <c r="G10" s="19"/>
      <c r="H10" s="19">
        <f>17+29</f>
        <v>46</v>
      </c>
      <c r="I10" s="19"/>
      <c r="J10" s="41">
        <f t="shared" si="0"/>
        <v>115.5</v>
      </c>
      <c r="K10" s="22"/>
      <c r="L10" s="22"/>
      <c r="M10" s="22"/>
      <c r="N10" s="30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>
      <c r="A11" s="53" t="s">
        <v>76</v>
      </c>
      <c r="B11" s="19"/>
      <c r="C11" s="19">
        <f>7.75+1</f>
        <v>8.75</v>
      </c>
      <c r="D11" s="19">
        <f>42+4</f>
        <v>46</v>
      </c>
      <c r="E11" s="19"/>
      <c r="F11" s="19"/>
      <c r="G11" s="19"/>
      <c r="H11" s="19"/>
      <c r="I11" s="54"/>
      <c r="J11" s="41">
        <f t="shared" si="0"/>
        <v>54.75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>
      <c r="A12" s="24" t="s">
        <v>77</v>
      </c>
      <c r="B12" s="19"/>
      <c r="C12" s="19">
        <v>4</v>
      </c>
      <c r="D12" s="19"/>
      <c r="E12" s="19">
        <v>8</v>
      </c>
      <c r="F12" s="19"/>
      <c r="G12" s="19"/>
      <c r="H12" s="19"/>
      <c r="I12" s="54"/>
      <c r="J12" s="41">
        <f t="shared" si="0"/>
        <v>12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>
      <c r="A13" s="8"/>
      <c r="B13" s="8"/>
      <c r="C13" s="8"/>
      <c r="D13" s="8"/>
      <c r="E13" s="8"/>
      <c r="F13" s="8"/>
      <c r="G13" s="8"/>
      <c r="H13" s="8"/>
      <c r="I13" s="30"/>
      <c r="J13" s="30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>
      <c r="A14" s="16" t="s">
        <v>20</v>
      </c>
      <c r="B14" s="52" t="s">
        <v>39</v>
      </c>
      <c r="C14" s="16" t="s">
        <v>34</v>
      </c>
      <c r="D14" s="16" t="s">
        <v>58</v>
      </c>
      <c r="E14" s="16" t="s">
        <v>38</v>
      </c>
      <c r="F14" s="52" t="s">
        <v>37</v>
      </c>
      <c r="G14" s="16" t="s">
        <v>36</v>
      </c>
      <c r="H14" s="16" t="s">
        <v>66</v>
      </c>
      <c r="I14" s="16" t="s">
        <v>18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>
      <c r="A15" s="18" t="s">
        <v>8</v>
      </c>
      <c r="B15" s="35"/>
      <c r="C15" s="35">
        <v>36.25</v>
      </c>
      <c r="D15" s="8"/>
      <c r="E15" s="35">
        <v>120</v>
      </c>
      <c r="F15" s="35">
        <v>109</v>
      </c>
      <c r="G15" s="35">
        <f>120+12</f>
        <v>132</v>
      </c>
      <c r="H15" s="35"/>
      <c r="I15" s="7">
        <f>105.75+8</f>
        <v>113.75</v>
      </c>
      <c r="J15" s="30">
        <f t="shared" ref="J15:J17" si="1">SUM(B15:I15)</f>
        <v>511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>
      <c r="A16" s="46" t="s">
        <v>43</v>
      </c>
      <c r="B16" s="35">
        <v>103.5</v>
      </c>
      <c r="C16" s="7">
        <f>75.95+9</f>
        <v>84.95</v>
      </c>
      <c r="D16" s="35">
        <f>112+40</f>
        <v>152</v>
      </c>
      <c r="E16" s="35"/>
      <c r="F16" s="35"/>
      <c r="G16" s="35">
        <v>20</v>
      </c>
      <c r="H16" s="35">
        <f>116</f>
        <v>116</v>
      </c>
      <c r="I16" s="7">
        <v>19.75</v>
      </c>
      <c r="J16" s="30">
        <f t="shared" si="1"/>
        <v>496.2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>
      <c r="A17" s="46" t="s">
        <v>78</v>
      </c>
      <c r="B17" s="35">
        <v>24</v>
      </c>
      <c r="C17" s="35">
        <v>36</v>
      </c>
      <c r="D17" s="35"/>
      <c r="E17" s="35">
        <v>40</v>
      </c>
      <c r="F17" s="35"/>
      <c r="G17" s="35">
        <v>8</v>
      </c>
      <c r="H17" s="35">
        <v>37</v>
      </c>
      <c r="I17" s="7">
        <v>12</v>
      </c>
      <c r="J17" s="30">
        <f t="shared" si="1"/>
        <v>157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>
      <c r="A18" s="35"/>
      <c r="B18" s="7"/>
      <c r="C18" s="7"/>
      <c r="D18" s="7"/>
      <c r="E18" s="7"/>
      <c r="F18" s="7"/>
      <c r="G18" s="7"/>
      <c r="H18" s="7"/>
      <c r="I18" s="7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>
      <c r="A19" s="46"/>
      <c r="B19" s="47"/>
      <c r="C19" s="47"/>
      <c r="D19" s="47"/>
      <c r="E19" s="47"/>
      <c r="F19" s="47"/>
      <c r="G19" s="47"/>
      <c r="H19" s="47"/>
      <c r="I19" s="47"/>
      <c r="J19" s="47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>
      <c r="A20" s="46"/>
      <c r="B20" s="47"/>
      <c r="C20" s="47"/>
      <c r="D20" s="47"/>
      <c r="E20" s="47"/>
      <c r="F20" s="47"/>
      <c r="G20" s="47"/>
      <c r="H20" s="47"/>
      <c r="I20" s="47"/>
      <c r="J20" s="47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>
      <c r="A21" s="16" t="s">
        <v>20</v>
      </c>
      <c r="B21" s="52" t="s">
        <v>79</v>
      </c>
      <c r="C21" s="16" t="s">
        <v>17</v>
      </c>
      <c r="D21" s="35" t="s">
        <v>80</v>
      </c>
      <c r="E21" s="35"/>
      <c r="F21" s="47"/>
      <c r="G21" s="47"/>
      <c r="H21" s="47"/>
      <c r="I21" s="47"/>
      <c r="J21" s="47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>
      <c r="A22" s="53" t="s">
        <v>8</v>
      </c>
      <c r="B22" s="7">
        <v>32</v>
      </c>
      <c r="C22" s="7">
        <v>10</v>
      </c>
      <c r="D22" s="7">
        <v>7</v>
      </c>
      <c r="E22" s="7"/>
      <c r="F22" s="8">
        <f t="shared" ref="F22:F23" si="2">SUM(B22:E22)</f>
        <v>49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>
      <c r="A23" s="46" t="s">
        <v>81</v>
      </c>
      <c r="B23" s="7"/>
      <c r="C23" s="7">
        <f>40+134.5</f>
        <v>174.5</v>
      </c>
      <c r="D23" s="7"/>
      <c r="E23" s="7"/>
      <c r="F23" s="8">
        <f t="shared" si="2"/>
        <v>174.5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>
      <c r="A24" s="24"/>
      <c r="B24" s="7"/>
      <c r="C24" s="7"/>
      <c r="D24" s="7"/>
      <c r="E24" s="7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>
      <c r="A25" s="46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>
      <c r="A26" s="46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>
      <c r="A30" s="46" t="s">
        <v>72</v>
      </c>
      <c r="B30" s="8">
        <f>53.5+47</f>
        <v>100.5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">
    <mergeCell ref="B1:G1"/>
  </mergeCells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000"/>
  <sheetViews>
    <sheetView workbookViewId="0"/>
  </sheetViews>
  <sheetFormatPr defaultColWidth="14.42578125" defaultRowHeight="15" customHeight="1"/>
  <cols>
    <col min="1" max="1" width="8.7109375" customWidth="1"/>
    <col min="2" max="2" width="11.140625" customWidth="1"/>
    <col min="3" max="3" width="12" customWidth="1"/>
    <col min="4" max="4" width="11" customWidth="1"/>
    <col min="5" max="5" width="10.5703125" customWidth="1"/>
    <col min="6" max="6" width="8.7109375" customWidth="1"/>
    <col min="7" max="7" width="10.7109375" customWidth="1"/>
    <col min="8" max="8" width="14.140625" customWidth="1"/>
    <col min="9" max="9" width="11.7109375" customWidth="1"/>
    <col min="10" max="10" width="11.28515625" customWidth="1"/>
    <col min="11" max="26" width="8.7109375" customWidth="1"/>
  </cols>
  <sheetData>
    <row r="1" spans="1:11" ht="18">
      <c r="B1" s="105" t="s">
        <v>82</v>
      </c>
      <c r="C1" s="106"/>
      <c r="D1" s="106"/>
      <c r="E1" s="106"/>
      <c r="F1" s="106"/>
      <c r="G1" s="106"/>
      <c r="H1" s="106"/>
    </row>
    <row r="3" spans="1:11">
      <c r="A3" s="55" t="s">
        <v>0</v>
      </c>
      <c r="B3" s="56" t="s">
        <v>1</v>
      </c>
      <c r="C3" s="56" t="s">
        <v>83</v>
      </c>
      <c r="D3" s="56" t="s">
        <v>84</v>
      </c>
      <c r="E3" s="56" t="s">
        <v>3</v>
      </c>
      <c r="F3" s="56" t="s">
        <v>85</v>
      </c>
      <c r="G3" s="56" t="s">
        <v>86</v>
      </c>
      <c r="H3" s="56" t="s">
        <v>87</v>
      </c>
      <c r="I3" s="55" t="s">
        <v>88</v>
      </c>
      <c r="J3" s="56" t="s">
        <v>89</v>
      </c>
      <c r="K3" s="56" t="s">
        <v>90</v>
      </c>
    </row>
    <row r="4" spans="1:11">
      <c r="A4" s="57">
        <v>1</v>
      </c>
      <c r="B4" s="58" t="s">
        <v>9</v>
      </c>
      <c r="C4" s="58"/>
      <c r="D4" s="58"/>
      <c r="E4" s="58">
        <f>32+12</f>
        <v>44</v>
      </c>
      <c r="F4" s="58"/>
      <c r="G4" s="58">
        <f>20</f>
        <v>20</v>
      </c>
      <c r="H4" s="58">
        <f>4+20</f>
        <v>24</v>
      </c>
      <c r="I4" s="7"/>
      <c r="J4" s="7">
        <v>48</v>
      </c>
      <c r="K4" s="7"/>
    </row>
    <row r="5" spans="1:11">
      <c r="A5" s="59">
        <v>2</v>
      </c>
      <c r="B5" s="60" t="s">
        <v>10</v>
      </c>
      <c r="C5" s="60"/>
      <c r="D5" s="60"/>
      <c r="E5" s="60">
        <f>40+36</f>
        <v>76</v>
      </c>
      <c r="F5" s="60"/>
      <c r="G5" s="60"/>
      <c r="H5" s="60">
        <f>12</f>
        <v>12</v>
      </c>
      <c r="I5" s="7">
        <f>16</f>
        <v>16</v>
      </c>
      <c r="J5" s="7">
        <f>56</f>
        <v>56</v>
      </c>
      <c r="K5" s="7"/>
    </row>
    <row r="6" spans="1:11">
      <c r="A6" s="59">
        <v>3</v>
      </c>
      <c r="B6" s="60" t="s">
        <v>91</v>
      </c>
      <c r="C6" s="60"/>
      <c r="D6" s="60"/>
      <c r="E6" s="60">
        <f>40+19</f>
        <v>59</v>
      </c>
      <c r="F6" s="60"/>
      <c r="G6" s="60"/>
      <c r="H6" s="60">
        <f>8+28</f>
        <v>36</v>
      </c>
      <c r="I6" s="7"/>
      <c r="J6" s="7"/>
      <c r="K6" s="7"/>
    </row>
    <row r="7" spans="1:11">
      <c r="A7" s="59">
        <v>4</v>
      </c>
      <c r="B7" s="60" t="s">
        <v>12</v>
      </c>
      <c r="C7" s="60"/>
      <c r="D7" s="60"/>
      <c r="E7" s="60"/>
      <c r="F7" s="60"/>
      <c r="G7" s="60"/>
      <c r="H7" s="60"/>
      <c r="I7" s="7"/>
      <c r="J7" s="7"/>
      <c r="K7" s="61">
        <f>37+72.75</f>
        <v>109.75</v>
      </c>
    </row>
    <row r="8" spans="1:11">
      <c r="A8" s="59">
        <v>5</v>
      </c>
      <c r="B8" s="60" t="s">
        <v>13</v>
      </c>
      <c r="C8" s="60"/>
      <c r="D8" s="60"/>
      <c r="E8" s="60">
        <f>76.5+28</f>
        <v>104.5</v>
      </c>
      <c r="F8" s="60"/>
      <c r="G8" s="60">
        <f>6</f>
        <v>6</v>
      </c>
      <c r="H8" s="60">
        <f>8.5+14.5</f>
        <v>23</v>
      </c>
      <c r="I8" s="7"/>
      <c r="J8" s="7"/>
      <c r="K8" s="7"/>
    </row>
    <row r="9" spans="1:11">
      <c r="A9" s="59">
        <v>6</v>
      </c>
      <c r="B9" s="60" t="s">
        <v>92</v>
      </c>
      <c r="C9" s="60"/>
      <c r="D9" s="60"/>
      <c r="E9" s="60">
        <f>5+6</f>
        <v>11</v>
      </c>
      <c r="F9" s="60"/>
      <c r="G9" s="60"/>
      <c r="H9" s="60">
        <f>16+30.75</f>
        <v>46.75</v>
      </c>
      <c r="I9" s="7">
        <f>10</f>
        <v>10</v>
      </c>
      <c r="J9" s="7"/>
      <c r="K9" s="7"/>
    </row>
    <row r="10" spans="1:11">
      <c r="A10" s="7"/>
      <c r="B10" s="56" t="s">
        <v>19</v>
      </c>
      <c r="C10" s="56">
        <f t="shared" ref="C10:K10" si="0">SUM(C4:C9)</f>
        <v>0</v>
      </c>
      <c r="D10" s="56">
        <f t="shared" si="0"/>
        <v>0</v>
      </c>
      <c r="E10" s="56">
        <f t="shared" si="0"/>
        <v>294.5</v>
      </c>
      <c r="F10" s="56">
        <f t="shared" si="0"/>
        <v>0</v>
      </c>
      <c r="G10" s="56">
        <f t="shared" si="0"/>
        <v>26</v>
      </c>
      <c r="H10" s="56">
        <f t="shared" si="0"/>
        <v>141.75</v>
      </c>
      <c r="I10" s="56">
        <f t="shared" si="0"/>
        <v>26</v>
      </c>
      <c r="J10" s="56">
        <f t="shared" si="0"/>
        <v>104</v>
      </c>
      <c r="K10" s="56">
        <f t="shared" si="0"/>
        <v>109.75</v>
      </c>
    </row>
    <row r="21" spans="9:9" ht="15.75" customHeight="1"/>
    <row r="22" spans="9:9" ht="15.75" customHeight="1"/>
    <row r="23" spans="9:9" ht="15.75" customHeight="1"/>
    <row r="24" spans="9:9" ht="15.75" customHeight="1"/>
    <row r="25" spans="9:9" ht="15.75" customHeight="1"/>
    <row r="26" spans="9:9" ht="15.75" customHeight="1">
      <c r="I26" s="62"/>
    </row>
    <row r="27" spans="9:9" ht="15.75" customHeight="1"/>
    <row r="28" spans="9:9" ht="15.75" customHeight="1"/>
    <row r="29" spans="9:9" ht="15.75" customHeight="1"/>
    <row r="30" spans="9:9" ht="15.75" customHeight="1"/>
    <row r="31" spans="9:9" ht="15.75" customHeight="1"/>
    <row r="32" spans="9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000"/>
  <sheetViews>
    <sheetView workbookViewId="0"/>
  </sheetViews>
  <sheetFormatPr defaultColWidth="14.42578125" defaultRowHeight="15" customHeight="1"/>
  <cols>
    <col min="1" max="1" width="8.7109375" customWidth="1"/>
    <col min="2" max="2" width="11.140625" customWidth="1"/>
    <col min="3" max="3" width="10.5703125" customWidth="1"/>
    <col min="4" max="4" width="10.7109375" customWidth="1"/>
    <col min="5" max="5" width="14.140625" customWidth="1"/>
    <col min="6" max="6" width="11.7109375" customWidth="1"/>
    <col min="7" max="7" width="11.28515625" customWidth="1"/>
    <col min="8" max="8" width="8.7109375" customWidth="1"/>
    <col min="9" max="9" width="11.28515625" customWidth="1"/>
    <col min="10" max="10" width="11.5703125" customWidth="1"/>
    <col min="11" max="11" width="10" customWidth="1"/>
    <col min="12" max="26" width="8.7109375" customWidth="1"/>
  </cols>
  <sheetData>
    <row r="1" spans="1:11" ht="18.75" customHeight="1">
      <c r="B1" s="105" t="s">
        <v>93</v>
      </c>
      <c r="C1" s="106"/>
      <c r="D1" s="106"/>
      <c r="E1" s="106"/>
      <c r="F1" s="106"/>
      <c r="G1" s="106"/>
      <c r="H1" s="106"/>
      <c r="I1" s="106"/>
      <c r="J1" s="106"/>
      <c r="K1" s="106"/>
    </row>
    <row r="3" spans="1:11">
      <c r="A3" s="55" t="s">
        <v>0</v>
      </c>
      <c r="B3" s="56" t="s">
        <v>1</v>
      </c>
      <c r="C3" s="56" t="s">
        <v>3</v>
      </c>
      <c r="D3" s="56" t="s">
        <v>86</v>
      </c>
      <c r="E3" s="56" t="s">
        <v>87</v>
      </c>
      <c r="F3" s="55" t="s">
        <v>88</v>
      </c>
      <c r="G3" s="56" t="s">
        <v>89</v>
      </c>
      <c r="H3" s="56" t="s">
        <v>90</v>
      </c>
      <c r="I3" s="56" t="s">
        <v>6</v>
      </c>
      <c r="J3" s="56" t="s">
        <v>7</v>
      </c>
      <c r="K3" s="56" t="s">
        <v>94</v>
      </c>
    </row>
    <row r="4" spans="1:11">
      <c r="A4" s="57">
        <v>1</v>
      </c>
      <c r="B4" s="58" t="s">
        <v>9</v>
      </c>
      <c r="C4" s="63"/>
      <c r="D4" s="63">
        <f>46.5</f>
        <v>46.5</v>
      </c>
      <c r="E4" s="63">
        <f>20</f>
        <v>20</v>
      </c>
      <c r="F4" s="10"/>
      <c r="G4" s="10"/>
      <c r="H4" s="10"/>
      <c r="I4" s="10">
        <f>8+16</f>
        <v>24</v>
      </c>
      <c r="J4" s="10"/>
      <c r="K4" s="10"/>
    </row>
    <row r="5" spans="1:11">
      <c r="A5" s="59">
        <v>2</v>
      </c>
      <c r="B5" s="60" t="s">
        <v>10</v>
      </c>
      <c r="C5" s="64"/>
      <c r="D5" s="64">
        <f>40</f>
        <v>40</v>
      </c>
      <c r="E5" s="64">
        <f>32</f>
        <v>32</v>
      </c>
      <c r="F5" s="10"/>
      <c r="G5" s="10"/>
      <c r="H5" s="10"/>
      <c r="I5" s="10">
        <f>52+24</f>
        <v>76</v>
      </c>
      <c r="J5" s="10"/>
      <c r="K5" s="10"/>
    </row>
    <row r="6" spans="1:11">
      <c r="A6" s="59">
        <v>3</v>
      </c>
      <c r="B6" s="60" t="s">
        <v>91</v>
      </c>
      <c r="C6" s="64"/>
      <c r="D6" s="64">
        <f>4</f>
        <v>4</v>
      </c>
      <c r="E6" s="64">
        <f>28</f>
        <v>28</v>
      </c>
      <c r="F6" s="10"/>
      <c r="G6" s="10"/>
      <c r="H6" s="10"/>
      <c r="I6" s="10">
        <f>43.5+20</f>
        <v>63.5</v>
      </c>
      <c r="J6" s="10"/>
      <c r="K6" s="10"/>
    </row>
    <row r="7" spans="1:11">
      <c r="A7" s="59">
        <v>4</v>
      </c>
      <c r="B7" s="60" t="s">
        <v>12</v>
      </c>
      <c r="C7" s="64"/>
      <c r="D7" s="64"/>
      <c r="E7" s="64">
        <f>16.5</f>
        <v>16.5</v>
      </c>
      <c r="F7" s="10"/>
      <c r="G7" s="10"/>
      <c r="H7" s="65">
        <f>3+7</f>
        <v>10</v>
      </c>
      <c r="I7" s="10">
        <f>36.5+6</f>
        <v>42.5</v>
      </c>
      <c r="J7" s="10">
        <f>3</f>
        <v>3</v>
      </c>
      <c r="K7" s="10"/>
    </row>
    <row r="8" spans="1:11">
      <c r="A8" s="59">
        <v>5</v>
      </c>
      <c r="B8" s="60" t="s">
        <v>13</v>
      </c>
      <c r="C8" s="64">
        <f>25</f>
        <v>25</v>
      </c>
      <c r="D8" s="64">
        <f>4+33</f>
        <v>37</v>
      </c>
      <c r="E8" s="64">
        <f>26.5</f>
        <v>26.5</v>
      </c>
      <c r="F8" s="10"/>
      <c r="G8" s="10"/>
      <c r="H8" s="10"/>
      <c r="I8" s="10">
        <f>32+11</f>
        <v>43</v>
      </c>
      <c r="J8" s="10"/>
      <c r="K8" s="10">
        <f>4</f>
        <v>4</v>
      </c>
    </row>
    <row r="9" spans="1:11">
      <c r="A9" s="59">
        <v>6</v>
      </c>
      <c r="B9" s="60" t="s">
        <v>92</v>
      </c>
      <c r="C9" s="64"/>
      <c r="D9" s="64"/>
      <c r="E9" s="64"/>
      <c r="F9" s="10">
        <f>12.5-8</f>
        <v>4.5</v>
      </c>
      <c r="G9" s="10"/>
      <c r="H9" s="10"/>
      <c r="I9" s="10">
        <f>24</f>
        <v>24</v>
      </c>
      <c r="J9" s="10"/>
      <c r="K9" s="10"/>
    </row>
    <row r="10" spans="1:11">
      <c r="A10" s="7"/>
      <c r="B10" s="56" t="s">
        <v>19</v>
      </c>
      <c r="C10" s="56">
        <f t="shared" ref="C10:K10" si="0">SUM(C4:C9)</f>
        <v>25</v>
      </c>
      <c r="D10" s="56">
        <f t="shared" si="0"/>
        <v>127.5</v>
      </c>
      <c r="E10" s="56">
        <f t="shared" si="0"/>
        <v>123</v>
      </c>
      <c r="F10" s="56">
        <f t="shared" si="0"/>
        <v>4.5</v>
      </c>
      <c r="G10" s="56">
        <f t="shared" si="0"/>
        <v>0</v>
      </c>
      <c r="H10" s="56">
        <f t="shared" si="0"/>
        <v>10</v>
      </c>
      <c r="I10" s="56">
        <f t="shared" si="0"/>
        <v>273</v>
      </c>
      <c r="J10" s="56">
        <f t="shared" si="0"/>
        <v>3</v>
      </c>
      <c r="K10" s="56">
        <f t="shared" si="0"/>
        <v>4</v>
      </c>
    </row>
    <row r="21" spans="6:6" ht="15.75" customHeight="1"/>
    <row r="22" spans="6:6" ht="15.75" customHeight="1"/>
    <row r="23" spans="6:6" ht="15.75" customHeight="1"/>
    <row r="24" spans="6:6" ht="15.75" customHeight="1"/>
    <row r="25" spans="6:6" ht="15.75" customHeight="1"/>
    <row r="26" spans="6:6" ht="15.75" customHeight="1">
      <c r="F26" s="62"/>
    </row>
    <row r="27" spans="6:6" ht="15.75" customHeight="1"/>
    <row r="28" spans="6:6" ht="15.75" customHeight="1"/>
    <row r="29" spans="6:6" ht="15.75" customHeight="1"/>
    <row r="30" spans="6:6" ht="15.75" customHeight="1"/>
    <row r="31" spans="6:6" ht="15.75" customHeight="1"/>
    <row r="32" spans="6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K1"/>
  </mergeCells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000"/>
  <sheetViews>
    <sheetView workbookViewId="0"/>
  </sheetViews>
  <sheetFormatPr defaultColWidth="14.42578125" defaultRowHeight="15" customHeight="1"/>
  <cols>
    <col min="1" max="1" width="8.7109375" customWidth="1"/>
    <col min="2" max="2" width="11.140625" customWidth="1"/>
    <col min="3" max="3" width="10.5703125" customWidth="1"/>
    <col min="4" max="4" width="10.7109375" customWidth="1"/>
    <col min="5" max="5" width="14.140625" customWidth="1"/>
    <col min="6" max="6" width="11.7109375" customWidth="1"/>
    <col min="7" max="7" width="11.28515625" customWidth="1"/>
    <col min="8" max="8" width="8.7109375" customWidth="1"/>
    <col min="9" max="9" width="11.28515625" customWidth="1"/>
    <col min="10" max="10" width="11.5703125" customWidth="1"/>
    <col min="11" max="11" width="10" customWidth="1"/>
    <col min="12" max="26" width="8.7109375" customWidth="1"/>
  </cols>
  <sheetData>
    <row r="1" spans="1:11" ht="18.75" customHeight="1">
      <c r="B1" s="105" t="s">
        <v>95</v>
      </c>
      <c r="C1" s="106"/>
      <c r="D1" s="106"/>
      <c r="E1" s="106"/>
      <c r="F1" s="106"/>
      <c r="G1" s="106"/>
      <c r="H1" s="106"/>
      <c r="I1" s="106"/>
      <c r="J1" s="106"/>
      <c r="K1" s="106"/>
    </row>
    <row r="3" spans="1:11">
      <c r="A3" s="55" t="s">
        <v>0</v>
      </c>
      <c r="B3" s="56" t="s">
        <v>1</v>
      </c>
      <c r="C3" s="56" t="s">
        <v>3</v>
      </c>
      <c r="D3" s="56" t="s">
        <v>86</v>
      </c>
      <c r="E3" s="56" t="s">
        <v>87</v>
      </c>
      <c r="F3" s="55" t="s">
        <v>88</v>
      </c>
      <c r="G3" s="56" t="s">
        <v>89</v>
      </c>
      <c r="H3" s="56" t="s">
        <v>90</v>
      </c>
      <c r="I3" s="56" t="s">
        <v>6</v>
      </c>
      <c r="J3" s="56" t="s">
        <v>7</v>
      </c>
      <c r="K3" s="56" t="s">
        <v>94</v>
      </c>
    </row>
    <row r="4" spans="1:11">
      <c r="A4" s="57">
        <v>1</v>
      </c>
      <c r="B4" s="58" t="s">
        <v>9</v>
      </c>
      <c r="C4" s="63">
        <f>24</f>
        <v>24</v>
      </c>
      <c r="D4" s="63"/>
      <c r="E4" s="63">
        <f>11</f>
        <v>11</v>
      </c>
      <c r="F4" s="10">
        <f>36</f>
        <v>36</v>
      </c>
      <c r="G4" s="10"/>
      <c r="H4" s="10"/>
      <c r="I4" s="10">
        <f t="shared" ref="I4:I5" si="0">8</f>
        <v>8</v>
      </c>
      <c r="J4" s="10">
        <f>16+24</f>
        <v>40</v>
      </c>
      <c r="K4" s="10"/>
    </row>
    <row r="5" spans="1:11">
      <c r="A5" s="59">
        <v>2</v>
      </c>
      <c r="B5" s="60" t="s">
        <v>10</v>
      </c>
      <c r="C5" s="64">
        <f>50</f>
        <v>50</v>
      </c>
      <c r="D5" s="64"/>
      <c r="E5" s="64">
        <f>8</f>
        <v>8</v>
      </c>
      <c r="F5" s="10"/>
      <c r="G5" s="10"/>
      <c r="H5" s="10"/>
      <c r="I5" s="10">
        <f t="shared" si="0"/>
        <v>8</v>
      </c>
      <c r="J5" s="10">
        <f>40+18.5</f>
        <v>58.5</v>
      </c>
      <c r="K5" s="10"/>
    </row>
    <row r="6" spans="1:11">
      <c r="A6" s="59">
        <v>3</v>
      </c>
      <c r="B6" s="60" t="s">
        <v>91</v>
      </c>
      <c r="C6" s="64">
        <f>44</f>
        <v>44</v>
      </c>
      <c r="D6" s="64"/>
      <c r="E6" s="64"/>
      <c r="F6" s="10"/>
      <c r="G6" s="10"/>
      <c r="H6" s="10"/>
      <c r="I6" s="10">
        <f>16+4</f>
        <v>20</v>
      </c>
      <c r="J6" s="10">
        <f>32+28</f>
        <v>60</v>
      </c>
      <c r="K6" s="10"/>
    </row>
    <row r="7" spans="1:11">
      <c r="A7" s="59">
        <v>4</v>
      </c>
      <c r="B7" s="60" t="s">
        <v>12</v>
      </c>
      <c r="C7" s="64">
        <f>17.25</f>
        <v>17.25</v>
      </c>
      <c r="D7" s="64"/>
      <c r="E7" s="64"/>
      <c r="F7" s="10">
        <f>3.5</f>
        <v>3.5</v>
      </c>
      <c r="G7" s="10"/>
      <c r="H7" s="65"/>
      <c r="I7" s="10">
        <f>14.25+22</f>
        <v>36.25</v>
      </c>
      <c r="J7" s="10">
        <f>30.5+17.5</f>
        <v>48</v>
      </c>
      <c r="K7" s="10"/>
    </row>
    <row r="8" spans="1:11">
      <c r="A8" s="59">
        <v>5</v>
      </c>
      <c r="B8" s="60" t="s">
        <v>13</v>
      </c>
      <c r="C8" s="64">
        <f>42</f>
        <v>42</v>
      </c>
      <c r="D8" s="64"/>
      <c r="E8" s="64"/>
      <c r="F8" s="10"/>
      <c r="G8" s="10"/>
      <c r="H8" s="10"/>
      <c r="I8" s="10">
        <f>8</f>
        <v>8</v>
      </c>
      <c r="J8" s="10">
        <f>16+24</f>
        <v>40</v>
      </c>
      <c r="K8" s="10"/>
    </row>
    <row r="9" spans="1:11">
      <c r="A9" s="59">
        <v>6</v>
      </c>
      <c r="B9" s="60" t="s">
        <v>92</v>
      </c>
      <c r="C9" s="64"/>
      <c r="D9" s="64"/>
      <c r="E9" s="64"/>
      <c r="F9" s="10">
        <f>15+97</f>
        <v>112</v>
      </c>
      <c r="G9" s="10"/>
      <c r="H9" s="10"/>
      <c r="I9" s="10"/>
      <c r="J9" s="10"/>
      <c r="K9" s="10"/>
    </row>
    <row r="10" spans="1:11">
      <c r="A10" s="7"/>
      <c r="B10" s="56" t="s">
        <v>19</v>
      </c>
      <c r="C10" s="56">
        <f t="shared" ref="C10:K10" si="1">SUM(C4:C9)</f>
        <v>177.25</v>
      </c>
      <c r="D10" s="56">
        <f t="shared" si="1"/>
        <v>0</v>
      </c>
      <c r="E10" s="56">
        <f t="shared" si="1"/>
        <v>19</v>
      </c>
      <c r="F10" s="56">
        <f t="shared" si="1"/>
        <v>151.5</v>
      </c>
      <c r="G10" s="56">
        <f t="shared" si="1"/>
        <v>0</v>
      </c>
      <c r="H10" s="56">
        <f t="shared" si="1"/>
        <v>0</v>
      </c>
      <c r="I10" s="56">
        <f t="shared" si="1"/>
        <v>80.25</v>
      </c>
      <c r="J10" s="56">
        <f t="shared" si="1"/>
        <v>246.5</v>
      </c>
      <c r="K10" s="56">
        <f t="shared" si="1"/>
        <v>0</v>
      </c>
    </row>
    <row r="21" spans="6:6" ht="15.75" customHeight="1"/>
    <row r="22" spans="6:6" ht="15.75" customHeight="1"/>
    <row r="23" spans="6:6" ht="15.75" customHeight="1"/>
    <row r="24" spans="6:6" ht="15.75" customHeight="1"/>
    <row r="25" spans="6:6" ht="15.75" customHeight="1"/>
    <row r="26" spans="6:6" ht="15.75" customHeight="1">
      <c r="F26" s="62"/>
    </row>
    <row r="27" spans="6:6" ht="15.75" customHeight="1"/>
    <row r="28" spans="6:6" ht="15.75" customHeight="1"/>
    <row r="29" spans="6:6" ht="15.75" customHeight="1"/>
    <row r="30" spans="6:6" ht="15.75" customHeight="1"/>
    <row r="31" spans="6:6" ht="15.75" customHeight="1"/>
    <row r="32" spans="6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K1"/>
  </mergeCells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000"/>
  <sheetViews>
    <sheetView workbookViewId="0"/>
  </sheetViews>
  <sheetFormatPr defaultColWidth="14.42578125" defaultRowHeight="15" customHeight="1"/>
  <cols>
    <col min="1" max="1" width="8.7109375" customWidth="1"/>
    <col min="2" max="2" width="11.140625" customWidth="1"/>
    <col min="3" max="3" width="10.5703125" customWidth="1"/>
    <col min="4" max="4" width="10.7109375" customWidth="1"/>
    <col min="5" max="5" width="14.140625" customWidth="1"/>
    <col min="6" max="6" width="11.7109375" customWidth="1"/>
    <col min="7" max="7" width="11.28515625" customWidth="1"/>
    <col min="8" max="8" width="8.7109375" customWidth="1"/>
    <col min="9" max="9" width="11.28515625" customWidth="1"/>
    <col min="10" max="10" width="11.5703125" customWidth="1"/>
    <col min="11" max="26" width="8.7109375" customWidth="1"/>
  </cols>
  <sheetData>
    <row r="1" spans="1:10" ht="18.75" customHeight="1">
      <c r="B1" s="105" t="s">
        <v>96</v>
      </c>
      <c r="C1" s="106"/>
      <c r="D1" s="106"/>
      <c r="E1" s="106"/>
      <c r="F1" s="106"/>
      <c r="G1" s="106"/>
      <c r="H1" s="106"/>
      <c r="I1" s="106"/>
      <c r="J1" s="106"/>
    </row>
    <row r="3" spans="1:10">
      <c r="A3" s="55" t="s">
        <v>0</v>
      </c>
      <c r="B3" s="56" t="s">
        <v>1</v>
      </c>
      <c r="C3" s="56" t="s">
        <v>3</v>
      </c>
      <c r="D3" s="56" t="s">
        <v>86</v>
      </c>
      <c r="E3" s="56" t="s">
        <v>87</v>
      </c>
      <c r="F3" s="55" t="s">
        <v>88</v>
      </c>
      <c r="G3" s="56" t="s">
        <v>89</v>
      </c>
      <c r="H3" s="56" t="s">
        <v>97</v>
      </c>
      <c r="I3" s="56" t="s">
        <v>6</v>
      </c>
      <c r="J3" s="56" t="s">
        <v>7</v>
      </c>
    </row>
    <row r="4" spans="1:10">
      <c r="A4" s="57">
        <v>1</v>
      </c>
      <c r="B4" s="58" t="s">
        <v>9</v>
      </c>
      <c r="C4" s="63">
        <f>56+28</f>
        <v>84</v>
      </c>
      <c r="D4" s="63"/>
      <c r="E4" s="63"/>
      <c r="F4" s="10"/>
      <c r="G4" s="10"/>
      <c r="H4" s="10">
        <v>28</v>
      </c>
      <c r="I4" s="10"/>
      <c r="J4" s="10"/>
    </row>
    <row r="5" spans="1:10">
      <c r="A5" s="59">
        <v>2</v>
      </c>
      <c r="B5" s="60" t="s">
        <v>10</v>
      </c>
      <c r="C5" s="64">
        <f>112+44</f>
        <v>156</v>
      </c>
      <c r="D5" s="64"/>
      <c r="E5" s="64"/>
      <c r="F5" s="10"/>
      <c r="G5" s="10"/>
      <c r="H5" s="10"/>
      <c r="I5" s="10"/>
      <c r="J5" s="10"/>
    </row>
    <row r="6" spans="1:10">
      <c r="A6" s="59">
        <v>3</v>
      </c>
      <c r="B6" s="60" t="s">
        <v>91</v>
      </c>
      <c r="C6" s="64">
        <f>44+33.5</f>
        <v>77.5</v>
      </c>
      <c r="D6" s="64"/>
      <c r="E6" s="64"/>
      <c r="F6" s="10"/>
      <c r="G6" s="10"/>
      <c r="H6" s="10"/>
      <c r="I6" s="10"/>
      <c r="J6" s="10"/>
    </row>
    <row r="7" spans="1:10">
      <c r="A7" s="59">
        <v>4</v>
      </c>
      <c r="B7" s="60" t="s">
        <v>12</v>
      </c>
      <c r="C7" s="64">
        <f>72.25+35</f>
        <v>107.25</v>
      </c>
      <c r="D7" s="64"/>
      <c r="E7" s="64"/>
      <c r="F7" s="10"/>
      <c r="G7" s="10"/>
      <c r="H7" s="65"/>
      <c r="I7" s="10"/>
      <c r="J7" s="10"/>
    </row>
    <row r="8" spans="1:10">
      <c r="A8" s="59">
        <v>5</v>
      </c>
      <c r="B8" s="60" t="s">
        <v>13</v>
      </c>
      <c r="C8" s="64"/>
      <c r="D8" s="64"/>
      <c r="E8" s="64"/>
      <c r="F8" s="10"/>
      <c r="G8" s="10"/>
      <c r="H8" s="10"/>
      <c r="I8" s="10"/>
      <c r="J8" s="10"/>
    </row>
    <row r="9" spans="1:10">
      <c r="A9" s="59">
        <v>6</v>
      </c>
      <c r="B9" s="60" t="s">
        <v>92</v>
      </c>
      <c r="C9" s="64"/>
      <c r="D9" s="64"/>
      <c r="E9" s="64"/>
      <c r="F9" s="10"/>
      <c r="G9" s="10"/>
      <c r="H9" s="10">
        <f>40</f>
        <v>40</v>
      </c>
      <c r="I9" s="10"/>
      <c r="J9" s="10"/>
    </row>
    <row r="10" spans="1:10">
      <c r="A10" s="7"/>
      <c r="B10" s="56" t="s">
        <v>19</v>
      </c>
      <c r="C10" s="56">
        <f t="shared" ref="C10:J10" si="0">SUM(C4:C9)</f>
        <v>424.75</v>
      </c>
      <c r="D10" s="56">
        <f t="shared" si="0"/>
        <v>0</v>
      </c>
      <c r="E10" s="56">
        <f t="shared" si="0"/>
        <v>0</v>
      </c>
      <c r="F10" s="56">
        <f t="shared" si="0"/>
        <v>0</v>
      </c>
      <c r="G10" s="56">
        <f t="shared" si="0"/>
        <v>0</v>
      </c>
      <c r="H10" s="56">
        <f t="shared" si="0"/>
        <v>68</v>
      </c>
      <c r="I10" s="56">
        <f t="shared" si="0"/>
        <v>0</v>
      </c>
      <c r="J10" s="56">
        <f t="shared" si="0"/>
        <v>0</v>
      </c>
    </row>
    <row r="21" spans="6:6" ht="15.75" customHeight="1"/>
    <row r="22" spans="6:6" ht="15.75" customHeight="1"/>
    <row r="23" spans="6:6" ht="15.75" customHeight="1"/>
    <row r="24" spans="6:6" ht="15.75" customHeight="1"/>
    <row r="25" spans="6:6" ht="15.75" customHeight="1"/>
    <row r="26" spans="6:6" ht="15.75" customHeight="1">
      <c r="F26" s="62"/>
    </row>
    <row r="27" spans="6:6" ht="15.75" customHeight="1"/>
    <row r="28" spans="6:6" ht="15.75" customHeight="1"/>
    <row r="29" spans="6:6" ht="15.75" customHeight="1"/>
    <row r="30" spans="6:6" ht="15.75" customHeight="1"/>
    <row r="31" spans="6:6" ht="15.75" customHeight="1"/>
    <row r="32" spans="6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J1"/>
  </mergeCells>
  <pageMargins left="0.7" right="0.7" top="0.75" bottom="0.75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1000"/>
  <sheetViews>
    <sheetView workbookViewId="0"/>
  </sheetViews>
  <sheetFormatPr defaultColWidth="14.42578125" defaultRowHeight="15" customHeight="1"/>
  <cols>
    <col min="1" max="1" width="8.7109375" customWidth="1"/>
    <col min="2" max="2" width="11.140625" customWidth="1"/>
    <col min="3" max="3" width="10.5703125" customWidth="1"/>
    <col min="4" max="4" width="18.85546875" customWidth="1"/>
    <col min="5" max="5" width="16.7109375" customWidth="1"/>
    <col min="6" max="6" width="20.28515625" customWidth="1"/>
    <col min="7" max="8" width="7.42578125" customWidth="1"/>
    <col min="9" max="9" width="14.7109375" customWidth="1"/>
    <col min="10" max="10" width="15.42578125" customWidth="1"/>
    <col min="11" max="12" width="8.7109375" customWidth="1"/>
    <col min="13" max="13" width="7.7109375" customWidth="1"/>
    <col min="14" max="26" width="8.7109375" customWidth="1"/>
  </cols>
  <sheetData>
    <row r="1" spans="1:13" ht="18.75" customHeight="1">
      <c r="B1" s="105" t="s">
        <v>98</v>
      </c>
      <c r="C1" s="106"/>
      <c r="D1" s="106"/>
      <c r="E1" s="106"/>
      <c r="F1" s="106"/>
      <c r="G1" s="106"/>
      <c r="H1" s="106"/>
      <c r="I1" s="106"/>
      <c r="J1" s="106"/>
    </row>
    <row r="3" spans="1:13" ht="47.25">
      <c r="A3" s="2" t="s">
        <v>0</v>
      </c>
      <c r="B3" s="3" t="s">
        <v>1</v>
      </c>
      <c r="C3" s="3" t="s">
        <v>3</v>
      </c>
      <c r="D3" s="66" t="s">
        <v>99</v>
      </c>
      <c r="E3" s="67" t="s">
        <v>100</v>
      </c>
      <c r="F3" s="68" t="s">
        <v>101</v>
      </c>
      <c r="G3" s="3" t="s">
        <v>102</v>
      </c>
      <c r="H3" s="3" t="s">
        <v>103</v>
      </c>
      <c r="I3" s="69" t="s">
        <v>104</v>
      </c>
      <c r="J3" s="70" t="s">
        <v>105</v>
      </c>
      <c r="K3" s="3" t="s">
        <v>7</v>
      </c>
      <c r="L3" s="67" t="s">
        <v>106</v>
      </c>
      <c r="M3" s="3" t="s">
        <v>97</v>
      </c>
    </row>
    <row r="4" spans="1:13">
      <c r="A4" s="4">
        <v>1</v>
      </c>
      <c r="B4" s="5" t="s">
        <v>9</v>
      </c>
      <c r="C4" s="19">
        <f>8+8</f>
        <v>16</v>
      </c>
      <c r="D4" s="71"/>
      <c r="E4" s="19">
        <f>12+99</f>
        <v>111</v>
      </c>
      <c r="F4" s="19">
        <v>2</v>
      </c>
      <c r="G4" s="19"/>
      <c r="H4" s="19"/>
      <c r="I4" s="19">
        <v>1</v>
      </c>
      <c r="J4" s="19"/>
      <c r="K4" s="19">
        <v>16</v>
      </c>
      <c r="L4" s="19">
        <v>20</v>
      </c>
      <c r="M4" s="19">
        <v>4</v>
      </c>
    </row>
    <row r="5" spans="1:13">
      <c r="A5" s="4">
        <v>2</v>
      </c>
      <c r="B5" s="5" t="s">
        <v>10</v>
      </c>
      <c r="C5" s="19">
        <v>32</v>
      </c>
      <c r="D5" s="19">
        <v>46</v>
      </c>
      <c r="E5" s="71"/>
      <c r="F5" s="19">
        <f>2+24</f>
        <v>26</v>
      </c>
      <c r="G5" s="19">
        <v>21</v>
      </c>
      <c r="H5" s="19"/>
      <c r="I5" s="19"/>
      <c r="J5" s="19"/>
      <c r="K5" s="19">
        <v>16</v>
      </c>
      <c r="L5" s="19">
        <v>23</v>
      </c>
      <c r="M5" s="19"/>
    </row>
    <row r="6" spans="1:13">
      <c r="A6" s="4">
        <v>3</v>
      </c>
      <c r="B6" s="5" t="s">
        <v>91</v>
      </c>
      <c r="C6" s="19">
        <v>18</v>
      </c>
      <c r="D6" s="19">
        <v>60</v>
      </c>
      <c r="E6" s="71"/>
      <c r="F6" s="19"/>
      <c r="G6" s="19"/>
      <c r="H6" s="19"/>
      <c r="I6" s="19">
        <v>1</v>
      </c>
      <c r="J6" s="19">
        <v>68</v>
      </c>
      <c r="K6" s="19"/>
      <c r="L6" s="19"/>
      <c r="M6" s="19"/>
    </row>
    <row r="7" spans="1:13">
      <c r="A7" s="4">
        <v>4</v>
      </c>
      <c r="B7" s="5" t="s">
        <v>12</v>
      </c>
      <c r="C7" s="71">
        <v>22.5</v>
      </c>
      <c r="D7" s="19">
        <v>9.5</v>
      </c>
      <c r="E7" s="19">
        <v>22</v>
      </c>
      <c r="F7" s="19">
        <f>14.5+2</f>
        <v>16.5</v>
      </c>
      <c r="G7" s="19"/>
      <c r="H7" s="72"/>
      <c r="I7" s="19"/>
      <c r="J7" s="19"/>
      <c r="K7" s="19">
        <f>18</f>
        <v>18</v>
      </c>
      <c r="L7" s="19"/>
      <c r="M7" s="19"/>
    </row>
    <row r="8" spans="1:13">
      <c r="A8" s="4">
        <v>5</v>
      </c>
      <c r="B8" s="5" t="s">
        <v>13</v>
      </c>
      <c r="C8" s="19">
        <v>12</v>
      </c>
      <c r="D8" s="71"/>
      <c r="E8" s="19">
        <v>12</v>
      </c>
      <c r="F8" s="19">
        <v>2</v>
      </c>
      <c r="G8" s="19">
        <v>34</v>
      </c>
      <c r="H8" s="19">
        <v>2</v>
      </c>
      <c r="I8" s="19"/>
      <c r="J8" s="19"/>
      <c r="K8" s="19">
        <v>16</v>
      </c>
      <c r="L8" s="19">
        <v>20</v>
      </c>
      <c r="M8" s="19"/>
    </row>
    <row r="9" spans="1:13">
      <c r="A9" s="4">
        <v>6</v>
      </c>
      <c r="B9" s="5" t="s">
        <v>92</v>
      </c>
      <c r="C9" s="71"/>
      <c r="D9" s="71"/>
      <c r="E9" s="71">
        <f>11</f>
        <v>11</v>
      </c>
      <c r="F9" s="19"/>
      <c r="G9" s="73">
        <v>67</v>
      </c>
      <c r="H9" s="19"/>
      <c r="I9" s="19"/>
      <c r="J9" s="19"/>
      <c r="K9" s="19"/>
      <c r="L9" s="19"/>
      <c r="M9" s="19"/>
    </row>
    <row r="10" spans="1:13">
      <c r="A10" s="4">
        <v>7</v>
      </c>
      <c r="B10" s="5" t="s">
        <v>15</v>
      </c>
      <c r="C10" s="71"/>
      <c r="D10" s="71"/>
      <c r="E10" s="71"/>
      <c r="F10" s="19">
        <v>2</v>
      </c>
      <c r="G10" s="19"/>
      <c r="H10" s="19"/>
      <c r="I10" s="19">
        <v>60</v>
      </c>
      <c r="J10" s="19"/>
      <c r="K10" s="19"/>
      <c r="L10" s="19"/>
      <c r="M10" s="19"/>
    </row>
    <row r="11" spans="1:13">
      <c r="A11" s="4"/>
      <c r="B11" s="5" t="s">
        <v>107</v>
      </c>
      <c r="C11" s="71"/>
      <c r="D11" s="71"/>
      <c r="E11" s="71"/>
      <c r="F11" s="19"/>
      <c r="G11" s="19"/>
      <c r="H11" s="19"/>
      <c r="I11" s="19"/>
      <c r="J11" s="74">
        <v>36</v>
      </c>
      <c r="K11" s="19"/>
      <c r="L11" s="19"/>
      <c r="M11" s="19"/>
    </row>
    <row r="12" spans="1:13">
      <c r="A12" s="12"/>
      <c r="B12" s="13" t="s">
        <v>19</v>
      </c>
      <c r="C12" s="75">
        <f>SUM(C4:C9)</f>
        <v>100.5</v>
      </c>
      <c r="D12" s="75">
        <f t="shared" ref="D12:I12" si="0">SUM(D4:D10)</f>
        <v>115.5</v>
      </c>
      <c r="E12" s="75">
        <f t="shared" si="0"/>
        <v>156</v>
      </c>
      <c r="F12" s="75">
        <f t="shared" si="0"/>
        <v>48.5</v>
      </c>
      <c r="G12" s="75">
        <f t="shared" si="0"/>
        <v>122</v>
      </c>
      <c r="H12" s="75">
        <f t="shared" si="0"/>
        <v>2</v>
      </c>
      <c r="I12" s="75">
        <f t="shared" si="0"/>
        <v>62</v>
      </c>
      <c r="J12" s="76">
        <f>SUM(J4:J9)</f>
        <v>68</v>
      </c>
      <c r="K12" s="14">
        <f t="shared" ref="K12:M12" si="1">SUM(K4:K11)</f>
        <v>66</v>
      </c>
      <c r="L12" s="14">
        <f t="shared" si="1"/>
        <v>63</v>
      </c>
      <c r="M12" s="14">
        <f t="shared" si="1"/>
        <v>4</v>
      </c>
    </row>
    <row r="21" spans="6:6" ht="15.75" customHeight="1"/>
    <row r="22" spans="6:6" ht="15.75" customHeight="1"/>
    <row r="23" spans="6:6" ht="15.75" customHeight="1"/>
    <row r="24" spans="6:6" ht="15.75" customHeight="1"/>
    <row r="25" spans="6:6" ht="15.75" customHeight="1"/>
    <row r="26" spans="6:6" ht="15.75" customHeight="1"/>
    <row r="27" spans="6:6" ht="15.75" customHeight="1"/>
    <row r="28" spans="6:6" ht="15.75" customHeight="1">
      <c r="F28" s="62"/>
    </row>
    <row r="29" spans="6:6" ht="15.75" customHeight="1"/>
    <row r="30" spans="6:6" ht="15.75" customHeight="1"/>
    <row r="31" spans="6:6" ht="15.75" customHeight="1"/>
    <row r="32" spans="6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J1"/>
  </mergeCells>
  <pageMargins left="0.7" right="0.7" top="0.75" bottom="0.75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0"/>
  <sheetViews>
    <sheetView workbookViewId="0"/>
  </sheetViews>
  <sheetFormatPr defaultColWidth="14.42578125" defaultRowHeight="15" customHeight="1"/>
  <cols>
    <col min="1" max="1" width="8.7109375" customWidth="1"/>
    <col min="2" max="2" width="11.140625" customWidth="1"/>
    <col min="3" max="3" width="10.5703125" customWidth="1"/>
    <col min="4" max="4" width="18.85546875" customWidth="1"/>
    <col min="5" max="5" width="16.7109375" customWidth="1"/>
    <col min="6" max="6" width="20.28515625" customWidth="1"/>
    <col min="7" max="7" width="9" customWidth="1"/>
    <col min="8" max="8" width="7.42578125" customWidth="1"/>
    <col min="9" max="9" width="14.7109375" customWidth="1"/>
    <col min="10" max="10" width="15.42578125" customWidth="1"/>
    <col min="11" max="12" width="8.7109375" customWidth="1"/>
    <col min="13" max="13" width="7.7109375" customWidth="1"/>
    <col min="14" max="26" width="8.7109375" customWidth="1"/>
  </cols>
  <sheetData>
    <row r="1" spans="1:26" ht="18.75" customHeight="1">
      <c r="B1" s="105" t="s">
        <v>108</v>
      </c>
      <c r="C1" s="106"/>
      <c r="D1" s="106"/>
      <c r="E1" s="106"/>
      <c r="F1" s="106"/>
      <c r="G1" s="106"/>
      <c r="H1" s="106"/>
      <c r="I1" s="106"/>
      <c r="J1" s="106"/>
    </row>
    <row r="3" spans="1:26" ht="15.75">
      <c r="A3" s="2" t="s">
        <v>0</v>
      </c>
      <c r="B3" s="3" t="s">
        <v>1</v>
      </c>
      <c r="C3" s="3" t="s">
        <v>109</v>
      </c>
      <c r="D3" s="66" t="s">
        <v>2</v>
      </c>
      <c r="E3" s="67" t="s">
        <v>3</v>
      </c>
      <c r="F3" s="68" t="s">
        <v>4</v>
      </c>
      <c r="G3" s="3" t="s">
        <v>5</v>
      </c>
      <c r="H3" s="3" t="s">
        <v>110</v>
      </c>
      <c r="I3" s="69" t="s">
        <v>111</v>
      </c>
      <c r="J3" s="70" t="s">
        <v>112</v>
      </c>
      <c r="K3" s="3"/>
      <c r="L3" s="67"/>
      <c r="M3" s="3"/>
    </row>
    <row r="4" spans="1:26">
      <c r="A4" s="4">
        <v>1</v>
      </c>
      <c r="B4" s="5" t="s">
        <v>9</v>
      </c>
      <c r="C4" s="19">
        <v>24</v>
      </c>
      <c r="D4" s="71">
        <v>36</v>
      </c>
      <c r="E4" s="19"/>
      <c r="F4" s="19">
        <v>83.75</v>
      </c>
      <c r="G4" s="19"/>
      <c r="H4" s="19"/>
      <c r="I4" s="19"/>
      <c r="J4" s="19"/>
      <c r="K4" s="19"/>
      <c r="L4" s="19"/>
      <c r="M4" s="19"/>
    </row>
    <row r="5" spans="1:26">
      <c r="A5" s="4">
        <v>2</v>
      </c>
      <c r="B5" s="5" t="s">
        <v>10</v>
      </c>
      <c r="C5" s="19"/>
      <c r="D5" s="19"/>
      <c r="E5" s="71"/>
      <c r="F5" s="19"/>
      <c r="G5" s="19">
        <v>157.75</v>
      </c>
      <c r="H5" s="19"/>
      <c r="I5" s="19"/>
      <c r="J5" s="19"/>
      <c r="K5" s="19"/>
      <c r="L5" s="19"/>
      <c r="M5" s="19"/>
    </row>
    <row r="6" spans="1:26">
      <c r="A6" s="4">
        <v>3</v>
      </c>
      <c r="B6" s="5" t="s">
        <v>11</v>
      </c>
      <c r="C6" s="19"/>
      <c r="D6" s="19"/>
      <c r="E6" s="71">
        <v>48</v>
      </c>
      <c r="F6" s="19"/>
      <c r="G6" s="19">
        <v>16</v>
      </c>
      <c r="H6" s="19"/>
      <c r="I6" s="19"/>
      <c r="J6" s="19"/>
      <c r="K6" s="19"/>
      <c r="L6" s="19"/>
      <c r="M6" s="19"/>
    </row>
    <row r="7" spans="1:26">
      <c r="A7" s="4">
        <v>4</v>
      </c>
      <c r="B7" s="5" t="s">
        <v>12</v>
      </c>
      <c r="C7" s="77" t="s">
        <v>180</v>
      </c>
      <c r="D7" s="20" t="s">
        <v>180</v>
      </c>
      <c r="E7" s="20" t="s">
        <v>180</v>
      </c>
      <c r="F7" s="20" t="s">
        <v>180</v>
      </c>
      <c r="G7" s="20" t="s">
        <v>180</v>
      </c>
      <c r="H7" s="29" t="s">
        <v>180</v>
      </c>
      <c r="I7" s="19"/>
      <c r="J7" s="19"/>
      <c r="K7" s="19"/>
      <c r="L7" s="19"/>
      <c r="M7" s="19"/>
    </row>
    <row r="8" spans="1:26">
      <c r="A8" s="4">
        <v>5</v>
      </c>
      <c r="B8" s="5" t="s">
        <v>13</v>
      </c>
      <c r="C8" s="19"/>
      <c r="D8" s="71"/>
      <c r="E8" s="19"/>
      <c r="F8" s="19"/>
      <c r="G8" s="20" t="s">
        <v>180</v>
      </c>
      <c r="H8" s="19"/>
      <c r="I8" s="20" t="s">
        <v>180</v>
      </c>
      <c r="J8" s="19"/>
      <c r="K8" s="19"/>
      <c r="L8" s="19"/>
      <c r="M8" s="19"/>
    </row>
    <row r="9" spans="1:26">
      <c r="A9" s="4">
        <v>6</v>
      </c>
      <c r="B9" s="5" t="s">
        <v>14</v>
      </c>
      <c r="C9" s="71"/>
      <c r="D9" s="77" t="s">
        <v>180</v>
      </c>
      <c r="E9" s="77" t="s">
        <v>180</v>
      </c>
      <c r="F9" s="20" t="s">
        <v>180</v>
      </c>
      <c r="G9" s="78" t="s">
        <v>180</v>
      </c>
      <c r="H9" s="20" t="s">
        <v>180</v>
      </c>
      <c r="I9" s="19"/>
      <c r="J9" s="20" t="s">
        <v>180</v>
      </c>
      <c r="K9" s="19"/>
      <c r="L9" s="19"/>
      <c r="M9" s="19"/>
    </row>
    <row r="10" spans="1:26">
      <c r="A10" s="4">
        <v>7</v>
      </c>
      <c r="B10" s="5" t="s">
        <v>15</v>
      </c>
      <c r="C10" s="71"/>
      <c r="D10" s="77" t="s">
        <v>180</v>
      </c>
      <c r="E10" s="71"/>
      <c r="F10" s="20" t="s">
        <v>180</v>
      </c>
      <c r="G10" s="20" t="s">
        <v>180</v>
      </c>
      <c r="H10" s="20" t="s">
        <v>180</v>
      </c>
      <c r="I10" s="19"/>
      <c r="J10" s="19"/>
      <c r="K10" s="19"/>
      <c r="L10" s="19"/>
      <c r="M10" s="19"/>
    </row>
    <row r="11" spans="1:26">
      <c r="A11" s="4">
        <v>8</v>
      </c>
      <c r="B11" s="5" t="s">
        <v>16</v>
      </c>
      <c r="C11" s="71"/>
      <c r="D11" s="77" t="s">
        <v>180</v>
      </c>
      <c r="E11" s="77" t="s">
        <v>180</v>
      </c>
      <c r="F11" s="19"/>
      <c r="G11" s="20" t="s">
        <v>180</v>
      </c>
      <c r="H11" s="19"/>
      <c r="I11" s="19"/>
      <c r="J11" s="74"/>
      <c r="K11" s="19"/>
      <c r="L11" s="19"/>
      <c r="M11" s="19"/>
    </row>
    <row r="12" spans="1:26">
      <c r="A12" s="12"/>
      <c r="B12" s="13" t="s">
        <v>19</v>
      </c>
      <c r="C12" s="75">
        <f t="shared" ref="C12:J12" si="0">SUM(C4:C11)</f>
        <v>24</v>
      </c>
      <c r="D12" s="75">
        <f t="shared" si="0"/>
        <v>36</v>
      </c>
      <c r="E12" s="75">
        <f t="shared" si="0"/>
        <v>48</v>
      </c>
      <c r="F12" s="75">
        <f t="shared" si="0"/>
        <v>83.75</v>
      </c>
      <c r="G12" s="75">
        <f t="shared" si="0"/>
        <v>173.75</v>
      </c>
      <c r="H12" s="75">
        <f t="shared" si="0"/>
        <v>0</v>
      </c>
      <c r="I12" s="75">
        <f t="shared" si="0"/>
        <v>0</v>
      </c>
      <c r="J12" s="76">
        <f t="shared" si="0"/>
        <v>0</v>
      </c>
      <c r="K12" s="14"/>
      <c r="L12" s="14"/>
      <c r="M12" s="14"/>
    </row>
    <row r="13" spans="1:26">
      <c r="A13" s="15"/>
      <c r="B13" s="15"/>
      <c r="C13" s="15" t="s">
        <v>27</v>
      </c>
      <c r="D13" s="15" t="s">
        <v>27</v>
      </c>
      <c r="E13" s="15" t="s">
        <v>27</v>
      </c>
      <c r="F13" s="15" t="s">
        <v>27</v>
      </c>
      <c r="G13" s="15" t="s">
        <v>27</v>
      </c>
      <c r="H13" s="15" t="s">
        <v>27</v>
      </c>
      <c r="I13" s="15" t="s">
        <v>27</v>
      </c>
      <c r="J13" s="15" t="s">
        <v>27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21" spans="6:6" ht="15.75" customHeight="1"/>
    <row r="22" spans="6:6" ht="15.75" customHeight="1"/>
    <row r="23" spans="6:6" ht="15.75" customHeight="1"/>
    <row r="24" spans="6:6" ht="15.75" customHeight="1"/>
    <row r="25" spans="6:6" ht="15.75" customHeight="1"/>
    <row r="26" spans="6:6" ht="15.75" customHeight="1"/>
    <row r="27" spans="6:6" ht="15.75" customHeight="1"/>
    <row r="28" spans="6:6" ht="15.75" customHeight="1">
      <c r="F28" s="62"/>
    </row>
    <row r="29" spans="6:6" ht="15.75" customHeight="1"/>
    <row r="30" spans="6:6" ht="15.75" customHeight="1"/>
    <row r="31" spans="6:6" ht="15.75" customHeight="1"/>
    <row r="32" spans="6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J1"/>
  </mergeCells>
  <pageMargins left="0.7" right="0.7" top="0.75" bottom="0.75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000"/>
  <sheetViews>
    <sheetView workbookViewId="0"/>
  </sheetViews>
  <sheetFormatPr defaultColWidth="14.42578125" defaultRowHeight="15" customHeight="1"/>
  <cols>
    <col min="1" max="1" width="43.28515625" customWidth="1"/>
    <col min="2" max="2" width="10.5703125" customWidth="1"/>
    <col min="3" max="3" width="12" customWidth="1"/>
    <col min="4" max="4" width="13.85546875" customWidth="1"/>
    <col min="5" max="5" width="13.28515625" customWidth="1"/>
    <col min="6" max="6" width="10.7109375" customWidth="1"/>
    <col min="7" max="7" width="11.140625" customWidth="1"/>
    <col min="8" max="10" width="10.5703125" customWidth="1"/>
    <col min="11" max="12" width="9.140625" customWidth="1"/>
    <col min="13" max="13" width="10" customWidth="1"/>
    <col min="14" max="18" width="9.140625" customWidth="1"/>
    <col min="19" max="26" width="8.7109375" customWidth="1"/>
  </cols>
  <sheetData>
    <row r="1" spans="1:26" ht="18.75" customHeight="1">
      <c r="A1" s="8"/>
      <c r="B1" s="105"/>
      <c r="C1" s="106"/>
      <c r="D1" s="106"/>
      <c r="E1" s="106"/>
      <c r="F1" s="106"/>
      <c r="G1" s="10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>
      <c r="A4" s="16" t="s">
        <v>20</v>
      </c>
      <c r="B4" s="17" t="s">
        <v>21</v>
      </c>
      <c r="C4" s="17" t="s">
        <v>22</v>
      </c>
      <c r="D4" s="17" t="s">
        <v>23</v>
      </c>
      <c r="E4" s="17" t="s">
        <v>24</v>
      </c>
      <c r="F4" s="17" t="s">
        <v>25</v>
      </c>
      <c r="G4" s="17" t="s">
        <v>17</v>
      </c>
      <c r="H4" s="17" t="s">
        <v>10</v>
      </c>
      <c r="I4" s="17" t="s">
        <v>12</v>
      </c>
      <c r="J4" s="17" t="s">
        <v>19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>
      <c r="A5" s="18" t="s">
        <v>8</v>
      </c>
      <c r="B5" s="19"/>
      <c r="C5" s="19"/>
      <c r="D5" s="20"/>
      <c r="E5" s="19"/>
      <c r="F5" s="19"/>
      <c r="G5" s="19"/>
      <c r="H5" s="19"/>
      <c r="I5" s="19">
        <v>6</v>
      </c>
      <c r="J5" s="21">
        <f t="shared" ref="J5:J11" si="0">SUM(B5:I5)</f>
        <v>6</v>
      </c>
      <c r="K5" s="22"/>
      <c r="L5" s="22"/>
      <c r="M5" s="23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>
      <c r="A6" s="24" t="s">
        <v>26</v>
      </c>
      <c r="B6" s="19">
        <f>8</f>
        <v>8</v>
      </c>
      <c r="C6" s="19"/>
      <c r="D6" s="20"/>
      <c r="E6" s="19"/>
      <c r="F6" s="25"/>
      <c r="G6" s="20"/>
      <c r="H6" s="26"/>
      <c r="I6" s="20">
        <f>15.5+2.5</f>
        <v>18</v>
      </c>
      <c r="J6" s="21">
        <f t="shared" si="0"/>
        <v>26</v>
      </c>
      <c r="K6" s="27" t="s">
        <v>27</v>
      </c>
      <c r="L6" s="27"/>
      <c r="M6" s="23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>
      <c r="A7" s="24" t="s">
        <v>28</v>
      </c>
      <c r="B7" s="19">
        <f>12</f>
        <v>12</v>
      </c>
      <c r="C7" s="38">
        <f>8</f>
        <v>8</v>
      </c>
      <c r="D7" s="20">
        <f>12</f>
        <v>12</v>
      </c>
      <c r="E7" s="38">
        <v>9</v>
      </c>
      <c r="F7" s="25"/>
      <c r="G7" s="19"/>
      <c r="H7" s="20">
        <f>23+25.75</f>
        <v>48.75</v>
      </c>
      <c r="I7" s="20">
        <f>22+22.5</f>
        <v>44.5</v>
      </c>
      <c r="J7" s="21">
        <f t="shared" si="0"/>
        <v>134.25</v>
      </c>
      <c r="K7" s="27" t="s">
        <v>27</v>
      </c>
      <c r="L7" s="27"/>
      <c r="M7" s="23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>
      <c r="A8" s="24" t="s">
        <v>29</v>
      </c>
      <c r="B8" s="19">
        <f>94+49</f>
        <v>143</v>
      </c>
      <c r="C8" s="19"/>
      <c r="D8" s="20">
        <f>33.5+61</f>
        <v>94.5</v>
      </c>
      <c r="E8" s="19"/>
      <c r="F8" s="25">
        <f>103+64</f>
        <v>167</v>
      </c>
      <c r="G8" s="20"/>
      <c r="H8" s="19">
        <f>102+40.75</f>
        <v>142.75</v>
      </c>
      <c r="I8" s="38">
        <f>88+34</f>
        <v>122</v>
      </c>
      <c r="J8" s="21">
        <f t="shared" si="0"/>
        <v>669.25</v>
      </c>
      <c r="K8" s="22" t="s">
        <v>27</v>
      </c>
      <c r="L8" s="22"/>
      <c r="M8" s="23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>
      <c r="A9" s="24" t="s">
        <v>30</v>
      </c>
      <c r="B9" s="19"/>
      <c r="C9" s="38">
        <f>142.5+61</f>
        <v>203.5</v>
      </c>
      <c r="D9" s="20">
        <f>69</f>
        <v>69</v>
      </c>
      <c r="E9" s="20">
        <f>128+68</f>
        <v>196</v>
      </c>
      <c r="F9" s="28"/>
      <c r="G9" s="20"/>
      <c r="H9" s="20"/>
      <c r="I9" s="20"/>
      <c r="J9" s="21">
        <f t="shared" si="0"/>
        <v>468.5</v>
      </c>
      <c r="K9" s="27" t="s">
        <v>27</v>
      </c>
      <c r="L9" s="27"/>
      <c r="M9" s="23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>
      <c r="A10" s="24" t="s">
        <v>31</v>
      </c>
      <c r="B10" s="19"/>
      <c r="C10" s="19"/>
      <c r="D10" s="29">
        <f>7.5</f>
        <v>7.5</v>
      </c>
      <c r="E10" s="19"/>
      <c r="F10" s="20"/>
      <c r="G10" s="20"/>
      <c r="H10" s="19"/>
      <c r="I10" s="19"/>
      <c r="J10" s="21">
        <f t="shared" si="0"/>
        <v>7.5</v>
      </c>
      <c r="K10" s="22" t="s">
        <v>27</v>
      </c>
      <c r="L10" s="22"/>
      <c r="M10" s="23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>
      <c r="A11" s="24" t="s">
        <v>32</v>
      </c>
      <c r="B11" s="19">
        <f>16</f>
        <v>16</v>
      </c>
      <c r="C11" s="19"/>
      <c r="D11" s="19"/>
      <c r="E11" s="19"/>
      <c r="F11" s="19">
        <f>16.5</f>
        <v>16.5</v>
      </c>
      <c r="G11" s="19">
        <f>123.25+60</f>
        <v>183.25</v>
      </c>
      <c r="H11" s="19"/>
      <c r="I11" s="19"/>
      <c r="J11" s="21">
        <f t="shared" si="0"/>
        <v>215.75</v>
      </c>
      <c r="K11" s="22"/>
      <c r="L11" s="22"/>
      <c r="M11" s="30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>
      <c r="A12" s="31"/>
      <c r="B12" s="19"/>
      <c r="C12" s="19"/>
      <c r="D12" s="19"/>
      <c r="E12" s="19"/>
      <c r="F12" s="19"/>
      <c r="G12" s="19"/>
      <c r="H12" s="19"/>
      <c r="I12" s="19"/>
      <c r="J12" s="21">
        <f>SUM(J5:J11)</f>
        <v>1527.25</v>
      </c>
      <c r="K12" s="22"/>
      <c r="L12" s="22"/>
      <c r="M12" s="30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>
      <c r="A13" s="32"/>
      <c r="B13" s="22"/>
      <c r="C13" s="22"/>
      <c r="D13" s="22"/>
      <c r="E13" s="22"/>
      <c r="F13" s="22"/>
      <c r="G13" s="22"/>
      <c r="H13" s="22"/>
      <c r="I13" s="30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>
      <c r="A14" s="8"/>
      <c r="B14" s="8"/>
      <c r="C14" s="8"/>
      <c r="D14" s="8"/>
      <c r="E14" s="8"/>
      <c r="F14" s="8"/>
      <c r="G14" s="8"/>
      <c r="H14" s="8"/>
      <c r="I14" s="30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>
      <c r="A15" s="16" t="s">
        <v>20</v>
      </c>
      <c r="B15" s="16" t="s">
        <v>33</v>
      </c>
      <c r="C15" s="16" t="s">
        <v>34</v>
      </c>
      <c r="D15" s="16" t="s">
        <v>37</v>
      </c>
      <c r="E15" s="16" t="s">
        <v>38</v>
      </c>
      <c r="F15" s="16" t="s">
        <v>39</v>
      </c>
      <c r="G15" s="16" t="s">
        <v>36</v>
      </c>
      <c r="H15" s="16" t="s">
        <v>18</v>
      </c>
      <c r="I15" s="16"/>
      <c r="J15" s="16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>
      <c r="A16" s="18" t="s">
        <v>8</v>
      </c>
      <c r="B16" s="35">
        <f>8+16</f>
        <v>24</v>
      </c>
      <c r="C16" s="35">
        <f>16</f>
        <v>16</v>
      </c>
      <c r="D16" s="35">
        <f>48</f>
        <v>48</v>
      </c>
      <c r="E16" s="35">
        <f>32</f>
        <v>32</v>
      </c>
      <c r="F16" s="35">
        <f>48+45</f>
        <v>93</v>
      </c>
      <c r="G16" s="35">
        <f>56+12</f>
        <v>68</v>
      </c>
      <c r="H16" s="35">
        <v>2.5</v>
      </c>
      <c r="I16" s="35">
        <f t="shared" ref="I16:I18" si="1">SUM(B16:H16)</f>
        <v>283.5</v>
      </c>
      <c r="J16" s="7"/>
      <c r="K16" s="8"/>
      <c r="L16" s="8"/>
      <c r="M16" s="8">
        <f>J11+I19</f>
        <v>215.75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>
      <c r="A17" s="24" t="s">
        <v>48</v>
      </c>
      <c r="B17" s="35">
        <f>88</f>
        <v>88</v>
      </c>
      <c r="C17" s="35">
        <f>56</f>
        <v>56</v>
      </c>
      <c r="D17" s="35">
        <f>112</f>
        <v>112</v>
      </c>
      <c r="E17" s="35"/>
      <c r="F17" s="35">
        <v>48</v>
      </c>
      <c r="G17" s="35">
        <f>56</f>
        <v>56</v>
      </c>
      <c r="H17" s="35">
        <f>48.5</f>
        <v>48.5</v>
      </c>
      <c r="I17" s="35">
        <f t="shared" si="1"/>
        <v>408.5</v>
      </c>
      <c r="J17" s="7"/>
      <c r="K17" s="8" t="s">
        <v>27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>
      <c r="A18" s="24" t="s">
        <v>41</v>
      </c>
      <c r="B18" s="35"/>
      <c r="C18" s="35"/>
      <c r="D18" s="35">
        <f>9</f>
        <v>9</v>
      </c>
      <c r="E18" s="35">
        <v>16</v>
      </c>
      <c r="F18" s="35">
        <v>22</v>
      </c>
      <c r="G18" s="35">
        <v>22.5</v>
      </c>
      <c r="H18" s="35">
        <f>17</f>
        <v>17</v>
      </c>
      <c r="I18" s="35">
        <f t="shared" si="1"/>
        <v>86.5</v>
      </c>
      <c r="J18" s="7"/>
      <c r="K18" s="8" t="s">
        <v>27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>
      <c r="A19" s="24" t="s">
        <v>32</v>
      </c>
      <c r="B19" s="35"/>
      <c r="C19" s="35"/>
      <c r="D19" s="35"/>
      <c r="E19" s="35"/>
      <c r="F19" s="35"/>
      <c r="G19" s="35">
        <f>8+35</f>
        <v>43</v>
      </c>
      <c r="H19" s="35">
        <f>8+29</f>
        <v>37</v>
      </c>
      <c r="I19" s="35"/>
      <c r="J19" s="7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>
      <c r="A20" s="24" t="s">
        <v>51</v>
      </c>
      <c r="B20" s="35"/>
      <c r="C20" s="35"/>
      <c r="D20" s="35"/>
      <c r="E20" s="35">
        <f>46</f>
        <v>46</v>
      </c>
      <c r="F20" s="35"/>
      <c r="G20" s="35"/>
      <c r="H20" s="35"/>
      <c r="I20" s="35">
        <f t="shared" ref="I20:I24" si="2">SUM(B20:H20)</f>
        <v>46</v>
      </c>
      <c r="J20" s="7"/>
      <c r="K20" s="8" t="s">
        <v>27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>
      <c r="A21" s="24" t="s">
        <v>52</v>
      </c>
      <c r="B21" s="35"/>
      <c r="C21" s="35"/>
      <c r="D21" s="35"/>
      <c r="E21" s="35">
        <v>46</v>
      </c>
      <c r="F21" s="35"/>
      <c r="G21" s="35"/>
      <c r="H21" s="35"/>
      <c r="I21" s="35">
        <f t="shared" si="2"/>
        <v>46</v>
      </c>
      <c r="J21" s="7"/>
      <c r="K21" s="8" t="s">
        <v>27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>
      <c r="A22" s="24" t="s">
        <v>40</v>
      </c>
      <c r="B22" s="35"/>
      <c r="C22" s="35"/>
      <c r="D22" s="35"/>
      <c r="E22" s="35">
        <f>50</f>
        <v>50</v>
      </c>
      <c r="F22" s="35"/>
      <c r="G22" s="35"/>
      <c r="H22" s="35">
        <f>63+23.5</f>
        <v>86.5</v>
      </c>
      <c r="I22" s="35">
        <f t="shared" si="2"/>
        <v>136.5</v>
      </c>
      <c r="J22" s="7"/>
      <c r="K22" s="8" t="s">
        <v>27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>
      <c r="A23" s="24" t="s">
        <v>43</v>
      </c>
      <c r="B23" s="35">
        <v>35.25</v>
      </c>
      <c r="C23" s="35">
        <f>40+44</f>
        <v>84</v>
      </c>
      <c r="D23" s="35"/>
      <c r="E23" s="35"/>
      <c r="F23" s="35"/>
      <c r="G23" s="35"/>
      <c r="H23" s="35"/>
      <c r="I23" s="35">
        <f t="shared" si="2"/>
        <v>119.25</v>
      </c>
      <c r="J23" s="7"/>
      <c r="K23" s="8" t="s">
        <v>27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>
      <c r="A24" s="24" t="s">
        <v>45</v>
      </c>
      <c r="B24" s="35">
        <f>8</f>
        <v>8</v>
      </c>
      <c r="C24" s="35"/>
      <c r="D24" s="35"/>
      <c r="E24" s="35"/>
      <c r="F24" s="35"/>
      <c r="G24" s="35"/>
      <c r="H24" s="35"/>
      <c r="I24" s="35">
        <f t="shared" si="2"/>
        <v>8</v>
      </c>
      <c r="J24" s="7"/>
      <c r="K24" s="8" t="s">
        <v>27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>
      <c r="A25" s="8"/>
      <c r="B25" s="8"/>
      <c r="C25" s="8"/>
      <c r="D25" s="8"/>
      <c r="E25" s="8"/>
      <c r="F25" s="8"/>
      <c r="G25" s="8"/>
      <c r="H25" s="8"/>
      <c r="I25" s="79">
        <f>SUM(I16:I24)</f>
        <v>1134.25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">
    <mergeCell ref="B1:G1"/>
  </mergeCells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1000"/>
  <sheetViews>
    <sheetView workbookViewId="0"/>
  </sheetViews>
  <sheetFormatPr defaultColWidth="14.42578125" defaultRowHeight="15" customHeight="1"/>
  <cols>
    <col min="1" max="1" width="52.140625" customWidth="1"/>
    <col min="2" max="2" width="10.5703125" customWidth="1"/>
    <col min="3" max="3" width="12" customWidth="1"/>
    <col min="4" max="4" width="13.85546875" customWidth="1"/>
    <col min="5" max="5" width="13.28515625" customWidth="1"/>
    <col min="6" max="6" width="10.42578125" customWidth="1"/>
    <col min="7" max="7" width="11.140625" customWidth="1"/>
    <col min="8" max="10" width="10.5703125" customWidth="1"/>
    <col min="11" max="11" width="15" customWidth="1"/>
    <col min="12" max="13" width="9.140625" customWidth="1"/>
    <col min="14" max="14" width="10" customWidth="1"/>
    <col min="15" max="19" width="9.140625" customWidth="1"/>
    <col min="20" max="26" width="8.7109375" customWidth="1"/>
  </cols>
  <sheetData>
    <row r="1" spans="1:26" ht="18.75" customHeight="1">
      <c r="A1" s="8"/>
      <c r="B1" s="105"/>
      <c r="C1" s="106"/>
      <c r="D1" s="106"/>
      <c r="E1" s="106"/>
      <c r="F1" s="106"/>
      <c r="G1" s="10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>
      <c r="A4" s="16" t="s">
        <v>20</v>
      </c>
      <c r="B4" s="4" t="s">
        <v>21</v>
      </c>
      <c r="C4" s="17" t="s">
        <v>22</v>
      </c>
      <c r="D4" s="17" t="s">
        <v>23</v>
      </c>
      <c r="E4" s="17" t="s">
        <v>24</v>
      </c>
      <c r="F4" s="4" t="s">
        <v>25</v>
      </c>
      <c r="G4" s="17" t="s">
        <v>10</v>
      </c>
      <c r="H4" s="17" t="s">
        <v>12</v>
      </c>
      <c r="I4" s="17" t="s">
        <v>53</v>
      </c>
      <c r="J4" s="17" t="s">
        <v>19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>
      <c r="A5" s="24" t="s">
        <v>8</v>
      </c>
      <c r="B5" s="19"/>
      <c r="C5" s="19">
        <f>30+9</f>
        <v>39</v>
      </c>
      <c r="D5" s="20">
        <f>24+60</f>
        <v>84</v>
      </c>
      <c r="E5" s="19">
        <f>21+20</f>
        <v>41</v>
      </c>
      <c r="F5" s="38"/>
      <c r="G5" s="19">
        <f>2+5</f>
        <v>7</v>
      </c>
      <c r="H5" s="19">
        <f>30+8</f>
        <v>38</v>
      </c>
      <c r="I5" s="19">
        <f>18+8</f>
        <v>26</v>
      </c>
      <c r="J5" s="41">
        <f t="shared" ref="J5:J11" si="0">SUM(B5:I5)</f>
        <v>235</v>
      </c>
      <c r="K5" s="8" t="s">
        <v>27</v>
      </c>
      <c r="L5" s="22"/>
      <c r="M5" s="22"/>
      <c r="N5" s="23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>
      <c r="A6" s="46" t="s">
        <v>63</v>
      </c>
      <c r="B6" s="19">
        <f>112+63.5</f>
        <v>175.5</v>
      </c>
      <c r="C6" s="19">
        <f>56.25+56</f>
        <v>112.25</v>
      </c>
      <c r="D6" s="20"/>
      <c r="E6" s="19">
        <f>7+44</f>
        <v>51</v>
      </c>
      <c r="F6" s="20">
        <f>82.75+63.75</f>
        <v>146.5</v>
      </c>
      <c r="G6" s="20">
        <f>97+57.75</f>
        <v>154.75</v>
      </c>
      <c r="H6" s="20">
        <f>21+22</f>
        <v>43</v>
      </c>
      <c r="I6" s="20">
        <f>22+20</f>
        <v>42</v>
      </c>
      <c r="J6" s="80">
        <f t="shared" si="0"/>
        <v>725</v>
      </c>
      <c r="K6" s="8" t="s">
        <v>27</v>
      </c>
      <c r="L6" s="27"/>
      <c r="M6" s="27"/>
      <c r="N6" s="23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>
      <c r="A7" s="24" t="s">
        <v>113</v>
      </c>
      <c r="B7" s="19"/>
      <c r="C7" s="38">
        <v>5</v>
      </c>
      <c r="D7" s="20">
        <v>72</v>
      </c>
      <c r="E7" s="38">
        <v>41</v>
      </c>
      <c r="F7" s="20">
        <v>48.75</v>
      </c>
      <c r="G7" s="20"/>
      <c r="H7" s="20">
        <v>20</v>
      </c>
      <c r="I7" s="20">
        <v>70</v>
      </c>
      <c r="J7" s="41">
        <f t="shared" si="0"/>
        <v>256.75</v>
      </c>
      <c r="K7" s="11" t="s">
        <v>27</v>
      </c>
      <c r="L7" s="27"/>
      <c r="M7" s="27"/>
      <c r="N7" s="22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>
      <c r="A8" s="46" t="s">
        <v>114</v>
      </c>
      <c r="B8" s="19"/>
      <c r="C8" s="19">
        <v>8</v>
      </c>
      <c r="D8" s="20">
        <v>11</v>
      </c>
      <c r="E8" s="19"/>
      <c r="F8" s="26"/>
      <c r="G8" s="19"/>
      <c r="H8" s="38">
        <v>42.5</v>
      </c>
      <c r="I8" s="38">
        <v>9</v>
      </c>
      <c r="J8" s="41">
        <f t="shared" si="0"/>
        <v>70.5</v>
      </c>
      <c r="K8" s="8" t="s">
        <v>27</v>
      </c>
      <c r="L8" s="22"/>
      <c r="M8" s="22"/>
      <c r="N8" s="23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>
      <c r="A9" s="46" t="s">
        <v>115</v>
      </c>
      <c r="B9" s="19"/>
      <c r="C9" s="38"/>
      <c r="D9" s="20"/>
      <c r="E9" s="20"/>
      <c r="F9" s="28"/>
      <c r="G9" s="20">
        <v>4</v>
      </c>
      <c r="H9" s="20">
        <v>2</v>
      </c>
      <c r="I9" s="20"/>
      <c r="J9" s="41">
        <f t="shared" si="0"/>
        <v>6</v>
      </c>
      <c r="K9" s="8" t="s">
        <v>27</v>
      </c>
      <c r="L9" s="27"/>
      <c r="M9" s="27"/>
      <c r="N9" s="23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5.75" customHeight="1">
      <c r="A10" s="24" t="s">
        <v>81</v>
      </c>
      <c r="B10" s="19"/>
      <c r="C10" s="19"/>
      <c r="D10" s="19">
        <v>4</v>
      </c>
      <c r="E10" s="19"/>
      <c r="F10" s="19"/>
      <c r="G10" s="19"/>
      <c r="H10" s="19">
        <v>9</v>
      </c>
      <c r="I10" s="19">
        <f>35.5</f>
        <v>35.5</v>
      </c>
      <c r="J10" s="41">
        <f t="shared" si="0"/>
        <v>48.5</v>
      </c>
      <c r="K10" s="22" t="s">
        <v>27</v>
      </c>
      <c r="L10" s="22"/>
      <c r="M10" s="22"/>
      <c r="N10" s="30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>
      <c r="A11" s="46" t="s">
        <v>54</v>
      </c>
      <c r="B11" s="19"/>
      <c r="C11" s="19">
        <v>8</v>
      </c>
      <c r="D11" s="19"/>
      <c r="E11" s="19">
        <v>43.5</v>
      </c>
      <c r="F11" s="19"/>
      <c r="G11" s="19"/>
      <c r="H11" s="19"/>
      <c r="I11" s="54"/>
      <c r="J11" s="41">
        <f t="shared" si="0"/>
        <v>51.5</v>
      </c>
      <c r="K11" s="8" t="s">
        <v>27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>
      <c r="A12" s="24"/>
      <c r="B12" s="19"/>
      <c r="C12" s="19"/>
      <c r="D12" s="19"/>
      <c r="E12" s="19"/>
      <c r="F12" s="19"/>
      <c r="G12" s="19"/>
      <c r="H12" s="19"/>
      <c r="I12" s="54"/>
      <c r="J12" s="41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>
      <c r="A13" s="8"/>
      <c r="B13" s="8"/>
      <c r="C13" s="8"/>
      <c r="D13" s="8"/>
      <c r="E13" s="8"/>
      <c r="F13" s="8"/>
      <c r="G13" s="8"/>
      <c r="H13" s="8"/>
      <c r="I13" s="30"/>
      <c r="J13" s="30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>
      <c r="A14" s="16" t="s">
        <v>20</v>
      </c>
      <c r="B14" s="52" t="s">
        <v>66</v>
      </c>
      <c r="C14" s="16" t="s">
        <v>37</v>
      </c>
      <c r="D14" s="16" t="s">
        <v>38</v>
      </c>
      <c r="E14" s="16" t="s">
        <v>34</v>
      </c>
      <c r="F14" s="52" t="s">
        <v>58</v>
      </c>
      <c r="G14" s="16" t="s">
        <v>39</v>
      </c>
      <c r="H14" s="16" t="s">
        <v>36</v>
      </c>
      <c r="I14" s="16" t="s">
        <v>18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>
      <c r="A15" s="18" t="s">
        <v>8</v>
      </c>
      <c r="B15" s="35"/>
      <c r="C15" s="35">
        <v>16</v>
      </c>
      <c r="D15" s="8">
        <v>8</v>
      </c>
      <c r="E15" s="35">
        <v>8</v>
      </c>
      <c r="F15" s="35"/>
      <c r="G15" s="35"/>
      <c r="H15" s="35">
        <v>8</v>
      </c>
      <c r="I15" s="7"/>
      <c r="J15" s="30">
        <f t="shared" ref="J15:J18" si="1">SUM(B15:I15)</f>
        <v>40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>
      <c r="A16" s="46" t="s">
        <v>116</v>
      </c>
      <c r="B16" s="35">
        <f>88+8</f>
        <v>96</v>
      </c>
      <c r="C16" s="7">
        <f>93.75</f>
        <v>93.75</v>
      </c>
      <c r="D16" s="35"/>
      <c r="E16" s="35">
        <f>98+17.25</f>
        <v>115.25</v>
      </c>
      <c r="F16" s="35">
        <v>71.25</v>
      </c>
      <c r="G16" s="35">
        <f>90.5+24</f>
        <v>114.5</v>
      </c>
      <c r="H16" s="81">
        <v>103</v>
      </c>
      <c r="I16" s="7">
        <v>102.75</v>
      </c>
      <c r="J16" s="82">
        <f t="shared" si="1"/>
        <v>696.5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>
      <c r="A17" s="46" t="s">
        <v>43</v>
      </c>
      <c r="B17" s="35">
        <v>44</v>
      </c>
      <c r="C17" s="35"/>
      <c r="D17" s="35">
        <v>92</v>
      </c>
      <c r="E17" s="35"/>
      <c r="F17" s="35">
        <f>32+60</f>
        <v>92</v>
      </c>
      <c r="G17" s="35">
        <f>12</f>
        <v>12</v>
      </c>
      <c r="H17" s="35"/>
      <c r="I17" s="7"/>
      <c r="J17" s="30">
        <f t="shared" si="1"/>
        <v>240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>
      <c r="A18" s="46" t="s">
        <v>117</v>
      </c>
      <c r="B18" s="7"/>
      <c r="C18" s="7">
        <v>48</v>
      </c>
      <c r="D18" s="7">
        <v>56</v>
      </c>
      <c r="E18" s="7">
        <v>35</v>
      </c>
      <c r="F18" s="7"/>
      <c r="G18" s="7">
        <v>24</v>
      </c>
      <c r="H18" s="7">
        <v>56</v>
      </c>
      <c r="I18" s="7">
        <v>64.5</v>
      </c>
      <c r="J18" s="30">
        <f t="shared" si="1"/>
        <v>283.5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>
      <c r="A19" s="46"/>
      <c r="B19" s="47"/>
      <c r="C19" s="47"/>
      <c r="D19" s="47"/>
      <c r="E19" s="47"/>
      <c r="F19" s="47"/>
      <c r="G19" s="47"/>
      <c r="H19" s="47"/>
      <c r="I19" s="47"/>
      <c r="J19" s="47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>
      <c r="A20" s="46"/>
      <c r="B20" s="47"/>
      <c r="C20" s="47"/>
      <c r="D20" s="47"/>
      <c r="E20" s="47"/>
      <c r="F20" s="47"/>
      <c r="G20" s="47"/>
      <c r="H20" s="47"/>
      <c r="I20" s="47"/>
      <c r="J20" s="47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>
      <c r="A21" s="16" t="s">
        <v>20</v>
      </c>
      <c r="B21" s="52" t="s">
        <v>17</v>
      </c>
      <c r="C21" s="16" t="s">
        <v>118</v>
      </c>
      <c r="D21" s="35" t="s">
        <v>25</v>
      </c>
      <c r="E21" s="35" t="s">
        <v>39</v>
      </c>
      <c r="F21" s="47" t="s">
        <v>119</v>
      </c>
      <c r="G21" s="47"/>
      <c r="H21" s="47"/>
      <c r="I21" s="47"/>
      <c r="J21" s="47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>
      <c r="A22" s="53" t="s">
        <v>8</v>
      </c>
      <c r="B22" s="7"/>
      <c r="C22" s="7">
        <v>16</v>
      </c>
      <c r="D22" s="7"/>
      <c r="E22" s="7">
        <f>3.25+2</f>
        <v>5.25</v>
      </c>
      <c r="F22" s="8">
        <f t="shared" ref="F22:F24" si="2">SUM(B22:E22)</f>
        <v>21.25</v>
      </c>
      <c r="G22" s="8" t="s">
        <v>27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>
      <c r="A23" s="46" t="s">
        <v>81</v>
      </c>
      <c r="B23" s="7">
        <f>107+70.5</f>
        <v>177.5</v>
      </c>
      <c r="C23" s="7"/>
      <c r="D23" s="7">
        <v>100</v>
      </c>
      <c r="E23" s="7">
        <f>3.75+2.25</f>
        <v>6</v>
      </c>
      <c r="F23" s="8">
        <f t="shared" si="2"/>
        <v>283.5</v>
      </c>
      <c r="G23" s="8" t="s">
        <v>27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>
      <c r="A24" s="46" t="s">
        <v>57</v>
      </c>
      <c r="B24" s="7"/>
      <c r="C24" s="7">
        <f>88+64</f>
        <v>152</v>
      </c>
      <c r="D24" s="7"/>
      <c r="E24" s="7"/>
      <c r="F24" s="8">
        <f t="shared" si="2"/>
        <v>152</v>
      </c>
      <c r="G24" s="8" t="s">
        <v>27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>
      <c r="A25" s="46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>
      <c r="A26" s="46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>
      <c r="A30" s="46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">
    <mergeCell ref="B1:G1"/>
  </mergeCells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1000"/>
  <sheetViews>
    <sheetView workbookViewId="0"/>
  </sheetViews>
  <sheetFormatPr defaultColWidth="14.42578125" defaultRowHeight="15" customHeight="1"/>
  <cols>
    <col min="1" max="1" width="52.140625" customWidth="1"/>
    <col min="2" max="2" width="10.5703125" customWidth="1"/>
    <col min="3" max="3" width="12" customWidth="1"/>
    <col min="4" max="4" width="13.85546875" customWidth="1"/>
    <col min="5" max="5" width="13.28515625" customWidth="1"/>
    <col min="6" max="6" width="10.42578125" customWidth="1"/>
    <col min="7" max="7" width="11.140625" customWidth="1"/>
    <col min="8" max="10" width="10.5703125" customWidth="1"/>
    <col min="11" max="11" width="15" customWidth="1"/>
    <col min="12" max="13" width="9.140625" customWidth="1"/>
    <col min="14" max="14" width="10" customWidth="1"/>
    <col min="15" max="19" width="9.140625" customWidth="1"/>
    <col min="20" max="26" width="8.7109375" customWidth="1"/>
  </cols>
  <sheetData>
    <row r="1" spans="1:26" ht="18.75" customHeight="1">
      <c r="A1" s="8"/>
      <c r="B1" s="105"/>
      <c r="C1" s="106"/>
      <c r="D1" s="106"/>
      <c r="E1" s="106"/>
      <c r="F1" s="106"/>
      <c r="G1" s="10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>
      <c r="A4" s="16" t="s">
        <v>20</v>
      </c>
      <c r="B4" s="4" t="s">
        <v>21</v>
      </c>
      <c r="C4" s="17" t="s">
        <v>22</v>
      </c>
      <c r="D4" s="17" t="s">
        <v>23</v>
      </c>
      <c r="E4" s="17" t="s">
        <v>24</v>
      </c>
      <c r="F4" s="4" t="s">
        <v>25</v>
      </c>
      <c r="G4" s="17" t="s">
        <v>10</v>
      </c>
      <c r="H4" s="17" t="s">
        <v>12</v>
      </c>
      <c r="I4" s="17" t="s">
        <v>53</v>
      </c>
      <c r="J4" s="17" t="s">
        <v>19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>
      <c r="A5" s="24" t="s">
        <v>8</v>
      </c>
      <c r="B5" s="19"/>
      <c r="C5" s="19">
        <v>1</v>
      </c>
      <c r="D5" s="20"/>
      <c r="E5" s="19">
        <v>8</v>
      </c>
      <c r="F5" s="38">
        <v>8</v>
      </c>
      <c r="G5" s="19"/>
      <c r="H5" s="19">
        <v>4</v>
      </c>
      <c r="I5" s="19"/>
      <c r="J5" s="41">
        <f t="shared" ref="J5:J14" si="0">SUM(B5:I5)</f>
        <v>21</v>
      </c>
      <c r="K5" s="8" t="s">
        <v>27</v>
      </c>
      <c r="L5" s="22"/>
      <c r="M5" s="22"/>
      <c r="N5" s="23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>
      <c r="A6" s="24" t="s">
        <v>61</v>
      </c>
      <c r="B6" s="19">
        <f>31.5+12</f>
        <v>43.5</v>
      </c>
      <c r="C6" s="19"/>
      <c r="D6" s="20"/>
      <c r="E6" s="19"/>
      <c r="F6" s="20"/>
      <c r="G6" s="20"/>
      <c r="H6" s="20">
        <v>8</v>
      </c>
      <c r="I6" s="20"/>
      <c r="J6" s="41">
        <f t="shared" si="0"/>
        <v>51.5</v>
      </c>
      <c r="K6" s="8" t="s">
        <v>27</v>
      </c>
      <c r="L6" s="27"/>
      <c r="M6" s="27"/>
      <c r="N6" s="23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3.5" customHeight="1">
      <c r="A7" s="24" t="s">
        <v>113</v>
      </c>
      <c r="B7" s="19">
        <v>4</v>
      </c>
      <c r="C7" s="38">
        <v>8</v>
      </c>
      <c r="D7" s="20"/>
      <c r="E7" s="38"/>
      <c r="F7" s="20">
        <v>16</v>
      </c>
      <c r="G7" s="20"/>
      <c r="H7" s="20"/>
      <c r="I7" s="20">
        <v>56</v>
      </c>
      <c r="J7" s="41">
        <f t="shared" si="0"/>
        <v>84</v>
      </c>
      <c r="K7" s="11" t="s">
        <v>27</v>
      </c>
      <c r="L7" s="27"/>
      <c r="M7" s="27"/>
      <c r="N7" s="22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8" customHeight="1">
      <c r="A8" s="24" t="s">
        <v>120</v>
      </c>
      <c r="B8" s="19">
        <v>51.5</v>
      </c>
      <c r="C8" s="19">
        <v>9</v>
      </c>
      <c r="D8" s="20"/>
      <c r="E8" s="19"/>
      <c r="F8" s="26">
        <v>70</v>
      </c>
      <c r="G8" s="19">
        <v>68</v>
      </c>
      <c r="H8" s="38">
        <v>12</v>
      </c>
      <c r="I8" s="38">
        <v>34.5</v>
      </c>
      <c r="J8" s="41">
        <f t="shared" si="0"/>
        <v>245</v>
      </c>
      <c r="K8" s="8" t="s">
        <v>27</v>
      </c>
      <c r="L8" s="22"/>
      <c r="M8" s="22"/>
      <c r="N8" s="23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>
      <c r="A9" s="24" t="s">
        <v>121</v>
      </c>
      <c r="B9" s="19">
        <v>8</v>
      </c>
      <c r="C9" s="38"/>
      <c r="D9" s="20">
        <v>2</v>
      </c>
      <c r="E9" s="20">
        <v>54</v>
      </c>
      <c r="F9" s="28"/>
      <c r="G9" s="20"/>
      <c r="H9" s="20">
        <v>34</v>
      </c>
      <c r="I9" s="20"/>
      <c r="J9" s="41">
        <f t="shared" si="0"/>
        <v>98</v>
      </c>
      <c r="K9" s="8" t="s">
        <v>27</v>
      </c>
      <c r="L9" s="27"/>
      <c r="M9" s="27"/>
      <c r="N9" s="23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5.75" customHeight="1">
      <c r="A10" s="24" t="s">
        <v>63</v>
      </c>
      <c r="B10" s="19">
        <v>44</v>
      </c>
      <c r="C10" s="19">
        <f>37+9</f>
        <v>46</v>
      </c>
      <c r="D10" s="19">
        <v>12</v>
      </c>
      <c r="E10" s="19">
        <v>8</v>
      </c>
      <c r="F10" s="19">
        <f>16+49.5</f>
        <v>65.5</v>
      </c>
      <c r="G10" s="19">
        <f>12+16</f>
        <v>28</v>
      </c>
      <c r="H10" s="19"/>
      <c r="I10" s="19">
        <v>8</v>
      </c>
      <c r="J10" s="41">
        <f t="shared" si="0"/>
        <v>211.5</v>
      </c>
      <c r="K10" s="22" t="s">
        <v>27</v>
      </c>
      <c r="L10" s="22"/>
      <c r="M10" s="22"/>
      <c r="N10" s="30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>
      <c r="A11" s="24" t="s">
        <v>115</v>
      </c>
      <c r="B11" s="7"/>
      <c r="C11" s="19">
        <f>8+90.25</f>
        <v>98.25</v>
      </c>
      <c r="D11" s="19">
        <f>89.5+16</f>
        <v>105.5</v>
      </c>
      <c r="E11" s="19">
        <v>4</v>
      </c>
      <c r="F11" s="19">
        <v>4</v>
      </c>
      <c r="G11" s="19">
        <v>28</v>
      </c>
      <c r="H11" s="19">
        <f>32.5+32</f>
        <v>64.5</v>
      </c>
      <c r="I11" s="54">
        <v>75.5</v>
      </c>
      <c r="J11" s="41">
        <f t="shared" si="0"/>
        <v>379.75</v>
      </c>
      <c r="K11" s="8" t="s">
        <v>27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>
      <c r="A12" s="24" t="s">
        <v>64</v>
      </c>
      <c r="B12" s="19"/>
      <c r="C12" s="19">
        <v>2</v>
      </c>
      <c r="D12" s="19">
        <v>10</v>
      </c>
      <c r="E12" s="19"/>
      <c r="F12" s="19"/>
      <c r="G12" s="19">
        <f>20+16</f>
        <v>36</v>
      </c>
      <c r="H12" s="19">
        <v>8</v>
      </c>
      <c r="I12" s="54"/>
      <c r="J12" s="41">
        <f t="shared" si="0"/>
        <v>56</v>
      </c>
      <c r="K12" s="8" t="s">
        <v>27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>
      <c r="A13" s="83" t="s">
        <v>114</v>
      </c>
      <c r="B13" s="19"/>
      <c r="C13" s="19"/>
      <c r="D13" s="19">
        <v>38.5</v>
      </c>
      <c r="E13" s="19"/>
      <c r="F13" s="19"/>
      <c r="G13" s="19"/>
      <c r="H13" s="19">
        <v>17</v>
      </c>
      <c r="I13" s="54"/>
      <c r="J13" s="41">
        <f t="shared" si="0"/>
        <v>55.5</v>
      </c>
      <c r="K13" s="8" t="s">
        <v>27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>
      <c r="A14" s="24" t="s">
        <v>54</v>
      </c>
      <c r="B14" s="19"/>
      <c r="C14" s="19"/>
      <c r="D14" s="19"/>
      <c r="E14" s="19">
        <f>43.5+64</f>
        <v>107.5</v>
      </c>
      <c r="F14" s="19"/>
      <c r="G14" s="19"/>
      <c r="H14" s="19"/>
      <c r="I14" s="54"/>
      <c r="J14" s="41">
        <f t="shared" si="0"/>
        <v>107.5</v>
      </c>
      <c r="K14" s="8" t="s">
        <v>27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>
      <c r="A15" s="46"/>
      <c r="B15" s="22"/>
      <c r="C15" s="22"/>
      <c r="D15" s="22"/>
      <c r="E15" s="22"/>
      <c r="F15" s="22"/>
      <c r="G15" s="22"/>
      <c r="H15" s="22"/>
      <c r="I15" s="30"/>
      <c r="J15" s="84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>
      <c r="A16" s="8"/>
      <c r="B16" s="8"/>
      <c r="C16" s="8"/>
      <c r="D16" s="8"/>
      <c r="E16" s="8"/>
      <c r="F16" s="8"/>
      <c r="G16" s="8"/>
      <c r="H16" s="8"/>
      <c r="I16" s="30"/>
      <c r="J16" s="30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>
      <c r="A17" s="16" t="s">
        <v>20</v>
      </c>
      <c r="B17" s="52" t="s">
        <v>66</v>
      </c>
      <c r="C17" s="16" t="s">
        <v>37</v>
      </c>
      <c r="D17" s="16" t="s">
        <v>38</v>
      </c>
      <c r="E17" s="16" t="s">
        <v>34</v>
      </c>
      <c r="F17" s="52" t="s">
        <v>58</v>
      </c>
      <c r="G17" s="16" t="s">
        <v>39</v>
      </c>
      <c r="H17" s="16" t="s">
        <v>36</v>
      </c>
      <c r="I17" s="16" t="s">
        <v>18</v>
      </c>
      <c r="J17" s="7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>
      <c r="A18" s="18" t="s">
        <v>8</v>
      </c>
      <c r="B18" s="35"/>
      <c r="C18" s="35"/>
      <c r="D18" s="7"/>
      <c r="E18" s="35"/>
      <c r="F18" s="35"/>
      <c r="G18" s="35"/>
      <c r="H18" s="35"/>
      <c r="I18" s="7"/>
      <c r="J18" s="54">
        <v>58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3.5" customHeight="1">
      <c r="A19" s="24" t="s">
        <v>81</v>
      </c>
      <c r="B19" s="35"/>
      <c r="C19" s="7"/>
      <c r="D19" s="35"/>
      <c r="E19" s="35"/>
      <c r="F19" s="35"/>
      <c r="G19" s="35"/>
      <c r="H19" s="81"/>
      <c r="I19" s="7"/>
      <c r="J19" s="85">
        <v>211.5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>
      <c r="A20" s="24" t="s">
        <v>43</v>
      </c>
      <c r="B20" s="35"/>
      <c r="C20" s="35"/>
      <c r="D20" s="35"/>
      <c r="E20" s="35"/>
      <c r="F20" s="35"/>
      <c r="G20" s="35"/>
      <c r="H20" s="35"/>
      <c r="I20" s="7"/>
      <c r="J20" s="54">
        <v>160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>
      <c r="A21" s="24" t="s">
        <v>78</v>
      </c>
      <c r="B21" s="7"/>
      <c r="C21" s="7"/>
      <c r="D21" s="7"/>
      <c r="E21" s="7"/>
      <c r="F21" s="7"/>
      <c r="G21" s="7"/>
      <c r="H21" s="7"/>
      <c r="I21" s="7"/>
      <c r="J21" s="54">
        <v>146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>
      <c r="A22" s="24" t="s">
        <v>116</v>
      </c>
      <c r="B22" s="35"/>
      <c r="C22" s="35"/>
      <c r="D22" s="35"/>
      <c r="E22" s="35"/>
      <c r="F22" s="35"/>
      <c r="G22" s="35"/>
      <c r="H22" s="35"/>
      <c r="I22" s="35"/>
      <c r="J22" s="35">
        <v>404.25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>
      <c r="A23" s="46"/>
      <c r="B23" s="47"/>
      <c r="C23" s="47"/>
      <c r="D23" s="47"/>
      <c r="E23" s="47"/>
      <c r="F23" s="47"/>
      <c r="G23" s="47"/>
      <c r="H23" s="47"/>
      <c r="I23" s="47"/>
      <c r="J23" s="47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>
      <c r="A24" s="46"/>
      <c r="B24" s="47"/>
      <c r="C24" s="47"/>
      <c r="D24" s="47"/>
      <c r="E24" s="47"/>
      <c r="F24" s="47"/>
      <c r="G24" s="47"/>
      <c r="H24" s="47"/>
      <c r="I24" s="47"/>
      <c r="J24" s="47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>
      <c r="A25" s="46"/>
      <c r="B25" s="47"/>
      <c r="C25" s="47"/>
      <c r="D25" s="47"/>
      <c r="E25" s="47"/>
      <c r="F25" s="47"/>
      <c r="G25" s="47"/>
      <c r="H25" s="47"/>
      <c r="I25" s="47"/>
      <c r="J25" s="47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>
      <c r="A26" s="16" t="s">
        <v>20</v>
      </c>
      <c r="B26" s="52" t="s">
        <v>17</v>
      </c>
      <c r="C26" s="16" t="s">
        <v>118</v>
      </c>
      <c r="D26" s="35" t="s">
        <v>25</v>
      </c>
      <c r="E26" s="35" t="s">
        <v>39</v>
      </c>
      <c r="F26" s="35" t="s">
        <v>119</v>
      </c>
      <c r="G26" s="47"/>
      <c r="H26" s="47"/>
      <c r="I26" s="47"/>
      <c r="J26" s="47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>
      <c r="A27" s="53" t="s">
        <v>8</v>
      </c>
      <c r="B27" s="7"/>
      <c r="C27" s="7"/>
      <c r="D27" s="7"/>
      <c r="E27" s="7"/>
      <c r="F27" s="7">
        <v>6.75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>
      <c r="A28" s="24" t="s">
        <v>81</v>
      </c>
      <c r="B28" s="7"/>
      <c r="C28" s="7"/>
      <c r="D28" s="7"/>
      <c r="E28" s="7"/>
      <c r="F28" s="7">
        <v>274.25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>
      <c r="A29" s="24" t="s">
        <v>57</v>
      </c>
      <c r="B29" s="7"/>
      <c r="C29" s="7"/>
      <c r="D29" s="7"/>
      <c r="E29" s="7"/>
      <c r="F29" s="7">
        <v>136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>
      <c r="A30" s="46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>
      <c r="A31" s="46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>
      <c r="A35" s="46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">
    <mergeCell ref="B1:G1"/>
  </mergeCells>
  <pageMargins left="0.7" right="0.7" top="0.75" bottom="0.75" header="0" footer="0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00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4.42578125" defaultRowHeight="15" customHeight="1"/>
  <cols>
    <col min="1" max="1" width="52.140625" customWidth="1"/>
    <col min="2" max="2" width="10.5703125" customWidth="1"/>
    <col min="3" max="3" width="12" customWidth="1"/>
    <col min="4" max="4" width="13.85546875" customWidth="1"/>
    <col min="5" max="5" width="13.28515625" customWidth="1"/>
    <col min="6" max="6" width="10.42578125" customWidth="1"/>
    <col min="7" max="7" width="11.140625" customWidth="1"/>
    <col min="8" max="10" width="10.5703125" customWidth="1"/>
    <col min="11" max="11" width="15" customWidth="1"/>
    <col min="12" max="13" width="9.140625" customWidth="1"/>
    <col min="14" max="14" width="10" customWidth="1"/>
    <col min="15" max="19" width="9.140625" customWidth="1"/>
    <col min="20" max="26" width="8.7109375" customWidth="1"/>
  </cols>
  <sheetData>
    <row r="1" spans="1:26" ht="18.75" customHeight="1">
      <c r="A1" s="8"/>
      <c r="B1" s="105"/>
      <c r="C1" s="106"/>
      <c r="D1" s="106"/>
      <c r="E1" s="106"/>
      <c r="F1" s="106"/>
      <c r="G1" s="10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>
      <c r="A4" s="16" t="s">
        <v>20</v>
      </c>
      <c r="B4" s="17" t="s">
        <v>21</v>
      </c>
      <c r="C4" s="17" t="s">
        <v>22</v>
      </c>
      <c r="D4" s="17" t="s">
        <v>23</v>
      </c>
      <c r="E4" s="17" t="s">
        <v>24</v>
      </c>
      <c r="F4" s="17" t="s">
        <v>25</v>
      </c>
      <c r="G4" s="17" t="s">
        <v>10</v>
      </c>
      <c r="H4" s="17" t="s">
        <v>12</v>
      </c>
      <c r="I4" s="17" t="s">
        <v>53</v>
      </c>
      <c r="J4" s="17" t="s">
        <v>19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>
      <c r="A5" s="24" t="s">
        <v>8</v>
      </c>
      <c r="B5" s="19"/>
      <c r="C5" s="19"/>
      <c r="D5" s="20"/>
      <c r="E5" s="19">
        <v>8</v>
      </c>
      <c r="F5" s="19"/>
      <c r="G5" s="19"/>
      <c r="H5" s="19">
        <f>4.5+8</f>
        <v>12.5</v>
      </c>
      <c r="I5" s="19"/>
      <c r="J5" s="41">
        <f t="shared" ref="J5:J26" si="0">SUM(B5:I5)</f>
        <v>20.5</v>
      </c>
      <c r="K5" s="8"/>
      <c r="L5" s="22"/>
      <c r="M5" s="22"/>
      <c r="N5" s="23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>
      <c r="A6" s="24" t="s">
        <v>122</v>
      </c>
      <c r="B6" s="19"/>
      <c r="C6" s="19"/>
      <c r="D6" s="20"/>
      <c r="E6" s="19"/>
      <c r="F6" s="20"/>
      <c r="G6" s="20"/>
      <c r="H6" s="20"/>
      <c r="I6" s="20"/>
      <c r="J6" s="41">
        <f t="shared" si="0"/>
        <v>0</v>
      </c>
      <c r="K6" s="8"/>
      <c r="L6" s="27"/>
      <c r="M6" s="27"/>
      <c r="N6" s="23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>
      <c r="A7" s="24" t="s">
        <v>61</v>
      </c>
      <c r="B7" s="19"/>
      <c r="C7" s="19"/>
      <c r="D7" s="20"/>
      <c r="E7" s="19"/>
      <c r="F7" s="20"/>
      <c r="G7" s="20"/>
      <c r="H7" s="20"/>
      <c r="I7" s="20"/>
      <c r="J7" s="41">
        <f t="shared" si="0"/>
        <v>0</v>
      </c>
      <c r="K7" s="8"/>
      <c r="L7" s="27"/>
      <c r="M7" s="27"/>
      <c r="N7" s="23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>
      <c r="A8" s="24" t="s">
        <v>73</v>
      </c>
      <c r="B8" s="19"/>
      <c r="C8" s="19"/>
      <c r="D8" s="20"/>
      <c r="E8" s="19"/>
      <c r="F8" s="20"/>
      <c r="G8" s="20"/>
      <c r="H8" s="20"/>
      <c r="I8" s="20"/>
      <c r="J8" s="41">
        <f t="shared" si="0"/>
        <v>0</v>
      </c>
      <c r="K8" s="8"/>
      <c r="L8" s="27"/>
      <c r="M8" s="27"/>
      <c r="N8" s="23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>
      <c r="A9" s="24" t="s">
        <v>74</v>
      </c>
      <c r="B9" s="19"/>
      <c r="C9" s="19"/>
      <c r="D9" s="20"/>
      <c r="E9" s="19"/>
      <c r="F9" s="20"/>
      <c r="G9" s="20"/>
      <c r="H9" s="20"/>
      <c r="I9" s="20"/>
      <c r="J9" s="41">
        <f t="shared" si="0"/>
        <v>0</v>
      </c>
      <c r="K9" s="8"/>
      <c r="L9" s="27"/>
      <c r="M9" s="27"/>
      <c r="N9" s="23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>
      <c r="A10" s="86" t="s">
        <v>77</v>
      </c>
      <c r="B10" s="19"/>
      <c r="C10" s="19">
        <f>51+40</f>
        <v>91</v>
      </c>
      <c r="D10" s="20">
        <f>38+4</f>
        <v>42</v>
      </c>
      <c r="E10" s="19"/>
      <c r="F10" s="20"/>
      <c r="G10" s="20"/>
      <c r="H10" s="20">
        <f>2+2</f>
        <v>4</v>
      </c>
      <c r="I10" s="20">
        <f>64+39</f>
        <v>103</v>
      </c>
      <c r="J10" s="41">
        <f t="shared" si="0"/>
        <v>240</v>
      </c>
      <c r="K10" s="8"/>
      <c r="L10" s="27"/>
      <c r="M10" s="27"/>
      <c r="N10" s="23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>
      <c r="A11" s="24" t="s">
        <v>113</v>
      </c>
      <c r="B11" s="19"/>
      <c r="C11" s="19"/>
      <c r="D11" s="20"/>
      <c r="E11" s="19"/>
      <c r="F11" s="20">
        <f>40+80</f>
        <v>120</v>
      </c>
      <c r="G11" s="20">
        <f>64+88</f>
        <v>152</v>
      </c>
      <c r="H11" s="20">
        <v>18</v>
      </c>
      <c r="I11" s="20">
        <v>49</v>
      </c>
      <c r="J11" s="41">
        <f t="shared" si="0"/>
        <v>339</v>
      </c>
      <c r="K11" s="8"/>
      <c r="L11" s="27"/>
      <c r="M11" s="27"/>
      <c r="N11" s="23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6.5" customHeight="1">
      <c r="A12" s="24" t="s">
        <v>114</v>
      </c>
      <c r="B12" s="19">
        <v>16</v>
      </c>
      <c r="C12" s="19"/>
      <c r="D12" s="20">
        <f>12+61</f>
        <v>73</v>
      </c>
      <c r="E12" s="19"/>
      <c r="F12" s="20"/>
      <c r="G12" s="20"/>
      <c r="H12" s="20">
        <f>7</f>
        <v>7</v>
      </c>
      <c r="I12" s="20"/>
      <c r="J12" s="41">
        <f t="shared" si="0"/>
        <v>96</v>
      </c>
      <c r="K12" s="8"/>
      <c r="L12" s="27"/>
      <c r="M12" s="27"/>
      <c r="N12" s="23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>
      <c r="A13" s="24" t="s">
        <v>120</v>
      </c>
      <c r="B13" s="19"/>
      <c r="C13" s="19"/>
      <c r="D13" s="20"/>
      <c r="E13" s="19"/>
      <c r="F13" s="20"/>
      <c r="G13" s="20"/>
      <c r="H13" s="20"/>
      <c r="I13" s="20"/>
      <c r="J13" s="41">
        <f t="shared" si="0"/>
        <v>0</v>
      </c>
      <c r="K13" s="8"/>
      <c r="L13" s="27"/>
      <c r="M13" s="27"/>
      <c r="N13" s="23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>
      <c r="A14" s="24" t="s">
        <v>121</v>
      </c>
      <c r="B14" s="19"/>
      <c r="C14" s="19"/>
      <c r="D14" s="20"/>
      <c r="E14" s="19"/>
      <c r="F14" s="20"/>
      <c r="G14" s="20"/>
      <c r="H14" s="20"/>
      <c r="I14" s="20"/>
      <c r="J14" s="41">
        <f t="shared" si="0"/>
        <v>0</v>
      </c>
      <c r="K14" s="8"/>
      <c r="L14" s="27"/>
      <c r="M14" s="27"/>
      <c r="N14" s="23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>
      <c r="A15" s="24" t="s">
        <v>63</v>
      </c>
      <c r="B15" s="19"/>
      <c r="C15" s="19">
        <v>16</v>
      </c>
      <c r="D15" s="20">
        <f>15</f>
        <v>15</v>
      </c>
      <c r="E15" s="19"/>
      <c r="F15" s="20"/>
      <c r="G15" s="20"/>
      <c r="H15" s="20">
        <f>53+47</f>
        <v>100</v>
      </c>
      <c r="I15" s="20"/>
      <c r="J15" s="41">
        <f t="shared" si="0"/>
        <v>131</v>
      </c>
      <c r="K15" s="8"/>
      <c r="L15" s="27"/>
      <c r="M15" s="27"/>
      <c r="N15" s="23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>
      <c r="A16" s="24" t="s">
        <v>115</v>
      </c>
      <c r="B16" s="19"/>
      <c r="C16" s="19"/>
      <c r="D16" s="20"/>
      <c r="E16" s="19"/>
      <c r="F16" s="20"/>
      <c r="G16" s="20"/>
      <c r="H16" s="20"/>
      <c r="I16" s="20"/>
      <c r="J16" s="41">
        <f t="shared" si="0"/>
        <v>0</v>
      </c>
      <c r="K16" s="8"/>
      <c r="L16" s="27"/>
      <c r="M16" s="27"/>
      <c r="N16" s="23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>
      <c r="A17" s="24" t="s">
        <v>64</v>
      </c>
      <c r="B17" s="19"/>
      <c r="C17" s="19"/>
      <c r="D17" s="20"/>
      <c r="E17" s="19"/>
      <c r="F17" s="20"/>
      <c r="G17" s="20"/>
      <c r="H17" s="20"/>
      <c r="I17" s="20"/>
      <c r="J17" s="41">
        <f t="shared" si="0"/>
        <v>0</v>
      </c>
      <c r="K17" s="8"/>
      <c r="L17" s="27"/>
      <c r="M17" s="27"/>
      <c r="N17" s="23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>
      <c r="A18" s="24" t="s">
        <v>54</v>
      </c>
      <c r="B18" s="19"/>
      <c r="C18" s="19"/>
      <c r="D18" s="20"/>
      <c r="E18" s="19"/>
      <c r="F18" s="20"/>
      <c r="G18" s="20"/>
      <c r="H18" s="20"/>
      <c r="I18" s="20"/>
      <c r="J18" s="41">
        <f t="shared" si="0"/>
        <v>0</v>
      </c>
      <c r="K18" s="8"/>
      <c r="L18" s="27"/>
      <c r="M18" s="27"/>
      <c r="N18" s="23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>
      <c r="A19" s="24" t="s">
        <v>123</v>
      </c>
      <c r="B19" s="19"/>
      <c r="C19" s="19"/>
      <c r="D19" s="20"/>
      <c r="E19" s="19"/>
      <c r="F19" s="20"/>
      <c r="G19" s="20"/>
      <c r="H19" s="20"/>
      <c r="I19" s="20"/>
      <c r="J19" s="41">
        <f t="shared" si="0"/>
        <v>0</v>
      </c>
      <c r="K19" s="8"/>
      <c r="L19" s="27"/>
      <c r="M19" s="27"/>
      <c r="N19" s="23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>
      <c r="A20" s="24" t="s">
        <v>124</v>
      </c>
      <c r="B20" s="19">
        <f>72+8</f>
        <v>80</v>
      </c>
      <c r="C20" s="19"/>
      <c r="D20" s="20"/>
      <c r="E20" s="19">
        <f>44+12</f>
        <v>56</v>
      </c>
      <c r="F20" s="20"/>
      <c r="G20" s="20"/>
      <c r="H20" s="20">
        <f>1</f>
        <v>1</v>
      </c>
      <c r="I20" s="20"/>
      <c r="J20" s="41">
        <f t="shared" si="0"/>
        <v>137</v>
      </c>
      <c r="K20" s="8"/>
      <c r="L20" s="27"/>
      <c r="M20" s="27"/>
      <c r="N20" s="23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>
      <c r="A21" s="24" t="s">
        <v>125</v>
      </c>
      <c r="B21" s="19"/>
      <c r="C21" s="19"/>
      <c r="D21" s="20"/>
      <c r="E21" s="19"/>
      <c r="F21" s="20"/>
      <c r="G21" s="20"/>
      <c r="H21" s="20"/>
      <c r="I21" s="20"/>
      <c r="J21" s="41">
        <f t="shared" si="0"/>
        <v>0</v>
      </c>
      <c r="K21" s="8"/>
      <c r="L21" s="27"/>
      <c r="M21" s="27"/>
      <c r="N21" s="23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>
      <c r="A22" s="24" t="s">
        <v>126</v>
      </c>
      <c r="B22" s="19"/>
      <c r="C22" s="19"/>
      <c r="D22" s="20"/>
      <c r="E22" s="19">
        <f>20+12</f>
        <v>32</v>
      </c>
      <c r="F22" s="20"/>
      <c r="G22" s="20"/>
      <c r="H22" s="20"/>
      <c r="I22" s="20"/>
      <c r="J22" s="41">
        <f t="shared" si="0"/>
        <v>32</v>
      </c>
      <c r="K22" s="8"/>
      <c r="L22" s="27"/>
      <c r="M22" s="27"/>
      <c r="N22" s="23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>
      <c r="A23" s="24" t="s">
        <v>127</v>
      </c>
      <c r="B23" s="19"/>
      <c r="C23" s="19"/>
      <c r="D23" s="20"/>
      <c r="E23" s="19"/>
      <c r="F23" s="20"/>
      <c r="G23" s="20"/>
      <c r="H23" s="20"/>
      <c r="I23" s="20"/>
      <c r="J23" s="41">
        <f t="shared" si="0"/>
        <v>0</v>
      </c>
      <c r="K23" s="8"/>
      <c r="L23" s="27"/>
      <c r="M23" s="27"/>
      <c r="N23" s="23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>
      <c r="A24" s="24" t="s">
        <v>128</v>
      </c>
      <c r="B24" s="19"/>
      <c r="C24" s="19"/>
      <c r="D24" s="20"/>
      <c r="E24" s="19"/>
      <c r="F24" s="20"/>
      <c r="G24" s="20"/>
      <c r="H24" s="20"/>
      <c r="I24" s="20"/>
      <c r="J24" s="41">
        <f t="shared" si="0"/>
        <v>0</v>
      </c>
      <c r="K24" s="8"/>
      <c r="L24" s="27"/>
      <c r="M24" s="27"/>
      <c r="N24" s="23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>
      <c r="A25" s="24" t="s">
        <v>129</v>
      </c>
      <c r="B25" s="19"/>
      <c r="C25" s="19">
        <f>31+32</f>
        <v>63</v>
      </c>
      <c r="D25" s="20">
        <f>30+8</f>
        <v>38</v>
      </c>
      <c r="E25" s="19"/>
      <c r="F25" s="20"/>
      <c r="G25" s="20"/>
      <c r="H25" s="20"/>
      <c r="I25" s="20"/>
      <c r="J25" s="41">
        <f t="shared" si="0"/>
        <v>101</v>
      </c>
      <c r="K25" s="8"/>
      <c r="L25" s="27"/>
      <c r="M25" s="27"/>
      <c r="N25" s="23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>
      <c r="A26" s="24" t="s">
        <v>130</v>
      </c>
      <c r="B26" s="19">
        <v>64</v>
      </c>
      <c r="C26" s="19"/>
      <c r="D26" s="20"/>
      <c r="E26" s="19">
        <v>66</v>
      </c>
      <c r="F26" s="20"/>
      <c r="G26" s="20"/>
      <c r="H26" s="20">
        <f>9.5+4</f>
        <v>13.5</v>
      </c>
      <c r="I26" s="20"/>
      <c r="J26" s="41">
        <f t="shared" si="0"/>
        <v>143.5</v>
      </c>
      <c r="K26" s="8"/>
      <c r="L26" s="27"/>
      <c r="M26" s="27"/>
      <c r="N26" s="23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>
      <c r="A27" s="8"/>
      <c r="B27" s="8"/>
      <c r="C27" s="8"/>
      <c r="D27" s="8"/>
      <c r="E27" s="8"/>
      <c r="F27" s="8"/>
      <c r="G27" s="8"/>
      <c r="H27" s="8"/>
      <c r="I27" s="30"/>
      <c r="J27" s="30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>
      <c r="A28" s="16" t="s">
        <v>20</v>
      </c>
      <c r="B28" s="16" t="s">
        <v>66</v>
      </c>
      <c r="C28" s="16" t="s">
        <v>37</v>
      </c>
      <c r="D28" s="16" t="s">
        <v>38</v>
      </c>
      <c r="E28" s="16" t="s">
        <v>34</v>
      </c>
      <c r="F28" s="16" t="s">
        <v>58</v>
      </c>
      <c r="G28" s="16" t="s">
        <v>39</v>
      </c>
      <c r="H28" s="16" t="s">
        <v>36</v>
      </c>
      <c r="I28" s="16" t="s">
        <v>131</v>
      </c>
      <c r="J28" s="17" t="s">
        <v>19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>
      <c r="A29" s="18" t="s">
        <v>8</v>
      </c>
      <c r="B29" s="20"/>
      <c r="C29" s="20"/>
      <c r="D29" s="20"/>
      <c r="E29" s="20"/>
      <c r="F29" s="20"/>
      <c r="G29" s="20"/>
      <c r="H29" s="20"/>
      <c r="I29" s="20"/>
      <c r="J29" s="41">
        <f t="shared" ref="J29:J37" si="1">SUM(B29:I29)</f>
        <v>0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3.5" customHeight="1">
      <c r="A30" s="24" t="s">
        <v>81</v>
      </c>
      <c r="B30" s="20"/>
      <c r="C30" s="20"/>
      <c r="D30" s="20"/>
      <c r="E30" s="20"/>
      <c r="F30" s="20"/>
      <c r="G30" s="20"/>
      <c r="H30" s="20"/>
      <c r="I30" s="20"/>
      <c r="J30" s="41">
        <f t="shared" si="1"/>
        <v>0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>
      <c r="A31" s="24" t="s">
        <v>43</v>
      </c>
      <c r="B31" s="20"/>
      <c r="C31" s="20"/>
      <c r="D31" s="20"/>
      <c r="E31" s="20"/>
      <c r="F31" s="20">
        <f>64+88</f>
        <v>152</v>
      </c>
      <c r="G31" s="20">
        <f>40+32</f>
        <v>72</v>
      </c>
      <c r="H31" s="20"/>
      <c r="I31" s="20"/>
      <c r="J31" s="41">
        <f t="shared" si="1"/>
        <v>224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>
      <c r="A32" s="24" t="s">
        <v>78</v>
      </c>
      <c r="B32" s="20"/>
      <c r="C32" s="20"/>
      <c r="D32" s="20"/>
      <c r="E32" s="20"/>
      <c r="F32" s="20"/>
      <c r="G32" s="20"/>
      <c r="H32" s="20"/>
      <c r="I32" s="20"/>
      <c r="J32" s="41">
        <f t="shared" si="1"/>
        <v>0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>
      <c r="A33" s="24" t="s">
        <v>116</v>
      </c>
      <c r="B33" s="20"/>
      <c r="C33" s="20"/>
      <c r="D33" s="20"/>
      <c r="E33" s="20"/>
      <c r="F33" s="20"/>
      <c r="G33" s="20"/>
      <c r="H33" s="20"/>
      <c r="I33" s="20"/>
      <c r="J33" s="41">
        <f t="shared" si="1"/>
        <v>0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>
      <c r="A34" s="24" t="s">
        <v>132</v>
      </c>
      <c r="B34" s="20"/>
      <c r="C34" s="20"/>
      <c r="D34" s="20"/>
      <c r="E34" s="20"/>
      <c r="F34" s="20"/>
      <c r="G34" s="20"/>
      <c r="H34" s="20"/>
      <c r="I34" s="20"/>
      <c r="J34" s="41">
        <f t="shared" si="1"/>
        <v>0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>
      <c r="A35" s="24" t="s">
        <v>133</v>
      </c>
      <c r="B35" s="20"/>
      <c r="C35" s="20"/>
      <c r="D35" s="20"/>
      <c r="E35" s="20"/>
      <c r="F35" s="20"/>
      <c r="G35" s="20"/>
      <c r="H35" s="20"/>
      <c r="I35" s="20"/>
      <c r="J35" s="41">
        <f t="shared" si="1"/>
        <v>0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>
      <c r="A36" s="24" t="s">
        <v>128</v>
      </c>
      <c r="B36" s="20">
        <f>40+76</f>
        <v>116</v>
      </c>
      <c r="C36" s="20">
        <f t="shared" ref="C36:D36" si="2">56+88</f>
        <v>144</v>
      </c>
      <c r="D36" s="20">
        <f t="shared" si="2"/>
        <v>144</v>
      </c>
      <c r="E36" s="20">
        <f>24+104</f>
        <v>128</v>
      </c>
      <c r="F36" s="20"/>
      <c r="G36" s="20">
        <f>24+72</f>
        <v>96</v>
      </c>
      <c r="H36" s="20">
        <f>52+84</f>
        <v>136</v>
      </c>
      <c r="I36" s="20">
        <f>56+88</f>
        <v>144</v>
      </c>
      <c r="J36" s="41">
        <f t="shared" si="1"/>
        <v>908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>
      <c r="A37" s="24" t="s">
        <v>134</v>
      </c>
      <c r="B37" s="20">
        <f>24+12</f>
        <v>36</v>
      </c>
      <c r="C37" s="20">
        <f t="shared" ref="C37:D37" si="3">8</f>
        <v>8</v>
      </c>
      <c r="D37" s="20">
        <f t="shared" si="3"/>
        <v>8</v>
      </c>
      <c r="E37" s="20">
        <f>26</f>
        <v>26</v>
      </c>
      <c r="F37" s="20"/>
      <c r="G37" s="20"/>
      <c r="H37" s="20">
        <f>12</f>
        <v>12</v>
      </c>
      <c r="I37" s="20">
        <f>8</f>
        <v>8</v>
      </c>
      <c r="J37" s="41">
        <f t="shared" si="1"/>
        <v>98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customHeight="1">
      <c r="A38" s="46"/>
      <c r="B38" s="47"/>
      <c r="C38" s="47"/>
      <c r="D38" s="47"/>
      <c r="E38" s="47"/>
      <c r="F38" s="47"/>
      <c r="G38" s="47"/>
      <c r="H38" s="47"/>
      <c r="I38" s="47"/>
      <c r="J38" s="47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customHeight="1">
      <c r="A39" s="46"/>
      <c r="B39" s="47"/>
      <c r="C39" s="47"/>
      <c r="D39" s="47"/>
      <c r="E39" s="47"/>
      <c r="F39" s="47"/>
      <c r="G39" s="47"/>
      <c r="H39" s="47"/>
      <c r="I39" s="47"/>
      <c r="J39" s="47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customHeight="1">
      <c r="A40" s="16" t="s">
        <v>20</v>
      </c>
      <c r="B40" s="17" t="s">
        <v>17</v>
      </c>
      <c r="C40" s="17" t="s">
        <v>118</v>
      </c>
      <c r="D40" s="17" t="s">
        <v>25</v>
      </c>
      <c r="E40" s="17" t="s">
        <v>135</v>
      </c>
      <c r="F40" s="17" t="s">
        <v>39</v>
      </c>
      <c r="G40" s="17" t="s">
        <v>19</v>
      </c>
      <c r="H40" s="47"/>
      <c r="I40" s="47"/>
      <c r="J40" s="47"/>
      <c r="K40" s="47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>
      <c r="A41" s="53" t="s">
        <v>8</v>
      </c>
      <c r="B41" s="19"/>
      <c r="C41" s="19">
        <f>1.5+2</f>
        <v>3.5</v>
      </c>
      <c r="D41" s="19"/>
      <c r="E41" s="19"/>
      <c r="F41" s="19"/>
      <c r="G41" s="41">
        <f t="shared" ref="G41:G45" si="4">SUM(B41:F41)</f>
        <v>3.5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>
      <c r="A42" s="24" t="s">
        <v>81</v>
      </c>
      <c r="B42" s="19">
        <f>16+88</f>
        <v>104</v>
      </c>
      <c r="C42" s="19">
        <f>55+44</f>
        <v>99</v>
      </c>
      <c r="D42" s="19">
        <f>8</f>
        <v>8</v>
      </c>
      <c r="E42" s="19">
        <v>76</v>
      </c>
      <c r="F42" s="19"/>
      <c r="G42" s="41">
        <f t="shared" si="4"/>
        <v>287</v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customHeight="1">
      <c r="A43" s="24" t="s">
        <v>57</v>
      </c>
      <c r="B43" s="19"/>
      <c r="C43" s="19">
        <v>34</v>
      </c>
      <c r="D43" s="19"/>
      <c r="E43" s="19"/>
      <c r="F43" s="19"/>
      <c r="G43" s="41">
        <f t="shared" si="4"/>
        <v>34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customHeight="1">
      <c r="A44" s="83" t="s">
        <v>136</v>
      </c>
      <c r="B44" s="19"/>
      <c r="C44" s="19"/>
      <c r="D44" s="19"/>
      <c r="E44" s="19"/>
      <c r="F44" s="19"/>
      <c r="G44" s="41">
        <f t="shared" si="4"/>
        <v>0</v>
      </c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customHeight="1">
      <c r="A45" s="83" t="s">
        <v>137</v>
      </c>
      <c r="B45" s="19">
        <f>48</f>
        <v>48</v>
      </c>
      <c r="C45" s="19">
        <f>7</f>
        <v>7</v>
      </c>
      <c r="D45" s="19">
        <f>56+80</f>
        <v>136</v>
      </c>
      <c r="E45" s="19"/>
      <c r="F45" s="19"/>
      <c r="G45" s="41">
        <f t="shared" si="4"/>
        <v>191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customHeight="1">
      <c r="A46" s="4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75" customHeight="1">
      <c r="A50" s="46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">
    <mergeCell ref="B1:G1"/>
  </mergeCells>
  <pageMargins left="0.7" right="0.7" top="0.75" bottom="0.75" header="0" footer="0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00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4.42578125" defaultRowHeight="15" customHeight="1"/>
  <cols>
    <col min="1" max="1" width="52.140625" customWidth="1"/>
    <col min="2" max="9" width="9.28515625" customWidth="1"/>
    <col min="10" max="10" width="10.5703125" customWidth="1"/>
    <col min="11" max="11" width="15" customWidth="1"/>
    <col min="12" max="13" width="9.140625" customWidth="1"/>
    <col min="14" max="14" width="10" customWidth="1"/>
    <col min="15" max="19" width="9.140625" customWidth="1"/>
    <col min="20" max="26" width="8.7109375" customWidth="1"/>
  </cols>
  <sheetData>
    <row r="1" spans="1:26" ht="18.75" customHeight="1">
      <c r="A1" s="8"/>
      <c r="B1" s="105"/>
      <c r="C1" s="106"/>
      <c r="D1" s="106"/>
      <c r="E1" s="106"/>
      <c r="F1" s="106"/>
      <c r="G1" s="10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>
      <c r="A4" s="16" t="s">
        <v>20</v>
      </c>
      <c r="B4" s="17" t="s">
        <v>21</v>
      </c>
      <c r="C4" s="17" t="s">
        <v>22</v>
      </c>
      <c r="D4" s="17" t="s">
        <v>23</v>
      </c>
      <c r="E4" s="17" t="s">
        <v>24</v>
      </c>
      <c r="F4" s="17" t="s">
        <v>25</v>
      </c>
      <c r="G4" s="17" t="s">
        <v>10</v>
      </c>
      <c r="H4" s="17" t="s">
        <v>12</v>
      </c>
      <c r="I4" s="17" t="s">
        <v>53</v>
      </c>
      <c r="J4" s="17" t="s">
        <v>19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>
      <c r="A5" s="24" t="s">
        <v>8</v>
      </c>
      <c r="B5" s="19"/>
      <c r="C5" s="19">
        <v>11</v>
      </c>
      <c r="D5" s="20"/>
      <c r="E5" s="19">
        <f>32</f>
        <v>32</v>
      </c>
      <c r="F5" s="19"/>
      <c r="G5" s="19"/>
      <c r="H5" s="19">
        <f>2+9</f>
        <v>11</v>
      </c>
      <c r="I5" s="19">
        <f>8+4</f>
        <v>12</v>
      </c>
      <c r="J5" s="41">
        <f t="shared" ref="J5:J28" si="0">SUM(B5:I5)</f>
        <v>66</v>
      </c>
      <c r="K5" s="8"/>
      <c r="L5" s="22"/>
      <c r="M5" s="22"/>
      <c r="N5" s="23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>
      <c r="A6" s="24" t="s">
        <v>122</v>
      </c>
      <c r="B6" s="19"/>
      <c r="C6" s="19"/>
      <c r="D6" s="20"/>
      <c r="E6" s="19"/>
      <c r="F6" s="20"/>
      <c r="G6" s="20"/>
      <c r="H6" s="20"/>
      <c r="I6" s="20"/>
      <c r="J6" s="41">
        <f t="shared" si="0"/>
        <v>0</v>
      </c>
      <c r="K6" s="8"/>
      <c r="L6" s="27"/>
      <c r="M6" s="27"/>
      <c r="N6" s="23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>
      <c r="A7" s="86" t="s">
        <v>55</v>
      </c>
      <c r="B7" s="19">
        <f>16+50</f>
        <v>66</v>
      </c>
      <c r="C7" s="19"/>
      <c r="D7" s="20"/>
      <c r="E7" s="19"/>
      <c r="F7" s="20"/>
      <c r="G7" s="20"/>
      <c r="H7" s="20"/>
      <c r="I7" s="20"/>
      <c r="J7" s="41">
        <f t="shared" si="0"/>
        <v>66</v>
      </c>
      <c r="K7" s="8"/>
      <c r="L7" s="27"/>
      <c r="M7" s="27"/>
      <c r="N7" s="23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>
      <c r="A8" s="24" t="s">
        <v>61</v>
      </c>
      <c r="B8" s="19"/>
      <c r="C8" s="19"/>
      <c r="D8" s="20"/>
      <c r="E8" s="19"/>
      <c r="F8" s="20"/>
      <c r="G8" s="20"/>
      <c r="H8" s="20"/>
      <c r="I8" s="20"/>
      <c r="J8" s="41">
        <f t="shared" si="0"/>
        <v>0</v>
      </c>
      <c r="K8" s="8"/>
      <c r="L8" s="27"/>
      <c r="M8" s="27"/>
      <c r="N8" s="23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>
      <c r="A9" s="24" t="s">
        <v>73</v>
      </c>
      <c r="B9" s="19"/>
      <c r="C9" s="19"/>
      <c r="D9" s="20"/>
      <c r="E9" s="19"/>
      <c r="F9" s="20"/>
      <c r="G9" s="20"/>
      <c r="H9" s="20"/>
      <c r="I9" s="20"/>
      <c r="J9" s="41">
        <f t="shared" si="0"/>
        <v>0</v>
      </c>
      <c r="K9" s="8"/>
      <c r="L9" s="27"/>
      <c r="M9" s="27"/>
      <c r="N9" s="23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>
      <c r="A10" s="24" t="s">
        <v>74</v>
      </c>
      <c r="B10" s="19"/>
      <c r="C10" s="19"/>
      <c r="D10" s="20"/>
      <c r="E10" s="19"/>
      <c r="F10" s="20"/>
      <c r="G10" s="20"/>
      <c r="H10" s="20"/>
      <c r="I10" s="20"/>
      <c r="J10" s="41">
        <f t="shared" si="0"/>
        <v>0</v>
      </c>
      <c r="K10" s="8"/>
      <c r="L10" s="27"/>
      <c r="M10" s="27"/>
      <c r="N10" s="23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>
      <c r="A11" s="86" t="s">
        <v>77</v>
      </c>
      <c r="B11" s="19">
        <v>8</v>
      </c>
      <c r="C11" s="19">
        <f>40+67</f>
        <v>107</v>
      </c>
      <c r="D11" s="20">
        <f>59+27</f>
        <v>86</v>
      </c>
      <c r="E11" s="19">
        <v>8</v>
      </c>
      <c r="F11" s="20"/>
      <c r="G11" s="20"/>
      <c r="H11" s="20">
        <f>2</f>
        <v>2</v>
      </c>
      <c r="I11" s="20"/>
      <c r="J11" s="41">
        <f t="shared" si="0"/>
        <v>211</v>
      </c>
      <c r="K11" s="8"/>
      <c r="L11" s="27"/>
      <c r="M11" s="27"/>
      <c r="N11" s="23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>
      <c r="A12" s="24" t="s">
        <v>113</v>
      </c>
      <c r="B12" s="19"/>
      <c r="C12" s="19"/>
      <c r="D12" s="20"/>
      <c r="E12" s="19"/>
      <c r="F12" s="20">
        <f>32+78</f>
        <v>110</v>
      </c>
      <c r="G12" s="20">
        <f>60+34</f>
        <v>94</v>
      </c>
      <c r="H12" s="20">
        <f>14+3</f>
        <v>17</v>
      </c>
      <c r="I12" s="20">
        <f>24+28.5</f>
        <v>52.5</v>
      </c>
      <c r="J12" s="41">
        <f t="shared" si="0"/>
        <v>273.5</v>
      </c>
      <c r="K12" s="8"/>
      <c r="L12" s="27"/>
      <c r="M12" s="27"/>
      <c r="N12" s="23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6.5" customHeight="1">
      <c r="A13" s="24" t="s">
        <v>114</v>
      </c>
      <c r="B13" s="19">
        <f>52+2</f>
        <v>54</v>
      </c>
      <c r="C13" s="19">
        <v>2</v>
      </c>
      <c r="D13" s="20">
        <f>2+2</f>
        <v>4</v>
      </c>
      <c r="E13" s="19">
        <v>2.5</v>
      </c>
      <c r="F13" s="20">
        <f>32+18</f>
        <v>50</v>
      </c>
      <c r="G13" s="20">
        <f>2</f>
        <v>2</v>
      </c>
      <c r="H13" s="20">
        <f>46+2</f>
        <v>48</v>
      </c>
      <c r="I13" s="20">
        <f>31+2</f>
        <v>33</v>
      </c>
      <c r="J13" s="41">
        <f t="shared" si="0"/>
        <v>195.5</v>
      </c>
      <c r="K13" s="8"/>
      <c r="L13" s="27"/>
      <c r="M13" s="27"/>
      <c r="N13" s="23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>
      <c r="A14" s="24" t="s">
        <v>120</v>
      </c>
      <c r="B14" s="19"/>
      <c r="C14" s="19"/>
      <c r="D14" s="20"/>
      <c r="E14" s="19"/>
      <c r="F14" s="20"/>
      <c r="G14" s="20"/>
      <c r="H14" s="20"/>
      <c r="I14" s="20"/>
      <c r="J14" s="41">
        <f t="shared" si="0"/>
        <v>0</v>
      </c>
      <c r="K14" s="8"/>
      <c r="L14" s="27"/>
      <c r="M14" s="27"/>
      <c r="N14" s="23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>
      <c r="A15" s="24" t="s">
        <v>121</v>
      </c>
      <c r="B15" s="19"/>
      <c r="C15" s="19"/>
      <c r="D15" s="20"/>
      <c r="E15" s="19"/>
      <c r="F15" s="20"/>
      <c r="G15" s="20"/>
      <c r="H15" s="20"/>
      <c r="I15" s="20"/>
      <c r="J15" s="41">
        <f t="shared" si="0"/>
        <v>0</v>
      </c>
      <c r="K15" s="8"/>
      <c r="L15" s="27"/>
      <c r="M15" s="27"/>
      <c r="N15" s="23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>
      <c r="A16" s="24" t="s">
        <v>63</v>
      </c>
      <c r="B16" s="19"/>
      <c r="C16" s="19">
        <v>32</v>
      </c>
      <c r="D16" s="20">
        <f>12</f>
        <v>12</v>
      </c>
      <c r="E16" s="19"/>
      <c r="F16" s="20"/>
      <c r="G16" s="20"/>
      <c r="H16" s="20"/>
      <c r="I16" s="20"/>
      <c r="J16" s="41">
        <f t="shared" si="0"/>
        <v>44</v>
      </c>
      <c r="K16" s="8"/>
      <c r="L16" s="27"/>
      <c r="M16" s="27"/>
      <c r="N16" s="23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>
      <c r="A17" s="24" t="s">
        <v>115</v>
      </c>
      <c r="B17" s="19"/>
      <c r="C17" s="19">
        <v>29</v>
      </c>
      <c r="D17" s="20">
        <v>29</v>
      </c>
      <c r="E17" s="19"/>
      <c r="F17" s="20"/>
      <c r="G17" s="20"/>
      <c r="H17" s="20">
        <v>2</v>
      </c>
      <c r="I17" s="20"/>
      <c r="J17" s="41">
        <f t="shared" si="0"/>
        <v>60</v>
      </c>
      <c r="K17" s="8"/>
      <c r="L17" s="27"/>
      <c r="M17" s="27"/>
      <c r="N17" s="23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>
      <c r="A18" s="24" t="s">
        <v>64</v>
      </c>
      <c r="B18" s="19"/>
      <c r="C18" s="19"/>
      <c r="D18" s="20"/>
      <c r="E18" s="19"/>
      <c r="F18" s="20"/>
      <c r="G18" s="20"/>
      <c r="H18" s="20"/>
      <c r="I18" s="20"/>
      <c r="J18" s="41">
        <f t="shared" si="0"/>
        <v>0</v>
      </c>
      <c r="K18" s="8"/>
      <c r="L18" s="27"/>
      <c r="M18" s="27"/>
      <c r="N18" s="23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>
      <c r="A19" s="24" t="s">
        <v>54</v>
      </c>
      <c r="B19" s="19"/>
      <c r="C19" s="19"/>
      <c r="D19" s="20"/>
      <c r="E19" s="19"/>
      <c r="F19" s="20"/>
      <c r="G19" s="20"/>
      <c r="H19" s="20"/>
      <c r="I19" s="20"/>
      <c r="J19" s="41">
        <f t="shared" si="0"/>
        <v>0</v>
      </c>
      <c r="K19" s="8"/>
      <c r="L19" s="27"/>
      <c r="M19" s="27"/>
      <c r="N19" s="23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>
      <c r="A20" s="24" t="s">
        <v>123</v>
      </c>
      <c r="B20" s="19"/>
      <c r="C20" s="19"/>
      <c r="D20" s="20"/>
      <c r="E20" s="19"/>
      <c r="F20" s="20"/>
      <c r="G20" s="20"/>
      <c r="H20" s="20"/>
      <c r="I20" s="20"/>
      <c r="J20" s="41">
        <f t="shared" si="0"/>
        <v>0</v>
      </c>
      <c r="K20" s="8"/>
      <c r="L20" s="27"/>
      <c r="M20" s="27"/>
      <c r="N20" s="23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>
      <c r="A21" s="24" t="s">
        <v>124</v>
      </c>
      <c r="B21" s="19"/>
      <c r="C21" s="19"/>
      <c r="D21" s="20"/>
      <c r="E21" s="19"/>
      <c r="F21" s="20"/>
      <c r="G21" s="20"/>
      <c r="H21" s="20"/>
      <c r="I21" s="20"/>
      <c r="J21" s="41">
        <f t="shared" si="0"/>
        <v>0</v>
      </c>
      <c r="K21" s="8"/>
      <c r="L21" s="27"/>
      <c r="M21" s="27"/>
      <c r="N21" s="23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>
      <c r="A22" s="24" t="s">
        <v>125</v>
      </c>
      <c r="B22" s="19"/>
      <c r="C22" s="19"/>
      <c r="D22" s="20"/>
      <c r="E22" s="19"/>
      <c r="F22" s="20"/>
      <c r="G22" s="20">
        <v>56</v>
      </c>
      <c r="H22" s="20">
        <v>25.5</v>
      </c>
      <c r="I22" s="20"/>
      <c r="J22" s="41">
        <f t="shared" si="0"/>
        <v>81.5</v>
      </c>
      <c r="K22" s="8"/>
      <c r="L22" s="27"/>
      <c r="M22" s="27"/>
      <c r="N22" s="23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>
      <c r="A23" s="24" t="s">
        <v>126</v>
      </c>
      <c r="B23" s="19"/>
      <c r="C23" s="19"/>
      <c r="D23" s="20">
        <v>12</v>
      </c>
      <c r="E23" s="19"/>
      <c r="F23" s="20"/>
      <c r="G23" s="20"/>
      <c r="H23" s="20"/>
      <c r="I23" s="20"/>
      <c r="J23" s="41">
        <f t="shared" si="0"/>
        <v>12</v>
      </c>
      <c r="K23" s="8"/>
      <c r="L23" s="27"/>
      <c r="M23" s="27"/>
      <c r="N23" s="23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>
      <c r="A24" s="24" t="s">
        <v>127</v>
      </c>
      <c r="B24" s="19"/>
      <c r="C24" s="19"/>
      <c r="D24" s="20"/>
      <c r="E24" s="19">
        <v>85</v>
      </c>
      <c r="F24" s="20"/>
      <c r="G24" s="20"/>
      <c r="H24" s="20">
        <f>16+8</f>
        <v>24</v>
      </c>
      <c r="I24" s="20"/>
      <c r="J24" s="41">
        <f t="shared" si="0"/>
        <v>109</v>
      </c>
      <c r="K24" s="8"/>
      <c r="L24" s="27"/>
      <c r="M24" s="27"/>
      <c r="N24" s="23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>
      <c r="A25" s="24" t="s">
        <v>128</v>
      </c>
      <c r="B25" s="19"/>
      <c r="C25" s="19"/>
      <c r="D25" s="20"/>
      <c r="E25" s="19"/>
      <c r="F25" s="20"/>
      <c r="G25" s="20"/>
      <c r="H25" s="20"/>
      <c r="I25" s="20"/>
      <c r="J25" s="41">
        <f t="shared" si="0"/>
        <v>0</v>
      </c>
      <c r="K25" s="8"/>
      <c r="L25" s="27"/>
      <c r="M25" s="27"/>
      <c r="N25" s="23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>
      <c r="A26" s="24" t="s">
        <v>129</v>
      </c>
      <c r="B26" s="19"/>
      <c r="C26" s="19"/>
      <c r="D26" s="20"/>
      <c r="E26" s="19"/>
      <c r="F26" s="20"/>
      <c r="G26" s="20"/>
      <c r="H26" s="20"/>
      <c r="I26" s="20"/>
      <c r="J26" s="41">
        <f t="shared" si="0"/>
        <v>0</v>
      </c>
      <c r="K26" s="8"/>
      <c r="L26" s="27"/>
      <c r="M26" s="27"/>
      <c r="N26" s="23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>
      <c r="A27" s="24" t="s">
        <v>130</v>
      </c>
      <c r="B27" s="19"/>
      <c r="C27" s="19"/>
      <c r="D27" s="20"/>
      <c r="E27" s="19">
        <f>32+16</f>
        <v>48</v>
      </c>
      <c r="F27" s="20"/>
      <c r="G27" s="20"/>
      <c r="H27" s="20"/>
      <c r="I27" s="20"/>
      <c r="J27" s="41">
        <f t="shared" si="0"/>
        <v>48</v>
      </c>
      <c r="K27" s="8"/>
      <c r="L27" s="27"/>
      <c r="M27" s="27"/>
      <c r="N27" s="23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>
      <c r="A28" s="83" t="s">
        <v>138</v>
      </c>
      <c r="B28" s="19">
        <v>24.5</v>
      </c>
      <c r="C28" s="19"/>
      <c r="D28" s="20">
        <v>16</v>
      </c>
      <c r="E28" s="19">
        <v>8.5</v>
      </c>
      <c r="F28" s="20"/>
      <c r="G28" s="20"/>
      <c r="H28" s="20">
        <v>55.5</v>
      </c>
      <c r="I28" s="20">
        <v>46</v>
      </c>
      <c r="J28" s="41">
        <f t="shared" si="0"/>
        <v>150.5</v>
      </c>
      <c r="K28" s="8"/>
      <c r="L28" s="27"/>
      <c r="M28" s="27"/>
      <c r="N28" s="23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>
      <c r="A29" s="8"/>
      <c r="B29" s="8"/>
      <c r="C29" s="8"/>
      <c r="D29" s="8"/>
      <c r="E29" s="8"/>
      <c r="F29" s="8"/>
      <c r="G29" s="8"/>
      <c r="H29" s="8"/>
      <c r="I29" s="30"/>
      <c r="J29" s="30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>
      <c r="A30" s="16" t="s">
        <v>20</v>
      </c>
      <c r="B30" s="16" t="s">
        <v>66</v>
      </c>
      <c r="C30" s="16" t="s">
        <v>37</v>
      </c>
      <c r="D30" s="16" t="s">
        <v>38</v>
      </c>
      <c r="E30" s="16" t="s">
        <v>34</v>
      </c>
      <c r="F30" s="16" t="s">
        <v>58</v>
      </c>
      <c r="G30" s="16" t="s">
        <v>39</v>
      </c>
      <c r="H30" s="16" t="s">
        <v>36</v>
      </c>
      <c r="I30" s="16" t="s">
        <v>131</v>
      </c>
      <c r="J30" s="17" t="s">
        <v>19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>
      <c r="A31" s="18" t="s">
        <v>8</v>
      </c>
      <c r="B31" s="20">
        <v>96</v>
      </c>
      <c r="C31" s="20">
        <v>72</v>
      </c>
      <c r="D31" s="20">
        <v>88</v>
      </c>
      <c r="E31" s="20">
        <f>4+64</f>
        <v>68</v>
      </c>
      <c r="F31" s="20"/>
      <c r="G31" s="20"/>
      <c r="H31" s="20">
        <f>8+84</f>
        <v>92</v>
      </c>
      <c r="I31" s="20">
        <v>96</v>
      </c>
      <c r="J31" s="41">
        <f t="shared" ref="J31:J39" si="1">SUM(B31:I31)</f>
        <v>512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3.5" customHeight="1">
      <c r="A32" s="24" t="s">
        <v>81</v>
      </c>
      <c r="B32" s="20"/>
      <c r="C32" s="20"/>
      <c r="D32" s="20"/>
      <c r="E32" s="20"/>
      <c r="F32" s="20"/>
      <c r="G32" s="20"/>
      <c r="H32" s="20"/>
      <c r="I32" s="20"/>
      <c r="J32" s="41">
        <f t="shared" si="1"/>
        <v>0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>
      <c r="A33" s="24" t="s">
        <v>43</v>
      </c>
      <c r="B33" s="20"/>
      <c r="C33" s="20"/>
      <c r="D33" s="20"/>
      <c r="E33" s="20"/>
      <c r="F33" s="20">
        <f>72+100</f>
        <v>172</v>
      </c>
      <c r="G33" s="20"/>
      <c r="H33" s="20"/>
      <c r="I33" s="20"/>
      <c r="J33" s="41">
        <f t="shared" si="1"/>
        <v>172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>
      <c r="A34" s="24" t="s">
        <v>78</v>
      </c>
      <c r="B34" s="20"/>
      <c r="C34" s="20"/>
      <c r="D34" s="20"/>
      <c r="E34" s="20"/>
      <c r="F34" s="20"/>
      <c r="G34" s="20"/>
      <c r="H34" s="20"/>
      <c r="I34" s="20"/>
      <c r="J34" s="41">
        <f t="shared" si="1"/>
        <v>0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>
      <c r="A35" s="24" t="s">
        <v>116</v>
      </c>
      <c r="B35" s="20"/>
      <c r="C35" s="20"/>
      <c r="D35" s="20"/>
      <c r="E35" s="20"/>
      <c r="F35" s="20"/>
      <c r="G35" s="20"/>
      <c r="H35" s="20"/>
      <c r="I35" s="20"/>
      <c r="J35" s="41">
        <f t="shared" si="1"/>
        <v>0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>
      <c r="A36" s="24" t="s">
        <v>132</v>
      </c>
      <c r="B36" s="20"/>
      <c r="C36" s="20"/>
      <c r="D36" s="20"/>
      <c r="E36" s="20"/>
      <c r="F36" s="20"/>
      <c r="G36" s="20"/>
      <c r="H36" s="20"/>
      <c r="I36" s="20"/>
      <c r="J36" s="41">
        <f t="shared" si="1"/>
        <v>0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>
      <c r="A37" s="24" t="s">
        <v>133</v>
      </c>
      <c r="B37" s="20"/>
      <c r="C37" s="20"/>
      <c r="D37" s="20"/>
      <c r="E37" s="20"/>
      <c r="F37" s="20"/>
      <c r="G37" s="20"/>
      <c r="H37" s="20"/>
      <c r="I37" s="20"/>
      <c r="J37" s="41">
        <f t="shared" si="1"/>
        <v>0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customHeight="1">
      <c r="A38" s="24" t="s">
        <v>128</v>
      </c>
      <c r="B38" s="20">
        <f>80+14</f>
        <v>94</v>
      </c>
      <c r="C38" s="20">
        <f>64+42</f>
        <v>106</v>
      </c>
      <c r="D38" s="20">
        <f>72</f>
        <v>72</v>
      </c>
      <c r="E38" s="20">
        <f>76+18</f>
        <v>94</v>
      </c>
      <c r="F38" s="20"/>
      <c r="G38" s="20">
        <f>72+99</f>
        <v>171</v>
      </c>
      <c r="H38" s="20">
        <f>63+24</f>
        <v>87</v>
      </c>
      <c r="I38" s="20">
        <f>72+24</f>
        <v>96</v>
      </c>
      <c r="J38" s="41">
        <f t="shared" si="1"/>
        <v>720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customHeight="1">
      <c r="A39" s="24" t="s">
        <v>134</v>
      </c>
      <c r="B39" s="20"/>
      <c r="C39" s="20"/>
      <c r="D39" s="20"/>
      <c r="E39" s="20"/>
      <c r="F39" s="20"/>
      <c r="G39" s="20"/>
      <c r="H39" s="20"/>
      <c r="I39" s="20"/>
      <c r="J39" s="41">
        <f t="shared" si="1"/>
        <v>0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customHeight="1">
      <c r="A40" s="46"/>
      <c r="B40" s="47"/>
      <c r="C40" s="47"/>
      <c r="D40" s="47"/>
      <c r="E40" s="47"/>
      <c r="F40" s="47"/>
      <c r="G40" s="47"/>
      <c r="H40" s="47"/>
      <c r="I40" s="47"/>
      <c r="J40" s="47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>
      <c r="A41" s="46"/>
      <c r="B41" s="47"/>
      <c r="C41" s="47"/>
      <c r="D41" s="47"/>
      <c r="E41" s="47"/>
      <c r="F41" s="47"/>
      <c r="G41" s="47"/>
      <c r="H41" s="47"/>
      <c r="I41" s="47"/>
      <c r="J41" s="47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>
      <c r="A42" s="16" t="s">
        <v>20</v>
      </c>
      <c r="B42" s="17" t="s">
        <v>17</v>
      </c>
      <c r="C42" s="17" t="s">
        <v>118</v>
      </c>
      <c r="D42" s="17" t="s">
        <v>25</v>
      </c>
      <c r="E42" s="17" t="s">
        <v>135</v>
      </c>
      <c r="F42" s="17" t="s">
        <v>39</v>
      </c>
      <c r="G42" s="17" t="s">
        <v>19</v>
      </c>
      <c r="H42" s="47"/>
      <c r="I42" s="47"/>
      <c r="J42" s="47"/>
      <c r="K42" s="47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customHeight="1">
      <c r="A43" s="53" t="s">
        <v>8</v>
      </c>
      <c r="B43" s="19"/>
      <c r="C43" s="19">
        <f>2+3</f>
        <v>5</v>
      </c>
      <c r="D43" s="19"/>
      <c r="E43" s="19"/>
      <c r="F43" s="19">
        <f>6</f>
        <v>6</v>
      </c>
      <c r="G43" s="41">
        <f t="shared" ref="G43:G48" si="2">SUM(B43:F43)</f>
        <v>11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customHeight="1">
      <c r="A44" s="24" t="s">
        <v>81</v>
      </c>
      <c r="B44" s="19">
        <f>60+70</f>
        <v>130</v>
      </c>
      <c r="C44" s="19">
        <v>93</v>
      </c>
      <c r="D44" s="19">
        <v>16</v>
      </c>
      <c r="E44" s="19"/>
      <c r="F44" s="19">
        <f>7+3</f>
        <v>10</v>
      </c>
      <c r="G44" s="41">
        <f t="shared" si="2"/>
        <v>249</v>
      </c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customHeight="1">
      <c r="A45" s="24" t="s">
        <v>57</v>
      </c>
      <c r="B45" s="19"/>
      <c r="C45" s="19">
        <f>70</f>
        <v>70</v>
      </c>
      <c r="D45" s="19"/>
      <c r="E45" s="19">
        <f>72+80</f>
        <v>152</v>
      </c>
      <c r="F45" s="19">
        <f>5</f>
        <v>5</v>
      </c>
      <c r="G45" s="41">
        <f t="shared" si="2"/>
        <v>227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customHeight="1">
      <c r="A46" s="83" t="s">
        <v>136</v>
      </c>
      <c r="B46" s="19"/>
      <c r="C46" s="19"/>
      <c r="D46" s="19"/>
      <c r="E46" s="19"/>
      <c r="F46" s="19"/>
      <c r="G46" s="41">
        <f t="shared" si="2"/>
        <v>0</v>
      </c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customHeight="1">
      <c r="A47" s="83" t="s">
        <v>137</v>
      </c>
      <c r="B47" s="19">
        <f>12+6</f>
        <v>18</v>
      </c>
      <c r="C47" s="19"/>
      <c r="D47" s="19">
        <f>72+64</f>
        <v>136</v>
      </c>
      <c r="E47" s="19"/>
      <c r="F47" s="19"/>
      <c r="G47" s="41">
        <f t="shared" si="2"/>
        <v>154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customHeight="1">
      <c r="A48" s="83" t="s">
        <v>139</v>
      </c>
      <c r="B48" s="19">
        <v>22</v>
      </c>
      <c r="C48" s="19"/>
      <c r="D48" s="19"/>
      <c r="E48" s="19">
        <v>24</v>
      </c>
      <c r="F48" s="19">
        <v>1</v>
      </c>
      <c r="G48" s="41">
        <f t="shared" si="2"/>
        <v>47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>
      <c r="A52" s="46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">
    <mergeCell ref="B1:G1"/>
  </mergeCells>
  <pageMargins left="0.7" right="0.7" top="0.75" bottom="0.75" header="0" footer="0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2578125" defaultRowHeight="15" customHeight="1"/>
  <cols>
    <col min="1" max="1" width="59" customWidth="1"/>
    <col min="2" max="2" width="8.7109375" customWidth="1"/>
    <col min="3" max="3" width="16.5703125" customWidth="1"/>
    <col min="4" max="4" width="18" customWidth="1"/>
    <col min="5" max="5" width="19.42578125" customWidth="1"/>
    <col min="6" max="9" width="19.85546875" customWidth="1"/>
    <col min="10" max="10" width="13.7109375" customWidth="1"/>
    <col min="11" max="26" width="8.7109375" customWidth="1"/>
  </cols>
  <sheetData>
    <row r="1" spans="1:11">
      <c r="A1" s="87" t="s">
        <v>20</v>
      </c>
      <c r="B1" s="87" t="s">
        <v>140</v>
      </c>
      <c r="C1" s="87" t="s">
        <v>141</v>
      </c>
      <c r="D1" s="87" t="s">
        <v>142</v>
      </c>
      <c r="E1" s="87" t="s">
        <v>143</v>
      </c>
      <c r="F1" s="87" t="s">
        <v>144</v>
      </c>
      <c r="G1" s="87" t="s">
        <v>145</v>
      </c>
      <c r="H1" s="87" t="s">
        <v>146</v>
      </c>
      <c r="I1" s="87" t="s">
        <v>147</v>
      </c>
      <c r="J1" s="87" t="s">
        <v>19</v>
      </c>
    </row>
    <row r="2" spans="1:11">
      <c r="A2" s="88" t="s">
        <v>77</v>
      </c>
      <c r="B2" s="89" t="s">
        <v>148</v>
      </c>
      <c r="C2" s="90">
        <f>8.5+85.5</f>
        <v>94</v>
      </c>
      <c r="D2" s="90">
        <v>35</v>
      </c>
      <c r="E2" s="90">
        <f>12+104.5</f>
        <v>116.5</v>
      </c>
      <c r="F2" s="90">
        <v>18.5</v>
      </c>
      <c r="G2" s="90">
        <f>9</f>
        <v>9</v>
      </c>
      <c r="H2" s="90"/>
      <c r="I2" s="90"/>
      <c r="J2" s="91">
        <f t="shared" ref="J2:J12" si="0">SUM(C2:I2)</f>
        <v>273</v>
      </c>
    </row>
    <row r="3" spans="1:11">
      <c r="A3" s="88" t="s">
        <v>115</v>
      </c>
      <c r="B3" s="89" t="s">
        <v>148</v>
      </c>
      <c r="C3" s="90">
        <f>56.5+22.75</f>
        <v>79.25</v>
      </c>
      <c r="D3" s="90"/>
      <c r="E3" s="90">
        <f>36+10</f>
        <v>46</v>
      </c>
      <c r="F3" s="90"/>
      <c r="G3" s="90"/>
      <c r="H3" s="90"/>
      <c r="I3" s="90"/>
      <c r="J3" s="91">
        <f t="shared" si="0"/>
        <v>125.25</v>
      </c>
    </row>
    <row r="4" spans="1:11">
      <c r="A4" s="88" t="s">
        <v>149</v>
      </c>
      <c r="B4" s="89" t="s">
        <v>148</v>
      </c>
      <c r="C4" s="90"/>
      <c r="D4" s="90">
        <v>2</v>
      </c>
      <c r="E4" s="90"/>
      <c r="F4" s="90">
        <v>22.75</v>
      </c>
      <c r="G4" s="90"/>
      <c r="H4" s="90">
        <f>23.5+62</f>
        <v>85.5</v>
      </c>
      <c r="I4" s="90">
        <f>48+110.75</f>
        <v>158.75</v>
      </c>
      <c r="J4" s="91">
        <f t="shared" si="0"/>
        <v>269</v>
      </c>
    </row>
    <row r="5" spans="1:11">
      <c r="A5" s="88" t="s">
        <v>150</v>
      </c>
      <c r="B5" s="89" t="s">
        <v>148</v>
      </c>
      <c r="C5" s="90"/>
      <c r="D5" s="90"/>
      <c r="E5" s="90"/>
      <c r="F5" s="90">
        <f>24</f>
        <v>24</v>
      </c>
      <c r="G5" s="90">
        <f>10+27</f>
        <v>37</v>
      </c>
      <c r="H5" s="90">
        <f>18</f>
        <v>18</v>
      </c>
      <c r="I5" s="90"/>
      <c r="J5" s="91">
        <f t="shared" si="0"/>
        <v>79</v>
      </c>
    </row>
    <row r="6" spans="1:11">
      <c r="A6" s="89" t="s">
        <v>151</v>
      </c>
      <c r="B6" s="89" t="s">
        <v>148</v>
      </c>
      <c r="C6" s="90"/>
      <c r="D6" s="90"/>
      <c r="E6" s="90"/>
      <c r="F6" s="90"/>
      <c r="G6" s="90">
        <v>8</v>
      </c>
      <c r="H6" s="90"/>
      <c r="I6" s="90"/>
      <c r="J6" s="91">
        <f t="shared" si="0"/>
        <v>8</v>
      </c>
    </row>
    <row r="7" spans="1:11">
      <c r="A7" s="88" t="s">
        <v>138</v>
      </c>
      <c r="B7" s="89" t="s">
        <v>148</v>
      </c>
      <c r="C7" s="90">
        <v>2</v>
      </c>
      <c r="D7" s="90">
        <f>93+12</f>
        <v>105</v>
      </c>
      <c r="E7" s="90">
        <v>2</v>
      </c>
      <c r="F7" s="90">
        <v>2</v>
      </c>
      <c r="G7" s="90">
        <f>29+2</f>
        <v>31</v>
      </c>
      <c r="H7" s="90">
        <f>8+2</f>
        <v>10</v>
      </c>
      <c r="I7" s="90"/>
      <c r="J7" s="91">
        <f t="shared" si="0"/>
        <v>152</v>
      </c>
    </row>
    <row r="8" spans="1:11">
      <c r="A8" s="88" t="s">
        <v>152</v>
      </c>
      <c r="B8" s="89" t="s">
        <v>148</v>
      </c>
      <c r="C8" s="90"/>
      <c r="D8" s="90"/>
      <c r="E8" s="90"/>
      <c r="F8" s="90">
        <v>21.25</v>
      </c>
      <c r="G8" s="90"/>
      <c r="H8" s="90">
        <v>9</v>
      </c>
      <c r="I8" s="90"/>
      <c r="J8" s="91">
        <f t="shared" si="0"/>
        <v>30.25</v>
      </c>
    </row>
    <row r="9" spans="1:11">
      <c r="A9" s="88" t="s">
        <v>153</v>
      </c>
      <c r="B9" s="89" t="s">
        <v>148</v>
      </c>
      <c r="C9" s="90"/>
      <c r="D9" s="90">
        <v>52</v>
      </c>
      <c r="E9" s="90"/>
      <c r="F9" s="90">
        <v>36</v>
      </c>
      <c r="G9" s="90"/>
      <c r="H9" s="90"/>
      <c r="I9" s="90"/>
      <c r="J9" s="91">
        <f t="shared" si="0"/>
        <v>88</v>
      </c>
    </row>
    <row r="10" spans="1:11">
      <c r="A10" s="88" t="s">
        <v>154</v>
      </c>
      <c r="B10" s="89" t="s">
        <v>148</v>
      </c>
      <c r="C10" s="90">
        <v>4.25</v>
      </c>
      <c r="D10" s="90"/>
      <c r="E10" s="90"/>
      <c r="F10" s="90"/>
      <c r="G10" s="90">
        <v>67.5</v>
      </c>
      <c r="H10" s="90"/>
      <c r="I10" s="90"/>
      <c r="J10" s="91">
        <f t="shared" si="0"/>
        <v>71.75</v>
      </c>
    </row>
    <row r="11" spans="1:11">
      <c r="A11" s="88" t="s">
        <v>155</v>
      </c>
      <c r="B11" s="89"/>
      <c r="C11" s="90"/>
      <c r="D11" s="90"/>
      <c r="E11" s="90"/>
      <c r="F11" s="90">
        <v>8.5</v>
      </c>
      <c r="G11" s="90"/>
      <c r="H11" s="90"/>
      <c r="I11" s="90"/>
      <c r="J11" s="91">
        <f t="shared" si="0"/>
        <v>8.5</v>
      </c>
    </row>
    <row r="12" spans="1:11">
      <c r="A12" s="88" t="s">
        <v>8</v>
      </c>
      <c r="B12" s="89" t="s">
        <v>148</v>
      </c>
      <c r="C12" s="90">
        <v>1</v>
      </c>
      <c r="D12" s="90">
        <v>9</v>
      </c>
      <c r="E12" s="90">
        <v>1.5</v>
      </c>
      <c r="F12" s="90">
        <v>6</v>
      </c>
      <c r="G12" s="90">
        <f>8+15.5</f>
        <v>23.5</v>
      </c>
      <c r="H12" s="90">
        <f>19+42</f>
        <v>61</v>
      </c>
      <c r="I12" s="90">
        <v>4</v>
      </c>
      <c r="J12" s="91">
        <f t="shared" si="0"/>
        <v>106</v>
      </c>
    </row>
    <row r="14" spans="1:11">
      <c r="A14" s="87" t="s">
        <v>20</v>
      </c>
      <c r="B14" s="87" t="s">
        <v>140</v>
      </c>
      <c r="C14" s="87" t="s">
        <v>156</v>
      </c>
      <c r="D14" s="87" t="s">
        <v>157</v>
      </c>
      <c r="E14" s="87" t="s">
        <v>158</v>
      </c>
      <c r="F14" s="87" t="s">
        <v>159</v>
      </c>
      <c r="G14" s="87" t="s">
        <v>160</v>
      </c>
      <c r="H14" s="87" t="s">
        <v>161</v>
      </c>
      <c r="I14" s="87" t="s">
        <v>162</v>
      </c>
      <c r="J14" s="87" t="s">
        <v>163</v>
      </c>
      <c r="K14" s="87" t="s">
        <v>19</v>
      </c>
    </row>
    <row r="15" spans="1:11">
      <c r="A15" s="92" t="s">
        <v>43</v>
      </c>
      <c r="B15" s="93" t="s">
        <v>164</v>
      </c>
      <c r="C15" s="94"/>
      <c r="D15" s="94"/>
      <c r="E15" s="94"/>
      <c r="F15" s="94">
        <v>75</v>
      </c>
      <c r="G15" s="94"/>
      <c r="H15" s="94"/>
      <c r="I15" s="94">
        <f>32+112</f>
        <v>144</v>
      </c>
      <c r="J15" s="94"/>
      <c r="K15" s="91">
        <f t="shared" ref="K15:K19" si="1">SUM(C15:I15)</f>
        <v>219</v>
      </c>
    </row>
    <row r="16" spans="1:11">
      <c r="A16" s="89" t="s">
        <v>165</v>
      </c>
      <c r="B16" s="89" t="s">
        <v>164</v>
      </c>
      <c r="C16" s="90"/>
      <c r="D16" s="90"/>
      <c r="E16" s="90"/>
      <c r="F16" s="90">
        <v>32</v>
      </c>
      <c r="G16" s="90"/>
      <c r="H16" s="90"/>
      <c r="I16" s="90"/>
      <c r="J16" s="90"/>
      <c r="K16" s="91">
        <f t="shared" si="1"/>
        <v>32</v>
      </c>
    </row>
    <row r="17" spans="1:11">
      <c r="A17" s="92" t="s">
        <v>166</v>
      </c>
      <c r="B17" s="89"/>
      <c r="C17" s="90"/>
      <c r="D17" s="90"/>
      <c r="E17" s="90"/>
      <c r="F17" s="90"/>
      <c r="G17" s="90"/>
      <c r="H17" s="90">
        <v>24</v>
      </c>
      <c r="I17" s="90"/>
      <c r="J17" s="90"/>
      <c r="K17" s="91">
        <f t="shared" si="1"/>
        <v>24</v>
      </c>
    </row>
    <row r="18" spans="1:11">
      <c r="A18" s="92" t="s">
        <v>167</v>
      </c>
      <c r="B18" s="89"/>
      <c r="C18" s="90">
        <v>102</v>
      </c>
      <c r="D18" s="90"/>
      <c r="E18" s="90">
        <v>48</v>
      </c>
      <c r="F18" s="90">
        <v>40</v>
      </c>
      <c r="G18" s="90">
        <v>16</v>
      </c>
      <c r="H18" s="90">
        <v>12</v>
      </c>
      <c r="I18" s="90">
        <v>8</v>
      </c>
      <c r="J18" s="90">
        <f>16+64</f>
        <v>80</v>
      </c>
      <c r="K18" s="91">
        <f t="shared" si="1"/>
        <v>226</v>
      </c>
    </row>
    <row r="19" spans="1:11">
      <c r="A19" s="88" t="s">
        <v>8</v>
      </c>
      <c r="B19" s="89" t="s">
        <v>164</v>
      </c>
      <c r="C19" s="90">
        <f>64+10</f>
        <v>74</v>
      </c>
      <c r="D19" s="90">
        <f>64+110</f>
        <v>174</v>
      </c>
      <c r="E19" s="90">
        <f>48+68</f>
        <v>116</v>
      </c>
      <c r="F19" s="90"/>
      <c r="G19" s="90">
        <f>60.75+90.75</f>
        <v>151.5</v>
      </c>
      <c r="H19" s="90">
        <f>50.75+78</f>
        <v>128.75</v>
      </c>
      <c r="I19" s="90"/>
      <c r="J19" s="90">
        <f>48+48</f>
        <v>96</v>
      </c>
      <c r="K19" s="91">
        <f t="shared" si="1"/>
        <v>644.25</v>
      </c>
    </row>
    <row r="21" spans="1:11" ht="15.75" customHeight="1">
      <c r="A21" s="87" t="s">
        <v>20</v>
      </c>
      <c r="B21" s="87" t="s">
        <v>140</v>
      </c>
      <c r="C21" s="87" t="s">
        <v>168</v>
      </c>
      <c r="D21" s="87" t="s">
        <v>169</v>
      </c>
      <c r="E21" s="87" t="s">
        <v>170</v>
      </c>
      <c r="F21" s="87" t="s">
        <v>171</v>
      </c>
      <c r="G21" s="87" t="s">
        <v>172</v>
      </c>
      <c r="H21" s="87" t="s">
        <v>19</v>
      </c>
    </row>
    <row r="22" spans="1:11" ht="15.75" customHeight="1">
      <c r="A22" s="89" t="s">
        <v>57</v>
      </c>
      <c r="B22" s="89" t="s">
        <v>173</v>
      </c>
      <c r="C22" s="90">
        <f>56+118</f>
        <v>174</v>
      </c>
      <c r="D22" s="90">
        <v>21.5</v>
      </c>
      <c r="E22" s="90"/>
      <c r="F22" s="90">
        <v>25</v>
      </c>
      <c r="G22" s="90">
        <v>2.5</v>
      </c>
      <c r="H22" s="91">
        <f t="shared" ref="H22:H25" si="2">SUM(C22:G22)</f>
        <v>223</v>
      </c>
    </row>
    <row r="23" spans="1:11" ht="15.75" customHeight="1">
      <c r="A23" s="88" t="s">
        <v>81</v>
      </c>
      <c r="B23" s="89" t="s">
        <v>173</v>
      </c>
      <c r="C23" s="90"/>
      <c r="D23" s="90">
        <f>39+109</f>
        <v>148</v>
      </c>
      <c r="E23" s="90">
        <f>48+120</f>
        <v>168</v>
      </c>
      <c r="F23" s="90">
        <f>28+70</f>
        <v>98</v>
      </c>
      <c r="G23" s="90"/>
      <c r="H23" s="91">
        <f t="shared" si="2"/>
        <v>414</v>
      </c>
    </row>
    <row r="24" spans="1:11" ht="15.75" customHeight="1">
      <c r="A24" s="88" t="s">
        <v>139</v>
      </c>
      <c r="B24" s="89" t="s">
        <v>173</v>
      </c>
      <c r="C24" s="90">
        <v>8</v>
      </c>
      <c r="D24" s="90"/>
      <c r="E24" s="90"/>
      <c r="F24" s="90">
        <f>56+40</f>
        <v>96</v>
      </c>
      <c r="G24" s="90">
        <v>14</v>
      </c>
      <c r="H24" s="91">
        <f t="shared" si="2"/>
        <v>118</v>
      </c>
    </row>
    <row r="25" spans="1:11" ht="15.75" customHeight="1">
      <c r="A25" s="89" t="s">
        <v>8</v>
      </c>
      <c r="B25" s="89" t="s">
        <v>173</v>
      </c>
      <c r="C25" s="90"/>
      <c r="D25" s="90">
        <f>1+7</f>
        <v>8</v>
      </c>
      <c r="E25" s="90"/>
      <c r="F25" s="90">
        <v>6</v>
      </c>
      <c r="G25" s="90">
        <v>6</v>
      </c>
      <c r="H25" s="91">
        <f t="shared" si="2"/>
        <v>20</v>
      </c>
    </row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2578125" defaultRowHeight="15" customHeight="1"/>
  <cols>
    <col min="1" max="1" width="59" customWidth="1"/>
    <col min="2" max="2" width="8.7109375" customWidth="1"/>
    <col min="3" max="3" width="16.5703125" customWidth="1"/>
    <col min="4" max="4" width="18" customWidth="1"/>
    <col min="5" max="5" width="19.42578125" customWidth="1"/>
    <col min="6" max="9" width="19.85546875" customWidth="1"/>
    <col min="10" max="10" width="13.7109375" customWidth="1"/>
    <col min="11" max="26" width="8.7109375" customWidth="1"/>
  </cols>
  <sheetData>
    <row r="1" spans="1:10">
      <c r="A1" s="87" t="s">
        <v>20</v>
      </c>
      <c r="B1" s="87" t="s">
        <v>140</v>
      </c>
      <c r="C1" s="87" t="s">
        <v>141</v>
      </c>
      <c r="D1" s="87" t="s">
        <v>142</v>
      </c>
      <c r="E1" s="87" t="s">
        <v>143</v>
      </c>
      <c r="F1" s="87" t="s">
        <v>144</v>
      </c>
      <c r="G1" s="87" t="s">
        <v>145</v>
      </c>
      <c r="H1" s="87" t="s">
        <v>146</v>
      </c>
      <c r="I1" s="87" t="s">
        <v>147</v>
      </c>
      <c r="J1" s="87" t="s">
        <v>19</v>
      </c>
    </row>
    <row r="2" spans="1:10">
      <c r="A2" s="88" t="s">
        <v>77</v>
      </c>
      <c r="B2" s="89" t="s">
        <v>148</v>
      </c>
      <c r="C2" s="90">
        <f>6</f>
        <v>6</v>
      </c>
      <c r="D2" s="90"/>
      <c r="E2" s="90">
        <f>26</f>
        <v>26</v>
      </c>
      <c r="F2" s="90"/>
      <c r="G2" s="90"/>
      <c r="H2" s="90"/>
      <c r="I2" s="90"/>
      <c r="J2" s="91">
        <f t="shared" ref="J2:J16" si="0">SUM(C2:I2)</f>
        <v>32</v>
      </c>
    </row>
    <row r="3" spans="1:10">
      <c r="A3" s="88" t="s">
        <v>115</v>
      </c>
      <c r="B3" s="89" t="s">
        <v>148</v>
      </c>
      <c r="C3" s="90">
        <f>61.75+138</f>
        <v>199.75</v>
      </c>
      <c r="D3" s="90">
        <f>71+78</f>
        <v>149</v>
      </c>
      <c r="E3" s="90">
        <f>43+138</f>
        <v>181</v>
      </c>
      <c r="F3" s="90">
        <f>72.25+64</f>
        <v>136.25</v>
      </c>
      <c r="G3" s="90"/>
      <c r="H3" s="90">
        <f>11+4</f>
        <v>15</v>
      </c>
      <c r="I3" s="90">
        <f>24+12</f>
        <v>36</v>
      </c>
      <c r="J3" s="91">
        <f t="shared" si="0"/>
        <v>717</v>
      </c>
    </row>
    <row r="4" spans="1:10">
      <c r="A4" s="88" t="s">
        <v>149</v>
      </c>
      <c r="B4" s="89" t="s">
        <v>148</v>
      </c>
      <c r="C4" s="90"/>
      <c r="D4" s="90"/>
      <c r="E4" s="90"/>
      <c r="F4" s="90"/>
      <c r="G4" s="90"/>
      <c r="H4" s="90">
        <f>19</f>
        <v>19</v>
      </c>
      <c r="I4" s="90">
        <f>24+16</f>
        <v>40</v>
      </c>
      <c r="J4" s="91">
        <f t="shared" si="0"/>
        <v>59</v>
      </c>
    </row>
    <row r="5" spans="1:10">
      <c r="A5" s="88" t="s">
        <v>150</v>
      </c>
      <c r="B5" s="89" t="s">
        <v>148</v>
      </c>
      <c r="C5" s="90"/>
      <c r="D5" s="90"/>
      <c r="E5" s="90"/>
      <c r="F5" s="90"/>
      <c r="G5" s="90"/>
      <c r="H5" s="90">
        <v>14</v>
      </c>
      <c r="I5" s="90">
        <v>13</v>
      </c>
      <c r="J5" s="91">
        <f t="shared" si="0"/>
        <v>27</v>
      </c>
    </row>
    <row r="6" spans="1:10">
      <c r="A6" s="89" t="s">
        <v>151</v>
      </c>
      <c r="B6" s="89" t="s">
        <v>148</v>
      </c>
      <c r="C6" s="90"/>
      <c r="D6" s="90"/>
      <c r="E6" s="90"/>
      <c r="F6" s="90"/>
      <c r="G6" s="90"/>
      <c r="H6" s="90">
        <v>6</v>
      </c>
      <c r="I6" s="90">
        <v>32</v>
      </c>
      <c r="J6" s="91">
        <f t="shared" si="0"/>
        <v>38</v>
      </c>
    </row>
    <row r="7" spans="1:10">
      <c r="A7" s="88" t="s">
        <v>138</v>
      </c>
      <c r="B7" s="89" t="s">
        <v>148</v>
      </c>
      <c r="C7" s="90"/>
      <c r="D7" s="90"/>
      <c r="E7" s="90"/>
      <c r="F7" s="90"/>
      <c r="G7" s="90"/>
      <c r="H7" s="90"/>
      <c r="I7" s="90"/>
      <c r="J7" s="91">
        <f t="shared" si="0"/>
        <v>0</v>
      </c>
    </row>
    <row r="8" spans="1:10">
      <c r="A8" s="88" t="s">
        <v>152</v>
      </c>
      <c r="B8" s="89" t="s">
        <v>148</v>
      </c>
      <c r="C8" s="90"/>
      <c r="D8" s="90"/>
      <c r="E8" s="90"/>
      <c r="F8" s="90"/>
      <c r="G8" s="90"/>
      <c r="H8" s="90"/>
      <c r="I8" s="90"/>
      <c r="J8" s="91">
        <f t="shared" si="0"/>
        <v>0</v>
      </c>
    </row>
    <row r="9" spans="1:10">
      <c r="A9" s="88" t="s">
        <v>153</v>
      </c>
      <c r="B9" s="89" t="s">
        <v>148</v>
      </c>
      <c r="C9" s="90"/>
      <c r="D9" s="90"/>
      <c r="E9" s="90"/>
      <c r="F9" s="90"/>
      <c r="G9" s="90"/>
      <c r="H9" s="90"/>
      <c r="I9" s="90"/>
      <c r="J9" s="91">
        <f t="shared" si="0"/>
        <v>0</v>
      </c>
    </row>
    <row r="10" spans="1:10">
      <c r="A10" s="88" t="s">
        <v>154</v>
      </c>
      <c r="B10" s="89" t="s">
        <v>148</v>
      </c>
      <c r="C10" s="90"/>
      <c r="D10" s="90"/>
      <c r="E10" s="90"/>
      <c r="F10" s="90"/>
      <c r="G10" s="90">
        <f>28</f>
        <v>28</v>
      </c>
      <c r="H10" s="90"/>
      <c r="I10" s="90"/>
      <c r="J10" s="91">
        <f t="shared" si="0"/>
        <v>28</v>
      </c>
    </row>
    <row r="11" spans="1:10">
      <c r="A11" s="88" t="s">
        <v>155</v>
      </c>
      <c r="B11" s="89" t="s">
        <v>148</v>
      </c>
      <c r="C11" s="90"/>
      <c r="D11" s="90">
        <f>4</f>
        <v>4</v>
      </c>
      <c r="E11" s="90"/>
      <c r="F11" s="90"/>
      <c r="G11" s="90"/>
      <c r="H11" s="90">
        <v>1</v>
      </c>
      <c r="I11" s="90"/>
      <c r="J11" s="91">
        <f t="shared" si="0"/>
        <v>5</v>
      </c>
    </row>
    <row r="12" spans="1:10">
      <c r="A12" s="88" t="s">
        <v>174</v>
      </c>
      <c r="B12" s="89" t="s">
        <v>148</v>
      </c>
      <c r="C12" s="90"/>
      <c r="D12" s="90"/>
      <c r="E12" s="90"/>
      <c r="F12" s="90"/>
      <c r="G12" s="90">
        <v>35.5</v>
      </c>
      <c r="H12" s="90">
        <v>28.5</v>
      </c>
      <c r="I12" s="90">
        <v>15</v>
      </c>
      <c r="J12" s="91">
        <f t="shared" si="0"/>
        <v>79</v>
      </c>
    </row>
    <row r="13" spans="1:10">
      <c r="A13" s="88" t="s">
        <v>175</v>
      </c>
      <c r="B13" s="89" t="s">
        <v>148</v>
      </c>
      <c r="C13" s="90"/>
      <c r="D13" s="90"/>
      <c r="E13" s="90"/>
      <c r="F13" s="90"/>
      <c r="G13" s="90">
        <f>39+12</f>
        <v>51</v>
      </c>
      <c r="H13" s="90">
        <v>11.25</v>
      </c>
      <c r="I13" s="90"/>
      <c r="J13" s="91">
        <f t="shared" si="0"/>
        <v>62.25</v>
      </c>
    </row>
    <row r="14" spans="1:10">
      <c r="A14" s="88" t="s">
        <v>176</v>
      </c>
      <c r="B14" s="89" t="s">
        <v>148</v>
      </c>
      <c r="C14" s="90"/>
      <c r="D14" s="90">
        <v>20</v>
      </c>
      <c r="E14" s="90"/>
      <c r="F14" s="90">
        <v>56.5</v>
      </c>
      <c r="G14" s="90">
        <v>83</v>
      </c>
      <c r="H14" s="90">
        <v>36</v>
      </c>
      <c r="I14" s="90"/>
      <c r="J14" s="91">
        <f t="shared" si="0"/>
        <v>195.5</v>
      </c>
    </row>
    <row r="15" spans="1:10">
      <c r="A15" s="88" t="s">
        <v>177</v>
      </c>
      <c r="B15" s="89" t="s">
        <v>148</v>
      </c>
      <c r="C15" s="90"/>
      <c r="D15" s="90">
        <v>17.5</v>
      </c>
      <c r="E15" s="90"/>
      <c r="F15" s="90">
        <v>16</v>
      </c>
      <c r="G15" s="90"/>
      <c r="H15" s="90">
        <v>24</v>
      </c>
      <c r="I15" s="90">
        <v>12</v>
      </c>
      <c r="J15" s="91">
        <f t="shared" si="0"/>
        <v>69.5</v>
      </c>
    </row>
    <row r="16" spans="1:10">
      <c r="A16" s="88" t="s">
        <v>8</v>
      </c>
      <c r="B16" s="89" t="s">
        <v>148</v>
      </c>
      <c r="C16" s="90">
        <f>1</f>
        <v>1</v>
      </c>
      <c r="D16" s="90">
        <f>1+5</f>
        <v>6</v>
      </c>
      <c r="E16" s="90"/>
      <c r="F16" s="90">
        <v>1</v>
      </c>
      <c r="G16" s="90">
        <v>16</v>
      </c>
      <c r="H16" s="90">
        <f>3+7</f>
        <v>10</v>
      </c>
      <c r="I16" s="90">
        <f>8+2</f>
        <v>10</v>
      </c>
      <c r="J16" s="91">
        <f t="shared" si="0"/>
        <v>44</v>
      </c>
    </row>
    <row r="18" spans="1:11">
      <c r="A18" s="87" t="s">
        <v>20</v>
      </c>
      <c r="B18" s="87" t="s">
        <v>140</v>
      </c>
      <c r="C18" s="87" t="s">
        <v>156</v>
      </c>
      <c r="D18" s="87" t="s">
        <v>157</v>
      </c>
      <c r="E18" s="87" t="s">
        <v>158</v>
      </c>
      <c r="F18" s="87" t="s">
        <v>159</v>
      </c>
      <c r="G18" s="87" t="s">
        <v>160</v>
      </c>
      <c r="H18" s="87" t="s">
        <v>161</v>
      </c>
      <c r="I18" s="87" t="s">
        <v>162</v>
      </c>
      <c r="J18" s="87" t="s">
        <v>163</v>
      </c>
      <c r="K18" s="87" t="s">
        <v>19</v>
      </c>
    </row>
    <row r="19" spans="1:11">
      <c r="A19" s="92" t="s">
        <v>43</v>
      </c>
      <c r="B19" s="93" t="s">
        <v>164</v>
      </c>
      <c r="C19" s="94"/>
      <c r="D19" s="94"/>
      <c r="E19" s="94"/>
      <c r="F19" s="94"/>
      <c r="G19" s="94"/>
      <c r="H19" s="94"/>
      <c r="I19" s="94">
        <f>56+104</f>
        <v>160</v>
      </c>
      <c r="J19" s="94"/>
      <c r="K19" s="91">
        <f t="shared" ref="K19:K23" si="1">SUM(C19:I19)</f>
        <v>160</v>
      </c>
    </row>
    <row r="20" spans="1:11">
      <c r="A20" s="89" t="s">
        <v>165</v>
      </c>
      <c r="B20" s="89" t="s">
        <v>164</v>
      </c>
      <c r="C20" s="90"/>
      <c r="D20" s="90"/>
      <c r="E20" s="90"/>
      <c r="F20" s="90"/>
      <c r="G20" s="90"/>
      <c r="H20" s="90"/>
      <c r="I20" s="90"/>
      <c r="J20" s="90"/>
      <c r="K20" s="91">
        <f t="shared" si="1"/>
        <v>0</v>
      </c>
    </row>
    <row r="21" spans="1:11" ht="15.75" customHeight="1">
      <c r="A21" s="92" t="s">
        <v>166</v>
      </c>
      <c r="B21" s="89" t="s">
        <v>164</v>
      </c>
      <c r="C21" s="90"/>
      <c r="D21" s="90">
        <v>16</v>
      </c>
      <c r="E21" s="90">
        <f>12+4</f>
        <v>16</v>
      </c>
      <c r="F21" s="90">
        <v>44</v>
      </c>
      <c r="G21" s="90">
        <v>104</v>
      </c>
      <c r="H21" s="90">
        <f>8+36</f>
        <v>44</v>
      </c>
      <c r="I21" s="90"/>
      <c r="J21" s="90">
        <f>24+12</f>
        <v>36</v>
      </c>
      <c r="K21" s="91">
        <f t="shared" si="1"/>
        <v>224</v>
      </c>
    </row>
    <row r="22" spans="1:11" ht="15.75" customHeight="1">
      <c r="A22" s="92" t="s">
        <v>167</v>
      </c>
      <c r="B22" s="89" t="s">
        <v>164</v>
      </c>
      <c r="C22" s="90">
        <f>70+109</f>
        <v>179</v>
      </c>
      <c r="D22" s="90">
        <v>9</v>
      </c>
      <c r="E22" s="90">
        <v>16</v>
      </c>
      <c r="F22" s="90">
        <f>56+72.5</f>
        <v>128.5</v>
      </c>
      <c r="G22" s="90"/>
      <c r="H22" s="90">
        <f>75.5</f>
        <v>75.5</v>
      </c>
      <c r="I22" s="90"/>
      <c r="J22" s="90">
        <f>8+36</f>
        <v>44</v>
      </c>
      <c r="K22" s="91">
        <f t="shared" si="1"/>
        <v>408</v>
      </c>
    </row>
    <row r="23" spans="1:11" ht="15.75" customHeight="1">
      <c r="A23" s="88" t="s">
        <v>8</v>
      </c>
      <c r="B23" s="89" t="s">
        <v>164</v>
      </c>
      <c r="C23" s="90">
        <v>13</v>
      </c>
      <c r="D23" s="90">
        <f>56+80</f>
        <v>136</v>
      </c>
      <c r="E23" s="90">
        <f>44+76</f>
        <v>120</v>
      </c>
      <c r="F23" s="90">
        <v>5</v>
      </c>
      <c r="G23" s="90">
        <f>44</f>
        <v>44</v>
      </c>
      <c r="H23" s="90">
        <f>36</f>
        <v>36</v>
      </c>
      <c r="I23" s="90"/>
      <c r="J23" s="90">
        <f>32+44</f>
        <v>76</v>
      </c>
      <c r="K23" s="91">
        <f t="shared" si="1"/>
        <v>354</v>
      </c>
    </row>
    <row r="24" spans="1:11" ht="15.75" customHeight="1"/>
    <row r="25" spans="1:11" ht="15.75" customHeight="1">
      <c r="A25" s="87" t="s">
        <v>20</v>
      </c>
      <c r="B25" s="87" t="s">
        <v>140</v>
      </c>
      <c r="C25" s="87" t="s">
        <v>168</v>
      </c>
      <c r="D25" s="87" t="s">
        <v>169</v>
      </c>
      <c r="E25" s="87" t="s">
        <v>170</v>
      </c>
      <c r="F25" s="87" t="s">
        <v>171</v>
      </c>
      <c r="G25" s="87" t="s">
        <v>172</v>
      </c>
      <c r="H25" s="87" t="s">
        <v>19</v>
      </c>
    </row>
    <row r="26" spans="1:11" ht="15.75" customHeight="1">
      <c r="A26" s="89" t="s">
        <v>57</v>
      </c>
      <c r="B26" s="89" t="s">
        <v>173</v>
      </c>
      <c r="C26" s="90">
        <f>56+104</f>
        <v>160</v>
      </c>
      <c r="D26" s="90">
        <f>8</f>
        <v>8</v>
      </c>
      <c r="E26" s="90"/>
      <c r="F26" s="90">
        <v>8</v>
      </c>
      <c r="G26" s="90"/>
      <c r="H26" s="91">
        <f t="shared" ref="H26:H29" si="2">SUM(C26:G26)</f>
        <v>176</v>
      </c>
    </row>
    <row r="27" spans="1:11" ht="15.75" customHeight="1">
      <c r="A27" s="88" t="s">
        <v>81</v>
      </c>
      <c r="B27" s="89" t="s">
        <v>173</v>
      </c>
      <c r="C27" s="90"/>
      <c r="D27" s="90">
        <f>53.5+93.5</f>
        <v>147</v>
      </c>
      <c r="E27" s="90">
        <f>56+117</f>
        <v>173</v>
      </c>
      <c r="F27" s="90">
        <f>58+72</f>
        <v>130</v>
      </c>
      <c r="G27" s="90">
        <f>3</f>
        <v>3</v>
      </c>
      <c r="H27" s="91">
        <f t="shared" si="2"/>
        <v>453</v>
      </c>
    </row>
    <row r="28" spans="1:11" ht="15.75" customHeight="1">
      <c r="A28" s="88" t="s">
        <v>139</v>
      </c>
      <c r="B28" s="89" t="s">
        <v>173</v>
      </c>
      <c r="C28" s="90"/>
      <c r="D28" s="90"/>
      <c r="E28" s="90"/>
      <c r="F28" s="90">
        <v>38</v>
      </c>
      <c r="G28" s="90">
        <f>1+14</f>
        <v>15</v>
      </c>
      <c r="H28" s="91">
        <f t="shared" si="2"/>
        <v>53</v>
      </c>
    </row>
    <row r="29" spans="1:11" ht="15.75" customHeight="1">
      <c r="A29" s="89" t="s">
        <v>8</v>
      </c>
      <c r="B29" s="89" t="s">
        <v>173</v>
      </c>
      <c r="C29" s="90"/>
      <c r="D29" s="90">
        <f>2.5+2.5</f>
        <v>5</v>
      </c>
      <c r="E29" s="90"/>
      <c r="F29" s="90">
        <f>6</f>
        <v>6</v>
      </c>
      <c r="G29" s="90">
        <f>3</f>
        <v>3</v>
      </c>
      <c r="H29" s="91">
        <f t="shared" si="2"/>
        <v>14</v>
      </c>
    </row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2578125" defaultRowHeight="15" customHeight="1"/>
  <cols>
    <col min="1" max="1" width="59" customWidth="1"/>
    <col min="2" max="2" width="8.7109375" customWidth="1"/>
    <col min="3" max="3" width="16.5703125" customWidth="1"/>
    <col min="4" max="4" width="18" customWidth="1"/>
    <col min="5" max="5" width="19.42578125" customWidth="1"/>
    <col min="6" max="9" width="19.85546875" customWidth="1"/>
    <col min="10" max="10" width="18.7109375" customWidth="1"/>
    <col min="11" max="26" width="8.7109375" customWidth="1"/>
  </cols>
  <sheetData>
    <row r="1" spans="1:11">
      <c r="A1" s="87" t="s">
        <v>20</v>
      </c>
      <c r="B1" s="87" t="s">
        <v>140</v>
      </c>
      <c r="C1" s="87" t="s">
        <v>141</v>
      </c>
      <c r="D1" s="87" t="s">
        <v>142</v>
      </c>
      <c r="E1" s="87" t="s">
        <v>143</v>
      </c>
      <c r="F1" s="87" t="s">
        <v>144</v>
      </c>
      <c r="G1" s="87" t="s">
        <v>145</v>
      </c>
      <c r="H1" s="87" t="s">
        <v>146</v>
      </c>
      <c r="I1" s="87" t="s">
        <v>147</v>
      </c>
      <c r="J1" s="87" t="s">
        <v>178</v>
      </c>
      <c r="K1" s="87" t="s">
        <v>19</v>
      </c>
    </row>
    <row r="2" spans="1:11">
      <c r="A2" s="88" t="s">
        <v>77</v>
      </c>
      <c r="B2" s="89" t="s">
        <v>148</v>
      </c>
      <c r="C2" s="90"/>
      <c r="D2" s="90"/>
      <c r="E2" s="90"/>
      <c r="F2" s="90"/>
      <c r="G2" s="90"/>
      <c r="H2" s="90"/>
      <c r="I2" s="90"/>
      <c r="J2" s="90"/>
      <c r="K2" s="91">
        <f t="shared" ref="K2:K17" si="0">SUM(C2:J2)</f>
        <v>0</v>
      </c>
    </row>
    <row r="3" spans="1:11">
      <c r="A3" s="88" t="s">
        <v>115</v>
      </c>
      <c r="B3" s="89" t="s">
        <v>148</v>
      </c>
      <c r="C3" s="90">
        <f>74+148</f>
        <v>222</v>
      </c>
      <c r="D3" s="90">
        <f>33.5+123</f>
        <v>156.5</v>
      </c>
      <c r="E3" s="90">
        <f>98+151</f>
        <v>249</v>
      </c>
      <c r="F3" s="90">
        <f>36</f>
        <v>36</v>
      </c>
      <c r="G3" s="90">
        <f>28</f>
        <v>28</v>
      </c>
      <c r="H3" s="90">
        <f>14+23</f>
        <v>37</v>
      </c>
      <c r="I3" s="90">
        <f>34+41</f>
        <v>75</v>
      </c>
      <c r="J3" s="90">
        <v>20</v>
      </c>
      <c r="K3" s="91">
        <f t="shared" si="0"/>
        <v>823.5</v>
      </c>
    </row>
    <row r="4" spans="1:11">
      <c r="A4" s="88" t="s">
        <v>149</v>
      </c>
      <c r="B4" s="89" t="s">
        <v>148</v>
      </c>
      <c r="C4" s="90"/>
      <c r="D4" s="90"/>
      <c r="E4" s="90"/>
      <c r="F4" s="90"/>
      <c r="G4" s="90"/>
      <c r="H4" s="90"/>
      <c r="I4" s="90"/>
      <c r="J4" s="90"/>
      <c r="K4" s="91">
        <f t="shared" si="0"/>
        <v>0</v>
      </c>
    </row>
    <row r="5" spans="1:11">
      <c r="A5" s="88" t="s">
        <v>150</v>
      </c>
      <c r="B5" s="89" t="s">
        <v>148</v>
      </c>
      <c r="C5" s="90"/>
      <c r="D5" s="90"/>
      <c r="E5" s="90"/>
      <c r="F5" s="90"/>
      <c r="G5" s="90"/>
      <c r="H5" s="90">
        <f>6</f>
        <v>6</v>
      </c>
      <c r="I5" s="90"/>
      <c r="J5" s="90"/>
      <c r="K5" s="91">
        <f t="shared" si="0"/>
        <v>6</v>
      </c>
    </row>
    <row r="6" spans="1:11">
      <c r="A6" s="89" t="s">
        <v>151</v>
      </c>
      <c r="B6" s="89" t="s">
        <v>148</v>
      </c>
      <c r="C6" s="90"/>
      <c r="D6" s="90"/>
      <c r="E6" s="90"/>
      <c r="F6" s="90"/>
      <c r="G6" s="90"/>
      <c r="H6" s="90"/>
      <c r="I6" s="90"/>
      <c r="J6" s="90"/>
      <c r="K6" s="91">
        <f t="shared" si="0"/>
        <v>0</v>
      </c>
    </row>
    <row r="7" spans="1:11">
      <c r="A7" s="88" t="s">
        <v>138</v>
      </c>
      <c r="B7" s="89" t="s">
        <v>148</v>
      </c>
      <c r="C7" s="90"/>
      <c r="D7" s="90"/>
      <c r="E7" s="90"/>
      <c r="F7" s="90"/>
      <c r="G7" s="90"/>
      <c r="H7" s="90"/>
      <c r="I7" s="90"/>
      <c r="J7" s="90"/>
      <c r="K7" s="91">
        <f t="shared" si="0"/>
        <v>0</v>
      </c>
    </row>
    <row r="8" spans="1:11">
      <c r="A8" s="88" t="s">
        <v>152</v>
      </c>
      <c r="B8" s="89" t="s">
        <v>148</v>
      </c>
      <c r="C8" s="90"/>
      <c r="D8" s="90"/>
      <c r="E8" s="90"/>
      <c r="F8" s="90"/>
      <c r="G8" s="90"/>
      <c r="H8" s="90"/>
      <c r="I8" s="90"/>
      <c r="J8" s="90"/>
      <c r="K8" s="91">
        <f t="shared" si="0"/>
        <v>0</v>
      </c>
    </row>
    <row r="9" spans="1:11">
      <c r="A9" s="88" t="s">
        <v>153</v>
      </c>
      <c r="B9" s="89" t="s">
        <v>148</v>
      </c>
      <c r="C9" s="90"/>
      <c r="D9" s="90">
        <v>2</v>
      </c>
      <c r="E9" s="90"/>
      <c r="F9" s="90">
        <v>24</v>
      </c>
      <c r="G9" s="90">
        <v>2</v>
      </c>
      <c r="H9" s="90">
        <v>9</v>
      </c>
      <c r="I9" s="90">
        <v>1</v>
      </c>
      <c r="J9" s="90"/>
      <c r="K9" s="91">
        <f t="shared" si="0"/>
        <v>38</v>
      </c>
    </row>
    <row r="10" spans="1:11">
      <c r="A10" s="88" t="s">
        <v>154</v>
      </c>
      <c r="B10" s="89" t="s">
        <v>148</v>
      </c>
      <c r="C10" s="90"/>
      <c r="D10" s="90"/>
      <c r="E10" s="90"/>
      <c r="F10" s="90"/>
      <c r="G10" s="90"/>
      <c r="H10" s="90"/>
      <c r="I10" s="90"/>
      <c r="J10" s="90"/>
      <c r="K10" s="91">
        <f t="shared" si="0"/>
        <v>0</v>
      </c>
    </row>
    <row r="11" spans="1:11">
      <c r="A11" s="88" t="s">
        <v>155</v>
      </c>
      <c r="B11" s="89" t="s">
        <v>148</v>
      </c>
      <c r="C11" s="90"/>
      <c r="D11" s="90"/>
      <c r="E11" s="90"/>
      <c r="F11" s="90"/>
      <c r="G11" s="90"/>
      <c r="H11" s="90"/>
      <c r="I11" s="90"/>
      <c r="J11" s="90"/>
      <c r="K11" s="91">
        <f t="shared" si="0"/>
        <v>0</v>
      </c>
    </row>
    <row r="12" spans="1:11">
      <c r="A12" s="88" t="s">
        <v>174</v>
      </c>
      <c r="B12" s="89" t="s">
        <v>148</v>
      </c>
      <c r="C12" s="90"/>
      <c r="D12" s="90"/>
      <c r="E12" s="90"/>
      <c r="F12" s="90"/>
      <c r="G12" s="90"/>
      <c r="H12" s="90"/>
      <c r="I12" s="90"/>
      <c r="J12" s="90"/>
      <c r="K12" s="91">
        <f t="shared" si="0"/>
        <v>0</v>
      </c>
    </row>
    <row r="13" spans="1:11">
      <c r="A13" s="88" t="s">
        <v>175</v>
      </c>
      <c r="B13" s="89" t="s">
        <v>148</v>
      </c>
      <c r="C13" s="90"/>
      <c r="D13" s="90"/>
      <c r="E13" s="90"/>
      <c r="F13" s="90"/>
      <c r="G13" s="90"/>
      <c r="H13" s="90"/>
      <c r="I13" s="90"/>
      <c r="J13" s="90"/>
      <c r="K13" s="91">
        <f t="shared" si="0"/>
        <v>0</v>
      </c>
    </row>
    <row r="14" spans="1:11">
      <c r="A14" s="88" t="s">
        <v>176</v>
      </c>
      <c r="B14" s="89" t="s">
        <v>148</v>
      </c>
      <c r="C14" s="90"/>
      <c r="D14" s="90"/>
      <c r="E14" s="90"/>
      <c r="F14" s="90"/>
      <c r="G14" s="90"/>
      <c r="H14" s="90"/>
      <c r="I14" s="90"/>
      <c r="J14" s="90"/>
      <c r="K14" s="91">
        <f t="shared" si="0"/>
        <v>0</v>
      </c>
    </row>
    <row r="15" spans="1:11">
      <c r="A15" s="88" t="s">
        <v>177</v>
      </c>
      <c r="B15" s="89" t="s">
        <v>148</v>
      </c>
      <c r="C15" s="89"/>
      <c r="D15" s="90">
        <f>45</f>
        <v>45</v>
      </c>
      <c r="E15" s="89"/>
      <c r="F15" s="90">
        <f>32+82</f>
        <v>114</v>
      </c>
      <c r="G15" s="89"/>
      <c r="H15" s="90">
        <f t="shared" ref="H15:I15" si="1">42</f>
        <v>42</v>
      </c>
      <c r="I15" s="90">
        <f t="shared" si="1"/>
        <v>42</v>
      </c>
      <c r="J15" s="90"/>
      <c r="K15" s="91">
        <f t="shared" si="0"/>
        <v>243</v>
      </c>
    </row>
    <row r="16" spans="1:11">
      <c r="A16" s="88" t="s">
        <v>179</v>
      </c>
      <c r="B16" s="89" t="s">
        <v>148</v>
      </c>
      <c r="C16" s="90"/>
      <c r="D16" s="90"/>
      <c r="E16" s="90"/>
      <c r="F16" s="90"/>
      <c r="G16" s="90">
        <v>98</v>
      </c>
      <c r="H16" s="90">
        <v>3</v>
      </c>
      <c r="I16" s="90">
        <v>50</v>
      </c>
      <c r="J16" s="90"/>
      <c r="K16" s="91">
        <f t="shared" si="0"/>
        <v>151</v>
      </c>
    </row>
    <row r="17" spans="1:11">
      <c r="A17" s="88" t="s">
        <v>8</v>
      </c>
      <c r="B17" s="89" t="s">
        <v>148</v>
      </c>
      <c r="C17" s="90"/>
      <c r="D17" s="90">
        <v>0.5</v>
      </c>
      <c r="E17" s="90"/>
      <c r="F17" s="90">
        <f>2</f>
        <v>2</v>
      </c>
      <c r="G17" s="90">
        <f>24+22</f>
        <v>46</v>
      </c>
      <c r="H17" s="90">
        <f>12+51</f>
        <v>63</v>
      </c>
      <c r="I17" s="90">
        <v>8</v>
      </c>
      <c r="J17" s="90">
        <v>84</v>
      </c>
      <c r="K17" s="91">
        <f t="shared" si="0"/>
        <v>203.5</v>
      </c>
    </row>
    <row r="19" spans="1:11">
      <c r="A19" s="87" t="s">
        <v>20</v>
      </c>
      <c r="B19" s="87" t="s">
        <v>140</v>
      </c>
      <c r="C19" s="87" t="s">
        <v>156</v>
      </c>
      <c r="D19" s="87" t="s">
        <v>157</v>
      </c>
      <c r="E19" s="87" t="s">
        <v>158</v>
      </c>
      <c r="F19" s="87" t="s">
        <v>159</v>
      </c>
      <c r="G19" s="87" t="s">
        <v>160</v>
      </c>
      <c r="H19" s="87" t="s">
        <v>161</v>
      </c>
      <c r="I19" s="87" t="s">
        <v>162</v>
      </c>
      <c r="J19" s="87" t="s">
        <v>19</v>
      </c>
    </row>
    <row r="20" spans="1:11">
      <c r="A20" s="92" t="s">
        <v>43</v>
      </c>
      <c r="B20" s="93" t="s">
        <v>164</v>
      </c>
      <c r="C20" s="94"/>
      <c r="D20" s="94"/>
      <c r="E20" s="94"/>
      <c r="F20" s="94"/>
      <c r="G20" s="94"/>
      <c r="H20" s="94"/>
      <c r="I20" s="94">
        <f>72+100</f>
        <v>172</v>
      </c>
      <c r="J20" s="91">
        <f t="shared" ref="J20:J24" si="2">SUM(C20:I20)</f>
        <v>172</v>
      </c>
    </row>
    <row r="21" spans="1:11" ht="15.75" customHeight="1">
      <c r="A21" s="89" t="s">
        <v>165</v>
      </c>
      <c r="B21" s="89" t="s">
        <v>164</v>
      </c>
      <c r="C21" s="90"/>
      <c r="D21" s="90"/>
      <c r="E21" s="90"/>
      <c r="F21" s="90"/>
      <c r="G21" s="90"/>
      <c r="H21" s="90"/>
      <c r="I21" s="90"/>
      <c r="J21" s="91">
        <f t="shared" si="2"/>
        <v>0</v>
      </c>
    </row>
    <row r="22" spans="1:11" ht="15.75" customHeight="1">
      <c r="A22" s="92" t="s">
        <v>166</v>
      </c>
      <c r="B22" s="89" t="s">
        <v>164</v>
      </c>
      <c r="C22" s="90">
        <f>66+52</f>
        <v>118</v>
      </c>
      <c r="D22" s="90">
        <f>24+8</f>
        <v>32</v>
      </c>
      <c r="E22" s="90">
        <f>24+20</f>
        <v>44</v>
      </c>
      <c r="F22" s="90">
        <f>67+92</f>
        <v>159</v>
      </c>
      <c r="G22" s="90">
        <v>40</v>
      </c>
      <c r="H22" s="90">
        <f>20+98</f>
        <v>118</v>
      </c>
      <c r="I22" s="90"/>
      <c r="J22" s="91">
        <f t="shared" si="2"/>
        <v>511</v>
      </c>
    </row>
    <row r="23" spans="1:11" ht="15.75" customHeight="1">
      <c r="A23" s="92" t="s">
        <v>167</v>
      </c>
      <c r="B23" s="89" t="s">
        <v>164</v>
      </c>
      <c r="C23" s="90">
        <f>16+20</f>
        <v>36</v>
      </c>
      <c r="D23" s="90"/>
      <c r="E23" s="90"/>
      <c r="F23" s="90">
        <f>3+4</f>
        <v>7</v>
      </c>
      <c r="G23" s="90"/>
      <c r="H23" s="90">
        <f>28+4</f>
        <v>32</v>
      </c>
      <c r="I23" s="90"/>
      <c r="J23" s="91">
        <f t="shared" si="2"/>
        <v>75</v>
      </c>
    </row>
    <row r="24" spans="1:11" ht="15.75" customHeight="1">
      <c r="A24" s="88" t="s">
        <v>8</v>
      </c>
      <c r="B24" s="89" t="s">
        <v>164</v>
      </c>
      <c r="C24" s="90">
        <v>24</v>
      </c>
      <c r="D24" s="90">
        <f>48+98+2</f>
        <v>148</v>
      </c>
      <c r="E24" s="90">
        <f>48+80</f>
        <v>128</v>
      </c>
      <c r="F24" s="90"/>
      <c r="G24" s="90">
        <f>72+64</f>
        <v>136</v>
      </c>
      <c r="H24" s="90">
        <f>20</f>
        <v>20</v>
      </c>
      <c r="I24" s="90"/>
      <c r="J24" s="91">
        <f t="shared" si="2"/>
        <v>456</v>
      </c>
    </row>
    <row r="25" spans="1:11" ht="15.75" customHeight="1"/>
    <row r="26" spans="1:11" ht="15.75" customHeight="1">
      <c r="A26" s="87" t="s">
        <v>20</v>
      </c>
      <c r="B26" s="87" t="s">
        <v>140</v>
      </c>
      <c r="C26" s="87" t="s">
        <v>168</v>
      </c>
      <c r="D26" s="87" t="s">
        <v>169</v>
      </c>
      <c r="E26" s="87" t="s">
        <v>170</v>
      </c>
      <c r="F26" s="87" t="s">
        <v>171</v>
      </c>
      <c r="G26" s="87" t="s">
        <v>172</v>
      </c>
      <c r="H26" s="87" t="s">
        <v>19</v>
      </c>
    </row>
    <row r="27" spans="1:11" ht="15.75" customHeight="1">
      <c r="A27" s="89" t="s">
        <v>57</v>
      </c>
      <c r="B27" s="89" t="s">
        <v>173</v>
      </c>
      <c r="C27" s="90">
        <f>72+104</f>
        <v>176</v>
      </c>
      <c r="D27" s="90"/>
      <c r="E27" s="90"/>
      <c r="F27" s="90"/>
      <c r="G27" s="90"/>
      <c r="H27" s="91">
        <f t="shared" ref="H27:H30" si="3">SUM(C27:G27)</f>
        <v>176</v>
      </c>
    </row>
    <row r="28" spans="1:11" ht="15.75" customHeight="1">
      <c r="A28" s="88" t="s">
        <v>81</v>
      </c>
      <c r="B28" s="89" t="s">
        <v>173</v>
      </c>
      <c r="C28" s="90"/>
      <c r="D28" s="90">
        <f>70.5+101</f>
        <v>171.5</v>
      </c>
      <c r="E28" s="90">
        <f>72+72</f>
        <v>144</v>
      </c>
      <c r="F28" s="90">
        <f>16+2</f>
        <v>18</v>
      </c>
      <c r="G28" s="90"/>
      <c r="H28" s="91">
        <f t="shared" si="3"/>
        <v>333.5</v>
      </c>
    </row>
    <row r="29" spans="1:11" ht="15.75" customHeight="1">
      <c r="A29" s="88" t="s">
        <v>139</v>
      </c>
      <c r="B29" s="89" t="s">
        <v>173</v>
      </c>
      <c r="C29" s="90"/>
      <c r="D29" s="90"/>
      <c r="E29" s="90"/>
      <c r="F29" s="90">
        <f>16+97</f>
        <v>113</v>
      </c>
      <c r="G29" s="90">
        <v>5</v>
      </c>
      <c r="H29" s="91">
        <f t="shared" si="3"/>
        <v>118</v>
      </c>
    </row>
    <row r="30" spans="1:11" ht="15.75" customHeight="1">
      <c r="A30" s="89" t="s">
        <v>8</v>
      </c>
      <c r="B30" s="89" t="s">
        <v>173</v>
      </c>
      <c r="C30" s="90"/>
      <c r="D30" s="90">
        <f>1.5+3</f>
        <v>4.5</v>
      </c>
      <c r="E30" s="90">
        <v>8</v>
      </c>
      <c r="F30" s="90">
        <f>61+1</f>
        <v>62</v>
      </c>
      <c r="G30" s="90">
        <v>2</v>
      </c>
      <c r="H30" s="91">
        <f t="shared" si="3"/>
        <v>76.5</v>
      </c>
    </row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Z1000"/>
  <sheetViews>
    <sheetView workbookViewId="0"/>
  </sheetViews>
  <sheetFormatPr defaultColWidth="14.42578125" defaultRowHeight="15" customHeight="1"/>
  <cols>
    <col min="1" max="1" width="52.140625" customWidth="1"/>
    <col min="2" max="2" width="10.5703125" customWidth="1"/>
    <col min="3" max="3" width="12" customWidth="1"/>
    <col min="4" max="4" width="13.85546875" customWidth="1"/>
    <col min="5" max="5" width="13.28515625" customWidth="1"/>
    <col min="6" max="6" width="10.42578125" customWidth="1"/>
    <col min="7" max="7" width="11.140625" customWidth="1"/>
    <col min="8" max="10" width="10.5703125" customWidth="1"/>
    <col min="11" max="11" width="15" customWidth="1"/>
    <col min="12" max="13" width="9.140625" customWidth="1"/>
    <col min="14" max="14" width="10" customWidth="1"/>
    <col min="15" max="19" width="9.140625" customWidth="1"/>
    <col min="20" max="26" width="8.7109375" customWidth="1"/>
  </cols>
  <sheetData>
    <row r="1" spans="1:26" ht="18.75" customHeight="1">
      <c r="A1" s="8"/>
      <c r="B1" s="105"/>
      <c r="C1" s="106"/>
      <c r="D1" s="106"/>
      <c r="E1" s="106"/>
      <c r="F1" s="106"/>
      <c r="G1" s="10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>
      <c r="A4" s="16" t="s">
        <v>20</v>
      </c>
      <c r="B4" s="4" t="s">
        <v>21</v>
      </c>
      <c r="C4" s="17" t="s">
        <v>22</v>
      </c>
      <c r="D4" s="17" t="s">
        <v>23</v>
      </c>
      <c r="E4" s="17" t="s">
        <v>24</v>
      </c>
      <c r="F4" s="4" t="s">
        <v>25</v>
      </c>
      <c r="G4" s="17" t="s">
        <v>10</v>
      </c>
      <c r="H4" s="17" t="s">
        <v>12</v>
      </c>
      <c r="I4" s="17" t="s">
        <v>53</v>
      </c>
      <c r="J4" s="17" t="s">
        <v>19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>
      <c r="A5" s="24" t="s">
        <v>8</v>
      </c>
      <c r="B5" s="19"/>
      <c r="C5" s="19">
        <v>6</v>
      </c>
      <c r="D5" s="20"/>
      <c r="E5" s="19">
        <f>24</f>
        <v>24</v>
      </c>
      <c r="F5" s="19">
        <f>8</f>
        <v>8</v>
      </c>
      <c r="G5" s="19"/>
      <c r="H5" s="19">
        <f>16+6</f>
        <v>22</v>
      </c>
      <c r="I5" s="19">
        <v>8</v>
      </c>
      <c r="J5" s="41">
        <f t="shared" ref="J5:J16" si="0">SUM(B5:I5)</f>
        <v>68</v>
      </c>
      <c r="K5" s="8"/>
      <c r="L5" s="22"/>
      <c r="M5" s="22"/>
      <c r="N5" s="23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>
      <c r="A6" s="24" t="s">
        <v>61</v>
      </c>
      <c r="B6" s="19"/>
      <c r="C6" s="19"/>
      <c r="D6" s="20"/>
      <c r="E6" s="19"/>
      <c r="F6" s="20"/>
      <c r="G6" s="20"/>
      <c r="H6" s="20"/>
      <c r="I6" s="20"/>
      <c r="J6" s="41">
        <f t="shared" si="0"/>
        <v>0</v>
      </c>
      <c r="K6" s="8"/>
      <c r="L6" s="27"/>
      <c r="M6" s="27"/>
      <c r="N6" s="23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3.5" customHeight="1">
      <c r="A7" s="24" t="s">
        <v>113</v>
      </c>
      <c r="B7" s="19"/>
      <c r="C7" s="38">
        <f>19</f>
        <v>19</v>
      </c>
      <c r="D7" s="20">
        <f>8+75</f>
        <v>83</v>
      </c>
      <c r="E7" s="38"/>
      <c r="F7" s="20">
        <f>8+108</f>
        <v>116</v>
      </c>
      <c r="G7" s="20">
        <v>32</v>
      </c>
      <c r="H7" s="20">
        <v>46</v>
      </c>
      <c r="I7" s="20">
        <f>28+28</f>
        <v>56</v>
      </c>
      <c r="J7" s="41">
        <f t="shared" si="0"/>
        <v>352</v>
      </c>
      <c r="K7" s="11"/>
      <c r="L7" s="27"/>
      <c r="M7" s="27"/>
      <c r="N7" s="22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8" customHeight="1">
      <c r="A8" s="24" t="s">
        <v>120</v>
      </c>
      <c r="B8" s="19">
        <f>57</f>
        <v>57</v>
      </c>
      <c r="C8" s="19">
        <f>42+3</f>
        <v>45</v>
      </c>
      <c r="D8" s="20">
        <f>24.5+11</f>
        <v>35.5</v>
      </c>
      <c r="E8" s="19"/>
      <c r="F8" s="38">
        <f>40</f>
        <v>40</v>
      </c>
      <c r="G8" s="19">
        <f t="shared" ref="G8:H8" si="1">20</f>
        <v>20</v>
      </c>
      <c r="H8" s="38">
        <f t="shared" si="1"/>
        <v>20</v>
      </c>
      <c r="I8" s="38">
        <f>36</f>
        <v>36</v>
      </c>
      <c r="J8" s="41">
        <f t="shared" si="0"/>
        <v>253.5</v>
      </c>
      <c r="K8" s="8"/>
      <c r="L8" s="22"/>
      <c r="M8" s="22"/>
      <c r="N8" s="23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>
      <c r="A9" s="24" t="s">
        <v>121</v>
      </c>
      <c r="B9" s="19">
        <f>8</f>
        <v>8</v>
      </c>
      <c r="C9" s="38"/>
      <c r="D9" s="20"/>
      <c r="E9" s="20">
        <f>8</f>
        <v>8</v>
      </c>
      <c r="F9" s="28"/>
      <c r="G9" s="20"/>
      <c r="H9" s="20"/>
      <c r="I9" s="20"/>
      <c r="J9" s="41">
        <f t="shared" si="0"/>
        <v>16</v>
      </c>
      <c r="K9" s="8"/>
      <c r="L9" s="27"/>
      <c r="M9" s="27"/>
      <c r="N9" s="23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5.75" customHeight="1">
      <c r="A10" s="24" t="s">
        <v>63</v>
      </c>
      <c r="B10" s="19"/>
      <c r="C10" s="19"/>
      <c r="D10" s="19"/>
      <c r="E10" s="19"/>
      <c r="F10" s="19"/>
      <c r="G10" s="19">
        <f>16</f>
        <v>16</v>
      </c>
      <c r="H10" s="19">
        <v>32.5</v>
      </c>
      <c r="I10" s="19"/>
      <c r="J10" s="41">
        <f t="shared" si="0"/>
        <v>48.5</v>
      </c>
      <c r="K10" s="22"/>
      <c r="L10" s="22"/>
      <c r="M10" s="22"/>
      <c r="N10" s="30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>
      <c r="A11" s="24" t="s">
        <v>115</v>
      </c>
      <c r="B11" s="7"/>
      <c r="C11" s="19"/>
      <c r="D11" s="19"/>
      <c r="E11" s="19"/>
      <c r="F11" s="19"/>
      <c r="G11" s="19"/>
      <c r="H11" s="19"/>
      <c r="I11" s="54"/>
      <c r="J11" s="41">
        <f t="shared" si="0"/>
        <v>0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>
      <c r="A12" s="24" t="s">
        <v>64</v>
      </c>
      <c r="B12" s="19"/>
      <c r="C12" s="19">
        <f>3</f>
        <v>3</v>
      </c>
      <c r="D12" s="19">
        <f>25</f>
        <v>25</v>
      </c>
      <c r="E12" s="19"/>
      <c r="F12" s="19"/>
      <c r="G12" s="19"/>
      <c r="H12" s="19">
        <f>8</f>
        <v>8</v>
      </c>
      <c r="I12" s="54"/>
      <c r="J12" s="41">
        <f t="shared" si="0"/>
        <v>36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>
      <c r="A13" s="83" t="s">
        <v>114</v>
      </c>
      <c r="B13" s="19"/>
      <c r="C13" s="19"/>
      <c r="D13" s="19"/>
      <c r="E13" s="19"/>
      <c r="F13" s="19"/>
      <c r="G13" s="19"/>
      <c r="H13" s="19"/>
      <c r="I13" s="54"/>
      <c r="J13" s="41">
        <f t="shared" si="0"/>
        <v>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>
      <c r="A14" s="24" t="s">
        <v>54</v>
      </c>
      <c r="B14" s="19">
        <f>8+65</f>
        <v>73</v>
      </c>
      <c r="C14" s="19">
        <v>52</v>
      </c>
      <c r="D14" s="19">
        <v>11</v>
      </c>
      <c r="E14" s="19">
        <f>16+124</f>
        <v>140</v>
      </c>
      <c r="F14" s="19"/>
      <c r="G14" s="19">
        <f>28+72</f>
        <v>100</v>
      </c>
      <c r="H14" s="19">
        <f>20+28.5</f>
        <v>48.5</v>
      </c>
      <c r="I14" s="54">
        <v>95.5</v>
      </c>
      <c r="J14" s="41">
        <f t="shared" si="0"/>
        <v>520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>
      <c r="A15" s="86" t="s">
        <v>123</v>
      </c>
      <c r="B15" s="19"/>
      <c r="C15" s="19">
        <v>69</v>
      </c>
      <c r="D15" s="19"/>
      <c r="E15" s="19"/>
      <c r="F15" s="19"/>
      <c r="G15" s="19"/>
      <c r="H15" s="19"/>
      <c r="I15" s="54"/>
      <c r="J15" s="41">
        <f t="shared" si="0"/>
        <v>69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>
      <c r="A16" s="83" t="s">
        <v>124</v>
      </c>
      <c r="B16" s="19">
        <v>32.5</v>
      </c>
      <c r="C16" s="19"/>
      <c r="D16" s="19">
        <f>24.5</f>
        <v>24.5</v>
      </c>
      <c r="E16" s="19"/>
      <c r="F16" s="19"/>
      <c r="G16" s="19"/>
      <c r="H16" s="19">
        <v>1</v>
      </c>
      <c r="I16" s="54"/>
      <c r="J16" s="41">
        <f t="shared" si="0"/>
        <v>58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>
      <c r="A17" s="46"/>
      <c r="B17" s="22"/>
      <c r="C17" s="22"/>
      <c r="D17" s="22"/>
      <c r="E17" s="22"/>
      <c r="F17" s="22"/>
      <c r="G17" s="22"/>
      <c r="H17" s="22"/>
      <c r="I17" s="30"/>
      <c r="J17" s="84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>
      <c r="A18" s="8"/>
      <c r="B18" s="8"/>
      <c r="C18" s="8"/>
      <c r="D18" s="8"/>
      <c r="E18" s="8"/>
      <c r="F18" s="8"/>
      <c r="G18" s="8"/>
      <c r="H18" s="8"/>
      <c r="I18" s="30"/>
      <c r="J18" s="30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>
      <c r="A19" s="16" t="s">
        <v>20</v>
      </c>
      <c r="B19" s="52" t="s">
        <v>66</v>
      </c>
      <c r="C19" s="16" t="s">
        <v>37</v>
      </c>
      <c r="D19" s="16" t="s">
        <v>38</v>
      </c>
      <c r="E19" s="16" t="s">
        <v>34</v>
      </c>
      <c r="F19" s="52" t="s">
        <v>58</v>
      </c>
      <c r="G19" s="16" t="s">
        <v>39</v>
      </c>
      <c r="H19" s="16" t="s">
        <v>36</v>
      </c>
      <c r="I19" s="16" t="s">
        <v>18</v>
      </c>
      <c r="J19" s="7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>
      <c r="A20" s="18" t="s">
        <v>8</v>
      </c>
      <c r="B20" s="35">
        <f>64</f>
        <v>64</v>
      </c>
      <c r="C20" s="35">
        <f>64+112</f>
        <v>176</v>
      </c>
      <c r="D20" s="7">
        <f>56+80</f>
        <v>136</v>
      </c>
      <c r="E20" s="35">
        <f>24+104</f>
        <v>128</v>
      </c>
      <c r="F20" s="35"/>
      <c r="G20" s="35"/>
      <c r="H20" s="35">
        <f>64+104</f>
        <v>168</v>
      </c>
      <c r="I20" s="7"/>
      <c r="J20" s="54">
        <f t="shared" ref="J20:J24" si="2">SUM(B20:I20)</f>
        <v>672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3.5" customHeight="1">
      <c r="A21" s="24" t="s">
        <v>81</v>
      </c>
      <c r="B21" s="35"/>
      <c r="C21" s="7"/>
      <c r="D21" s="35"/>
      <c r="E21" s="35">
        <f>40</f>
        <v>40</v>
      </c>
      <c r="F21" s="35"/>
      <c r="G21" s="35"/>
      <c r="H21" s="81"/>
      <c r="I21" s="7"/>
      <c r="J21" s="54">
        <f t="shared" si="2"/>
        <v>40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>
      <c r="A22" s="24" t="s">
        <v>43</v>
      </c>
      <c r="B22" s="35">
        <v>104</v>
      </c>
      <c r="C22" s="35"/>
      <c r="D22" s="35"/>
      <c r="E22" s="35"/>
      <c r="F22" s="35">
        <f>64+96</f>
        <v>160</v>
      </c>
      <c r="G22" s="35">
        <f>64+104</f>
        <v>168</v>
      </c>
      <c r="H22" s="35"/>
      <c r="I22" s="7"/>
      <c r="J22" s="54">
        <f t="shared" si="2"/>
        <v>432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>
      <c r="A23" s="24" t="s">
        <v>78</v>
      </c>
      <c r="B23" s="7"/>
      <c r="C23" s="7"/>
      <c r="D23" s="7">
        <f>8</f>
        <v>8</v>
      </c>
      <c r="E23" s="7"/>
      <c r="F23" s="7"/>
      <c r="G23" s="7"/>
      <c r="H23" s="7"/>
      <c r="I23" s="7"/>
      <c r="J23" s="54">
        <f t="shared" si="2"/>
        <v>8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>
      <c r="A24" s="24" t="s">
        <v>116</v>
      </c>
      <c r="B24" s="35">
        <v>8</v>
      </c>
      <c r="C24" s="35"/>
      <c r="D24" s="35">
        <v>16</v>
      </c>
      <c r="E24" s="35">
        <v>8</v>
      </c>
      <c r="F24" s="35"/>
      <c r="G24" s="35">
        <v>8</v>
      </c>
      <c r="H24" s="35">
        <v>6</v>
      </c>
      <c r="I24" s="35"/>
      <c r="J24" s="54">
        <f t="shared" si="2"/>
        <v>46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>
      <c r="A25" s="46"/>
      <c r="B25" s="47"/>
      <c r="C25" s="47"/>
      <c r="D25" s="47"/>
      <c r="E25" s="47"/>
      <c r="F25" s="47"/>
      <c r="G25" s="47"/>
      <c r="H25" s="47"/>
      <c r="I25" s="47"/>
      <c r="J25" s="47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>
      <c r="A26" s="46"/>
      <c r="B26" s="47"/>
      <c r="C26" s="47"/>
      <c r="D26" s="47"/>
      <c r="E26" s="47"/>
      <c r="F26" s="47"/>
      <c r="G26" s="47"/>
      <c r="H26" s="47"/>
      <c r="I26" s="47"/>
      <c r="J26" s="47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>
      <c r="A27" s="46"/>
      <c r="B27" s="47"/>
      <c r="C27" s="47"/>
      <c r="D27" s="47"/>
      <c r="E27" s="47"/>
      <c r="F27" s="47"/>
      <c r="G27" s="47"/>
      <c r="H27" s="47"/>
      <c r="I27" s="47"/>
      <c r="J27" s="47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>
      <c r="A28" s="16" t="s">
        <v>20</v>
      </c>
      <c r="B28" s="52" t="s">
        <v>17</v>
      </c>
      <c r="C28" s="16" t="s">
        <v>118</v>
      </c>
      <c r="D28" s="35" t="s">
        <v>25</v>
      </c>
      <c r="E28" s="35" t="s">
        <v>39</v>
      </c>
      <c r="F28" s="35" t="s">
        <v>119</v>
      </c>
      <c r="G28" s="47"/>
      <c r="H28" s="47"/>
      <c r="I28" s="47"/>
      <c r="J28" s="47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>
      <c r="A29" s="53" t="s">
        <v>8</v>
      </c>
      <c r="B29" s="7"/>
      <c r="C29" s="7">
        <f>1+2</f>
        <v>3</v>
      </c>
      <c r="D29" s="7"/>
      <c r="E29" s="7">
        <f>4.25+7</f>
        <v>11.25</v>
      </c>
      <c r="F29" s="7">
        <f t="shared" ref="F29:F32" si="3">SUM(B29:E29)</f>
        <v>14.25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>
      <c r="A30" s="24" t="s">
        <v>81</v>
      </c>
      <c r="B30" s="7">
        <f>64+121</f>
        <v>185</v>
      </c>
      <c r="C30" s="7">
        <v>25</v>
      </c>
      <c r="D30" s="7">
        <f>64+113</f>
        <v>177</v>
      </c>
      <c r="E30" s="7">
        <f>1</f>
        <v>1</v>
      </c>
      <c r="F30" s="7">
        <f t="shared" si="3"/>
        <v>388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>
      <c r="A31" s="24" t="s">
        <v>57</v>
      </c>
      <c r="B31" s="7"/>
      <c r="C31" s="7">
        <f>72+45.5</f>
        <v>117.5</v>
      </c>
      <c r="D31" s="7"/>
      <c r="E31" s="7"/>
      <c r="F31" s="7">
        <f t="shared" si="3"/>
        <v>117.5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>
      <c r="A32" s="83" t="s">
        <v>136</v>
      </c>
      <c r="B32" s="7"/>
      <c r="C32" s="7">
        <v>39</v>
      </c>
      <c r="D32" s="7"/>
      <c r="E32" s="7"/>
      <c r="F32" s="7">
        <f t="shared" si="3"/>
        <v>39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>
      <c r="A33" s="46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>
      <c r="A37" s="46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">
    <mergeCell ref="B1:G1"/>
  </mergeCells>
  <pageMargins left="0.7" right="0.7" top="0.75" bottom="0.75" header="0" footer="0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Z1000"/>
  <sheetViews>
    <sheetView workbookViewId="0"/>
  </sheetViews>
  <sheetFormatPr defaultColWidth="14.42578125" defaultRowHeight="15" customHeight="1"/>
  <cols>
    <col min="1" max="1" width="52.140625" customWidth="1"/>
    <col min="2" max="2" width="10.5703125" customWidth="1"/>
    <col min="3" max="3" width="12" customWidth="1"/>
    <col min="4" max="4" width="13.85546875" customWidth="1"/>
    <col min="5" max="5" width="13.28515625" customWidth="1"/>
    <col min="6" max="6" width="10.42578125" customWidth="1"/>
    <col min="7" max="7" width="11.140625" customWidth="1"/>
    <col min="8" max="10" width="10.5703125" customWidth="1"/>
    <col min="11" max="11" width="15" customWidth="1"/>
    <col min="12" max="13" width="9.140625" customWidth="1"/>
    <col min="14" max="14" width="10" customWidth="1"/>
    <col min="15" max="19" width="9.140625" customWidth="1"/>
    <col min="20" max="26" width="8.7109375" customWidth="1"/>
  </cols>
  <sheetData>
    <row r="1" spans="1:26" ht="18.75" customHeight="1">
      <c r="A1" s="8"/>
      <c r="B1" s="105"/>
      <c r="C1" s="106"/>
      <c r="D1" s="106"/>
      <c r="E1" s="106"/>
      <c r="F1" s="106"/>
      <c r="G1" s="10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>
      <c r="A4" s="16" t="s">
        <v>20</v>
      </c>
      <c r="B4" s="17" t="s">
        <v>21</v>
      </c>
      <c r="C4" s="17" t="s">
        <v>22</v>
      </c>
      <c r="D4" s="17" t="s">
        <v>23</v>
      </c>
      <c r="E4" s="17" t="s">
        <v>24</v>
      </c>
      <c r="F4" s="17" t="s">
        <v>25</v>
      </c>
      <c r="G4" s="17" t="s">
        <v>10</v>
      </c>
      <c r="H4" s="17" t="s">
        <v>12</v>
      </c>
      <c r="I4" s="17" t="s">
        <v>53</v>
      </c>
      <c r="J4" s="17" t="s">
        <v>19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>
      <c r="A5" s="24" t="s">
        <v>8</v>
      </c>
      <c r="B5" s="19"/>
      <c r="C5" s="19">
        <f>20+7</f>
        <v>27</v>
      </c>
      <c r="D5" s="20">
        <f>24</f>
        <v>24</v>
      </c>
      <c r="E5" s="19"/>
      <c r="F5" s="19"/>
      <c r="G5" s="19">
        <f>4</f>
        <v>4</v>
      </c>
      <c r="H5" s="19">
        <f>13+9</f>
        <v>22</v>
      </c>
      <c r="I5" s="19">
        <f>28+8</f>
        <v>36</v>
      </c>
      <c r="J5" s="41">
        <f t="shared" ref="J5:J23" si="0">SUM(B5:I5)</f>
        <v>113</v>
      </c>
      <c r="K5" s="8"/>
      <c r="L5" s="22"/>
      <c r="M5" s="22"/>
      <c r="N5" s="23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>
      <c r="A6" s="24" t="s">
        <v>122</v>
      </c>
      <c r="B6" s="19"/>
      <c r="C6" s="19">
        <f>16+13</f>
        <v>29</v>
      </c>
      <c r="D6" s="20"/>
      <c r="E6" s="19"/>
      <c r="F6" s="20"/>
      <c r="G6" s="20"/>
      <c r="H6" s="20"/>
      <c r="I6" s="20"/>
      <c r="J6" s="41">
        <f t="shared" si="0"/>
        <v>29</v>
      </c>
      <c r="K6" s="8"/>
      <c r="L6" s="27"/>
      <c r="M6" s="27"/>
      <c r="N6" s="23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>
      <c r="A7" s="24" t="s">
        <v>61</v>
      </c>
      <c r="B7" s="19"/>
      <c r="C7" s="19"/>
      <c r="D7" s="20"/>
      <c r="E7" s="19"/>
      <c r="F7" s="20"/>
      <c r="G7" s="20"/>
      <c r="H7" s="20"/>
      <c r="I7" s="20"/>
      <c r="J7" s="41">
        <f t="shared" si="0"/>
        <v>0</v>
      </c>
      <c r="K7" s="8"/>
      <c r="L7" s="27"/>
      <c r="M7" s="27"/>
      <c r="N7" s="23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>
      <c r="A8" s="24" t="s">
        <v>73</v>
      </c>
      <c r="B8" s="19"/>
      <c r="C8" s="19"/>
      <c r="D8" s="20"/>
      <c r="E8" s="19"/>
      <c r="F8" s="20"/>
      <c r="G8" s="20"/>
      <c r="H8" s="20">
        <f>4.5</f>
        <v>4.5</v>
      </c>
      <c r="I8" s="20"/>
      <c r="J8" s="41">
        <f t="shared" si="0"/>
        <v>4.5</v>
      </c>
      <c r="K8" s="8"/>
      <c r="L8" s="27"/>
      <c r="M8" s="27"/>
      <c r="N8" s="23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>
      <c r="A9" s="24" t="s">
        <v>74</v>
      </c>
      <c r="B9" s="19"/>
      <c r="C9" s="19"/>
      <c r="D9" s="20"/>
      <c r="E9" s="19"/>
      <c r="F9" s="20">
        <v>49.5</v>
      </c>
      <c r="G9" s="20"/>
      <c r="H9" s="20"/>
      <c r="I9" s="20"/>
      <c r="J9" s="41">
        <f t="shared" si="0"/>
        <v>49.5</v>
      </c>
      <c r="K9" s="8"/>
      <c r="L9" s="27"/>
      <c r="M9" s="27"/>
      <c r="N9" s="23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>
      <c r="A10" s="24" t="s">
        <v>113</v>
      </c>
      <c r="B10" s="19"/>
      <c r="C10" s="19">
        <f>8</f>
        <v>8</v>
      </c>
      <c r="D10" s="20"/>
      <c r="E10" s="19"/>
      <c r="F10" s="20">
        <f>49.5+24.75</f>
        <v>74.25</v>
      </c>
      <c r="G10" s="20">
        <f>42.25</f>
        <v>42.25</v>
      </c>
      <c r="H10" s="20">
        <v>17.5</v>
      </c>
      <c r="I10" s="20">
        <f>8</f>
        <v>8</v>
      </c>
      <c r="J10" s="41">
        <f t="shared" si="0"/>
        <v>150</v>
      </c>
      <c r="K10" s="8"/>
      <c r="L10" s="27"/>
      <c r="M10" s="27"/>
      <c r="N10" s="23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>
      <c r="A11" s="24" t="s">
        <v>114</v>
      </c>
      <c r="B11" s="19"/>
      <c r="C11" s="19"/>
      <c r="D11" s="20"/>
      <c r="E11" s="19"/>
      <c r="F11" s="20"/>
      <c r="G11" s="20"/>
      <c r="H11" s="20">
        <f>8+35</f>
        <v>43</v>
      </c>
      <c r="I11" s="20"/>
      <c r="J11" s="41">
        <f t="shared" si="0"/>
        <v>43</v>
      </c>
      <c r="K11" s="8"/>
      <c r="L11" s="27"/>
      <c r="M11" s="27"/>
      <c r="N11" s="23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>
      <c r="A12" s="24" t="s">
        <v>120</v>
      </c>
      <c r="B12" s="19"/>
      <c r="C12" s="19"/>
      <c r="D12" s="20"/>
      <c r="E12" s="19"/>
      <c r="F12" s="20"/>
      <c r="G12" s="20"/>
      <c r="H12" s="20"/>
      <c r="I12" s="20"/>
      <c r="J12" s="41">
        <f t="shared" si="0"/>
        <v>0</v>
      </c>
      <c r="K12" s="8"/>
      <c r="L12" s="27"/>
      <c r="M12" s="27"/>
      <c r="N12" s="23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>
      <c r="A13" s="24" t="s">
        <v>121</v>
      </c>
      <c r="B13" s="19"/>
      <c r="C13" s="19"/>
      <c r="D13" s="20"/>
      <c r="E13" s="19"/>
      <c r="F13" s="20"/>
      <c r="G13" s="20"/>
      <c r="H13" s="20"/>
      <c r="I13" s="20"/>
      <c r="J13" s="41">
        <f t="shared" si="0"/>
        <v>0</v>
      </c>
      <c r="K13" s="8"/>
      <c r="L13" s="27"/>
      <c r="M13" s="27"/>
      <c r="N13" s="23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>
      <c r="A14" s="24" t="s">
        <v>63</v>
      </c>
      <c r="B14" s="19"/>
      <c r="C14" s="19"/>
      <c r="D14" s="20">
        <f>15.5</f>
        <v>15.5</v>
      </c>
      <c r="E14" s="19"/>
      <c r="F14" s="20"/>
      <c r="G14" s="20"/>
      <c r="H14" s="20">
        <f>1+10</f>
        <v>11</v>
      </c>
      <c r="I14" s="20"/>
      <c r="J14" s="41">
        <f t="shared" si="0"/>
        <v>26.5</v>
      </c>
      <c r="K14" s="8"/>
      <c r="L14" s="27"/>
      <c r="M14" s="27"/>
      <c r="N14" s="23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>
      <c r="A15" s="24" t="s">
        <v>115</v>
      </c>
      <c r="B15" s="19"/>
      <c r="C15" s="19"/>
      <c r="D15" s="20"/>
      <c r="E15" s="19"/>
      <c r="F15" s="20"/>
      <c r="G15" s="20"/>
      <c r="H15" s="20"/>
      <c r="I15" s="20"/>
      <c r="J15" s="41">
        <f t="shared" si="0"/>
        <v>0</v>
      </c>
      <c r="K15" s="8"/>
      <c r="L15" s="27"/>
      <c r="M15" s="27"/>
      <c r="N15" s="23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>
      <c r="A16" s="24" t="s">
        <v>64</v>
      </c>
      <c r="B16" s="19"/>
      <c r="C16" s="19"/>
      <c r="D16" s="20"/>
      <c r="E16" s="19"/>
      <c r="F16" s="20"/>
      <c r="G16" s="20"/>
      <c r="H16" s="20"/>
      <c r="I16" s="20"/>
      <c r="J16" s="41">
        <f t="shared" si="0"/>
        <v>0</v>
      </c>
      <c r="K16" s="8"/>
      <c r="L16" s="27"/>
      <c r="M16" s="27"/>
      <c r="N16" s="23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>
      <c r="A17" s="24" t="s">
        <v>114</v>
      </c>
      <c r="B17" s="19"/>
      <c r="C17" s="19">
        <v>30</v>
      </c>
      <c r="D17" s="20"/>
      <c r="E17" s="19"/>
      <c r="F17" s="20"/>
      <c r="G17" s="20"/>
      <c r="H17" s="20"/>
      <c r="I17" s="20"/>
      <c r="J17" s="41">
        <f t="shared" si="0"/>
        <v>30</v>
      </c>
      <c r="K17" s="8"/>
      <c r="L17" s="27"/>
      <c r="M17" s="27"/>
      <c r="N17" s="23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>
      <c r="A18" s="24" t="s">
        <v>54</v>
      </c>
      <c r="B18" s="19">
        <v>16.5</v>
      </c>
      <c r="C18" s="19">
        <f>29.5+17</f>
        <v>46.5</v>
      </c>
      <c r="D18" s="20"/>
      <c r="E18" s="19">
        <f>29.5+16.5</f>
        <v>46</v>
      </c>
      <c r="F18" s="20"/>
      <c r="G18" s="20">
        <v>6</v>
      </c>
      <c r="H18" s="20">
        <f>16.5</f>
        <v>16.5</v>
      </c>
      <c r="I18" s="20">
        <f>38+21.5</f>
        <v>59.5</v>
      </c>
      <c r="J18" s="41">
        <f t="shared" si="0"/>
        <v>191</v>
      </c>
      <c r="K18" s="8"/>
      <c r="L18" s="27"/>
      <c r="M18" s="27"/>
      <c r="N18" s="23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>
      <c r="A19" s="24" t="s">
        <v>123</v>
      </c>
      <c r="B19" s="19"/>
      <c r="C19" s="19"/>
      <c r="D19" s="20"/>
      <c r="E19" s="19"/>
      <c r="F19" s="20"/>
      <c r="G19" s="20"/>
      <c r="H19" s="20"/>
      <c r="I19" s="20"/>
      <c r="J19" s="41">
        <f t="shared" si="0"/>
        <v>0</v>
      </c>
      <c r="K19" s="8"/>
      <c r="L19" s="27"/>
      <c r="M19" s="27"/>
      <c r="N19" s="23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>
      <c r="A20" s="24" t="s">
        <v>124</v>
      </c>
      <c r="B20" s="19">
        <f>64+33</f>
        <v>97</v>
      </c>
      <c r="C20" s="19"/>
      <c r="D20" s="20">
        <f>27+41</f>
        <v>68</v>
      </c>
      <c r="E20" s="19">
        <f>31+8.5</f>
        <v>39.5</v>
      </c>
      <c r="F20" s="20"/>
      <c r="G20" s="20"/>
      <c r="H20" s="20">
        <f>12</f>
        <v>12</v>
      </c>
      <c r="I20" s="20">
        <v>23</v>
      </c>
      <c r="J20" s="41">
        <f t="shared" si="0"/>
        <v>239.5</v>
      </c>
      <c r="K20" s="8"/>
      <c r="L20" s="27"/>
      <c r="M20" s="27"/>
      <c r="N20" s="23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>
      <c r="A21" s="24" t="s">
        <v>125</v>
      </c>
      <c r="B21" s="19">
        <v>9</v>
      </c>
      <c r="C21" s="19"/>
      <c r="D21" s="20"/>
      <c r="E21" s="19"/>
      <c r="F21" s="20"/>
      <c r="G21" s="20">
        <f>15+20</f>
        <v>35</v>
      </c>
      <c r="H21" s="20">
        <f>1+10</f>
        <v>11</v>
      </c>
      <c r="I21" s="20"/>
      <c r="J21" s="41">
        <f t="shared" si="0"/>
        <v>55</v>
      </c>
      <c r="K21" s="8"/>
      <c r="L21" s="27"/>
      <c r="M21" s="27"/>
      <c r="N21" s="23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>
      <c r="A22" s="24" t="s">
        <v>126</v>
      </c>
      <c r="B22" s="19"/>
      <c r="C22" s="19"/>
      <c r="D22" s="20"/>
      <c r="E22" s="19">
        <f>12+58</f>
        <v>70</v>
      </c>
      <c r="F22" s="20"/>
      <c r="G22" s="20"/>
      <c r="H22" s="20"/>
      <c r="I22" s="20"/>
      <c r="J22" s="41">
        <f t="shared" si="0"/>
        <v>70</v>
      </c>
      <c r="K22" s="8"/>
      <c r="L22" s="27"/>
      <c r="M22" s="27"/>
      <c r="N22" s="23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>
      <c r="A23" s="24" t="s">
        <v>127</v>
      </c>
      <c r="B23" s="19">
        <v>50.5</v>
      </c>
      <c r="C23" s="19">
        <v>37</v>
      </c>
      <c r="D23" s="20">
        <v>76.25</v>
      </c>
      <c r="E23" s="19">
        <v>21</v>
      </c>
      <c r="F23" s="20"/>
      <c r="G23" s="20">
        <v>64</v>
      </c>
      <c r="H23" s="20">
        <f>7+11</f>
        <v>18</v>
      </c>
      <c r="I23" s="20">
        <v>57</v>
      </c>
      <c r="J23" s="41">
        <f t="shared" si="0"/>
        <v>323.75</v>
      </c>
      <c r="K23" s="8"/>
      <c r="L23" s="27"/>
      <c r="M23" s="27"/>
      <c r="N23" s="23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>
      <c r="A24" s="8"/>
      <c r="B24" s="8"/>
      <c r="C24" s="8"/>
      <c r="D24" s="8"/>
      <c r="E24" s="8"/>
      <c r="F24" s="8"/>
      <c r="G24" s="8"/>
      <c r="H24" s="8"/>
      <c r="I24" s="30"/>
      <c r="J24" s="30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>
      <c r="A25" s="16" t="s">
        <v>20</v>
      </c>
      <c r="B25" s="16" t="s">
        <v>66</v>
      </c>
      <c r="C25" s="16" t="s">
        <v>37</v>
      </c>
      <c r="D25" s="16" t="s">
        <v>38</v>
      </c>
      <c r="E25" s="16" t="s">
        <v>34</v>
      </c>
      <c r="F25" s="16" t="s">
        <v>58</v>
      </c>
      <c r="G25" s="16" t="s">
        <v>39</v>
      </c>
      <c r="H25" s="16" t="s">
        <v>36</v>
      </c>
      <c r="I25" s="16" t="s">
        <v>131</v>
      </c>
      <c r="J25" s="7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>
      <c r="A26" s="18" t="s">
        <v>8</v>
      </c>
      <c r="B26" s="35"/>
      <c r="C26" s="35">
        <f>40+48</f>
        <v>88</v>
      </c>
      <c r="D26" s="7">
        <f>24+55</f>
        <v>79</v>
      </c>
      <c r="E26" s="35">
        <v>8</v>
      </c>
      <c r="F26" s="35"/>
      <c r="G26" s="35"/>
      <c r="H26" s="35"/>
      <c r="I26" s="7">
        <f>48+72</f>
        <v>120</v>
      </c>
      <c r="J26" s="54">
        <f t="shared" ref="J26:J31" si="1">SUM(B26:I26)</f>
        <v>295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3.5" customHeight="1">
      <c r="A27" s="24" t="s">
        <v>81</v>
      </c>
      <c r="B27" s="35"/>
      <c r="C27" s="7"/>
      <c r="D27" s="35"/>
      <c r="E27" s="35"/>
      <c r="F27" s="35"/>
      <c r="G27" s="35"/>
      <c r="H27" s="81">
        <v>12</v>
      </c>
      <c r="I27" s="7"/>
      <c r="J27" s="54">
        <f t="shared" si="1"/>
        <v>12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>
      <c r="A28" s="24" t="s">
        <v>43</v>
      </c>
      <c r="B28" s="35">
        <f>22.75+40</f>
        <v>62.75</v>
      </c>
      <c r="C28" s="35"/>
      <c r="D28" s="35"/>
      <c r="E28" s="35"/>
      <c r="F28" s="35">
        <f>24+32</f>
        <v>56</v>
      </c>
      <c r="G28" s="35">
        <f>24+104</f>
        <v>128</v>
      </c>
      <c r="H28" s="35">
        <v>84</v>
      </c>
      <c r="I28" s="7"/>
      <c r="J28" s="54">
        <f t="shared" si="1"/>
        <v>330.75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>
      <c r="A29" s="24" t="s">
        <v>78</v>
      </c>
      <c r="B29" s="7"/>
      <c r="C29" s="7"/>
      <c r="D29" s="7"/>
      <c r="E29" s="7"/>
      <c r="F29" s="7"/>
      <c r="G29" s="7"/>
      <c r="H29" s="7"/>
      <c r="I29" s="7"/>
      <c r="J29" s="54">
        <f t="shared" si="1"/>
        <v>0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>
      <c r="A30" s="24" t="s">
        <v>116</v>
      </c>
      <c r="B30" s="35">
        <f>43+48</f>
        <v>91</v>
      </c>
      <c r="C30" s="35">
        <f>20</f>
        <v>20</v>
      </c>
      <c r="D30" s="35">
        <f>32</f>
        <v>32</v>
      </c>
      <c r="E30" s="35">
        <f>56+64</f>
        <v>120</v>
      </c>
      <c r="F30" s="35">
        <f>40+72</f>
        <v>112</v>
      </c>
      <c r="G30" s="35">
        <f>42</f>
        <v>42</v>
      </c>
      <c r="H30" s="35">
        <f>48</f>
        <v>48</v>
      </c>
      <c r="I30" s="35">
        <f>16</f>
        <v>16</v>
      </c>
      <c r="J30" s="54">
        <f t="shared" si="1"/>
        <v>481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>
      <c r="A31" s="24" t="s">
        <v>132</v>
      </c>
      <c r="B31" s="35"/>
      <c r="C31" s="35">
        <v>46.5</v>
      </c>
      <c r="D31" s="35">
        <f>40</f>
        <v>40</v>
      </c>
      <c r="E31" s="35">
        <v>24</v>
      </c>
      <c r="F31" s="35"/>
      <c r="G31" s="35"/>
      <c r="H31" s="35">
        <v>4</v>
      </c>
      <c r="I31" s="35">
        <v>33</v>
      </c>
      <c r="J31" s="54">
        <f t="shared" si="1"/>
        <v>147.5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>
      <c r="A32" s="46"/>
      <c r="B32" s="47"/>
      <c r="C32" s="47"/>
      <c r="D32" s="47"/>
      <c r="E32" s="47"/>
      <c r="F32" s="47"/>
      <c r="G32" s="47"/>
      <c r="H32" s="47"/>
      <c r="I32" s="47"/>
      <c r="J32" s="47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>
      <c r="A33" s="46"/>
      <c r="B33" s="47"/>
      <c r="C33" s="47"/>
      <c r="D33" s="47"/>
      <c r="E33" s="47"/>
      <c r="F33" s="47"/>
      <c r="G33" s="47"/>
      <c r="H33" s="47"/>
      <c r="I33" s="47"/>
      <c r="J33" s="47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>
      <c r="A34" s="16" t="s">
        <v>20</v>
      </c>
      <c r="B34" s="52" t="s">
        <v>17</v>
      </c>
      <c r="C34" s="16" t="s">
        <v>118</v>
      </c>
      <c r="D34" s="35" t="s">
        <v>25</v>
      </c>
      <c r="E34" s="35" t="s">
        <v>39</v>
      </c>
      <c r="F34" s="35" t="s">
        <v>119</v>
      </c>
      <c r="G34" s="47"/>
      <c r="H34" s="47"/>
      <c r="I34" s="47"/>
      <c r="J34" s="47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>
      <c r="A35" s="53" t="s">
        <v>8</v>
      </c>
      <c r="B35" s="7"/>
      <c r="C35" s="7">
        <f>2.5+1.5</f>
        <v>4</v>
      </c>
      <c r="D35" s="7">
        <v>51</v>
      </c>
      <c r="E35" s="7">
        <f>2+11.5</f>
        <v>13.5</v>
      </c>
      <c r="F35" s="7">
        <f t="shared" ref="F35:F38" si="2">SUM(B35:E35)</f>
        <v>68.5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>
      <c r="A36" s="24" t="s">
        <v>81</v>
      </c>
      <c r="B36" s="7">
        <v>32.5</v>
      </c>
      <c r="C36" s="7">
        <v>57.5</v>
      </c>
      <c r="D36" s="7">
        <f>67+16</f>
        <v>83</v>
      </c>
      <c r="E36" s="7"/>
      <c r="F36" s="7">
        <f t="shared" si="2"/>
        <v>173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>
      <c r="A37" s="24" t="s">
        <v>57</v>
      </c>
      <c r="B37" s="7">
        <f>69+60</f>
        <v>129</v>
      </c>
      <c r="C37" s="7">
        <f>24+58.5</f>
        <v>82.5</v>
      </c>
      <c r="D37" s="7">
        <v>42</v>
      </c>
      <c r="E37" s="7">
        <f>4+2</f>
        <v>6</v>
      </c>
      <c r="F37" s="7">
        <f t="shared" si="2"/>
        <v>259.5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customHeight="1">
      <c r="A38" s="83" t="s">
        <v>136</v>
      </c>
      <c r="B38" s="7"/>
      <c r="C38" s="7">
        <f>40</f>
        <v>40</v>
      </c>
      <c r="D38" s="7"/>
      <c r="E38" s="7"/>
      <c r="F38" s="7">
        <f t="shared" si="2"/>
        <v>40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customHeight="1">
      <c r="A39" s="46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customHeight="1">
      <c r="A43" s="46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">
    <mergeCell ref="B1:G1"/>
  </mergeCells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Z100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4.42578125" defaultRowHeight="15" customHeight="1"/>
  <cols>
    <col min="1" max="1" width="52.140625" customWidth="1"/>
    <col min="2" max="2" width="10.5703125" customWidth="1"/>
    <col min="3" max="3" width="12" customWidth="1"/>
    <col min="4" max="4" width="13.85546875" customWidth="1"/>
    <col min="5" max="5" width="13.28515625" customWidth="1"/>
    <col min="6" max="6" width="10.42578125" customWidth="1"/>
    <col min="7" max="7" width="11.140625" customWidth="1"/>
    <col min="8" max="10" width="10.5703125" customWidth="1"/>
    <col min="11" max="11" width="15" customWidth="1"/>
    <col min="12" max="13" width="9.140625" customWidth="1"/>
    <col min="14" max="14" width="10" customWidth="1"/>
    <col min="15" max="19" width="9.140625" customWidth="1"/>
    <col min="20" max="26" width="8.7109375" customWidth="1"/>
  </cols>
  <sheetData>
    <row r="1" spans="1:26" ht="18.75" customHeight="1">
      <c r="A1" s="8"/>
      <c r="B1" s="105"/>
      <c r="C1" s="106"/>
      <c r="D1" s="106"/>
      <c r="E1" s="106"/>
      <c r="F1" s="106"/>
      <c r="G1" s="10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>
      <c r="A4" s="16" t="s">
        <v>20</v>
      </c>
      <c r="B4" s="17" t="s">
        <v>21</v>
      </c>
      <c r="C4" s="17" t="s">
        <v>22</v>
      </c>
      <c r="D4" s="17" t="s">
        <v>23</v>
      </c>
      <c r="E4" s="17" t="s">
        <v>24</v>
      </c>
      <c r="F4" s="17" t="s">
        <v>25</v>
      </c>
      <c r="G4" s="17" t="s">
        <v>10</v>
      </c>
      <c r="H4" s="17" t="s">
        <v>12</v>
      </c>
      <c r="I4" s="17" t="s">
        <v>53</v>
      </c>
      <c r="J4" s="17" t="s">
        <v>19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>
      <c r="A5" s="24" t="s">
        <v>8</v>
      </c>
      <c r="B5" s="19"/>
      <c r="C5" s="19"/>
      <c r="D5" s="20"/>
      <c r="E5" s="19">
        <v>24</v>
      </c>
      <c r="F5" s="19"/>
      <c r="G5" s="19">
        <f>2</f>
        <v>2</v>
      </c>
      <c r="H5" s="19">
        <f>9+15</f>
        <v>24</v>
      </c>
      <c r="I5" s="19">
        <f>5.5</f>
        <v>5.5</v>
      </c>
      <c r="J5" s="41">
        <f t="shared" ref="J5:J23" si="0">SUM(B5:I5)</f>
        <v>55.5</v>
      </c>
      <c r="K5" s="8"/>
      <c r="L5" s="22"/>
      <c r="M5" s="22"/>
      <c r="N5" s="23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>
      <c r="A6" s="24" t="s">
        <v>122</v>
      </c>
      <c r="B6" s="19"/>
      <c r="C6" s="19"/>
      <c r="D6" s="20"/>
      <c r="E6" s="19"/>
      <c r="F6" s="20"/>
      <c r="G6" s="20"/>
      <c r="H6" s="20"/>
      <c r="I6" s="20"/>
      <c r="J6" s="41">
        <f t="shared" si="0"/>
        <v>0</v>
      </c>
      <c r="K6" s="8"/>
      <c r="L6" s="27"/>
      <c r="M6" s="27"/>
      <c r="N6" s="23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>
      <c r="A7" s="24" t="s">
        <v>61</v>
      </c>
      <c r="B7" s="19"/>
      <c r="C7" s="19"/>
      <c r="D7" s="20"/>
      <c r="E7" s="19"/>
      <c r="F7" s="20"/>
      <c r="G7" s="20"/>
      <c r="H7" s="20"/>
      <c r="I7" s="20"/>
      <c r="J7" s="41">
        <f t="shared" si="0"/>
        <v>0</v>
      </c>
      <c r="K7" s="8"/>
      <c r="L7" s="27"/>
      <c r="M7" s="27"/>
      <c r="N7" s="23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>
      <c r="A8" s="24" t="s">
        <v>73</v>
      </c>
      <c r="B8" s="19"/>
      <c r="C8" s="19"/>
      <c r="D8" s="20"/>
      <c r="E8" s="19"/>
      <c r="F8" s="20"/>
      <c r="G8" s="20"/>
      <c r="H8" s="20"/>
      <c r="I8" s="20"/>
      <c r="J8" s="41">
        <f t="shared" si="0"/>
        <v>0</v>
      </c>
      <c r="K8" s="8"/>
      <c r="L8" s="27"/>
      <c r="M8" s="27"/>
      <c r="N8" s="23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>
      <c r="A9" s="24" t="s">
        <v>74</v>
      </c>
      <c r="B9" s="19"/>
      <c r="C9" s="19"/>
      <c r="D9" s="20"/>
      <c r="E9" s="19"/>
      <c r="F9" s="20">
        <f>8</f>
        <v>8</v>
      </c>
      <c r="G9" s="20"/>
      <c r="H9" s="20"/>
      <c r="I9" s="20"/>
      <c r="J9" s="41">
        <f t="shared" si="0"/>
        <v>8</v>
      </c>
      <c r="K9" s="8"/>
      <c r="L9" s="27"/>
      <c r="M9" s="27"/>
      <c r="N9" s="23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>
      <c r="A10" s="86" t="s">
        <v>77</v>
      </c>
      <c r="B10" s="19"/>
      <c r="C10" s="19">
        <v>100</v>
      </c>
      <c r="D10" s="20">
        <v>108</v>
      </c>
      <c r="E10" s="19"/>
      <c r="F10" s="20"/>
      <c r="G10" s="20">
        <v>40</v>
      </c>
      <c r="H10" s="20">
        <f>6+43</f>
        <v>49</v>
      </c>
      <c r="I10" s="20">
        <f>62.5+112</f>
        <v>174.5</v>
      </c>
      <c r="J10" s="41">
        <f t="shared" si="0"/>
        <v>471.5</v>
      </c>
      <c r="K10" s="8"/>
      <c r="L10" s="27"/>
      <c r="M10" s="27"/>
      <c r="N10" s="23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>
      <c r="A11" s="24" t="s">
        <v>113</v>
      </c>
      <c r="B11" s="19">
        <f>31.5+24</f>
        <v>55.5</v>
      </c>
      <c r="C11" s="19"/>
      <c r="D11" s="20"/>
      <c r="E11" s="19"/>
      <c r="F11" s="20">
        <f>40+64</f>
        <v>104</v>
      </c>
      <c r="G11" s="20">
        <f>22+32</f>
        <v>54</v>
      </c>
      <c r="H11" s="20"/>
      <c r="I11" s="20"/>
      <c r="J11" s="41">
        <f t="shared" si="0"/>
        <v>213.5</v>
      </c>
      <c r="K11" s="8"/>
      <c r="L11" s="27"/>
      <c r="M11" s="27"/>
      <c r="N11" s="23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6.5" customHeight="1">
      <c r="A12" s="24" t="s">
        <v>114</v>
      </c>
      <c r="B12" s="19">
        <v>32</v>
      </c>
      <c r="C12" s="19"/>
      <c r="D12" s="20"/>
      <c r="E12" s="19"/>
      <c r="F12" s="20"/>
      <c r="G12" s="20">
        <f>5+24</f>
        <v>29</v>
      </c>
      <c r="H12" s="20">
        <v>26</v>
      </c>
      <c r="I12" s="20"/>
      <c r="J12" s="41">
        <f t="shared" si="0"/>
        <v>87</v>
      </c>
      <c r="K12" s="8"/>
      <c r="L12" s="27"/>
      <c r="M12" s="27"/>
      <c r="N12" s="23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>
      <c r="A13" s="24" t="s">
        <v>120</v>
      </c>
      <c r="B13" s="19"/>
      <c r="C13" s="19"/>
      <c r="D13" s="20"/>
      <c r="E13" s="19"/>
      <c r="F13" s="20"/>
      <c r="G13" s="20"/>
      <c r="H13" s="20"/>
      <c r="I13" s="20"/>
      <c r="J13" s="41">
        <f t="shared" si="0"/>
        <v>0</v>
      </c>
      <c r="K13" s="8"/>
      <c r="L13" s="27"/>
      <c r="M13" s="27"/>
      <c r="N13" s="23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>
      <c r="A14" s="24" t="s">
        <v>121</v>
      </c>
      <c r="B14" s="19"/>
      <c r="C14" s="19"/>
      <c r="D14" s="20"/>
      <c r="E14" s="19"/>
      <c r="F14" s="20"/>
      <c r="G14" s="20"/>
      <c r="H14" s="20"/>
      <c r="I14" s="20"/>
      <c r="J14" s="41">
        <f t="shared" si="0"/>
        <v>0</v>
      </c>
      <c r="K14" s="8"/>
      <c r="L14" s="27"/>
      <c r="M14" s="27"/>
      <c r="N14" s="23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>
      <c r="A15" s="24" t="s">
        <v>63</v>
      </c>
      <c r="B15" s="19"/>
      <c r="C15" s="19"/>
      <c r="D15" s="20"/>
      <c r="E15" s="19"/>
      <c r="F15" s="20"/>
      <c r="G15" s="20"/>
      <c r="H15" s="20">
        <v>16</v>
      </c>
      <c r="I15" s="20"/>
      <c r="J15" s="41">
        <f t="shared" si="0"/>
        <v>16</v>
      </c>
      <c r="K15" s="8"/>
      <c r="L15" s="27"/>
      <c r="M15" s="27"/>
      <c r="N15" s="23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>
      <c r="A16" s="24" t="s">
        <v>115</v>
      </c>
      <c r="B16" s="19"/>
      <c r="C16" s="19"/>
      <c r="D16" s="20"/>
      <c r="E16" s="19"/>
      <c r="F16" s="20"/>
      <c r="G16" s="20"/>
      <c r="H16" s="20"/>
      <c r="I16" s="20"/>
      <c r="J16" s="41">
        <f t="shared" si="0"/>
        <v>0</v>
      </c>
      <c r="K16" s="8"/>
      <c r="L16" s="27"/>
      <c r="M16" s="27"/>
      <c r="N16" s="23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>
      <c r="A17" s="24" t="s">
        <v>64</v>
      </c>
      <c r="B17" s="19"/>
      <c r="C17" s="19"/>
      <c r="D17" s="20"/>
      <c r="E17" s="19"/>
      <c r="F17" s="20"/>
      <c r="G17" s="20"/>
      <c r="H17" s="20"/>
      <c r="I17" s="20"/>
      <c r="J17" s="41">
        <f t="shared" si="0"/>
        <v>0</v>
      </c>
      <c r="K17" s="8"/>
      <c r="L17" s="27"/>
      <c r="M17" s="27"/>
      <c r="N17" s="23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>
      <c r="A18" s="24" t="s">
        <v>54</v>
      </c>
      <c r="B18" s="19"/>
      <c r="C18" s="19"/>
      <c r="D18" s="20"/>
      <c r="E18" s="19"/>
      <c r="F18" s="20"/>
      <c r="G18" s="20"/>
      <c r="H18" s="20"/>
      <c r="I18" s="20"/>
      <c r="J18" s="41">
        <f t="shared" si="0"/>
        <v>0</v>
      </c>
      <c r="K18" s="8"/>
      <c r="L18" s="27"/>
      <c r="M18" s="27"/>
      <c r="N18" s="23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>
      <c r="A19" s="24" t="s">
        <v>123</v>
      </c>
      <c r="B19" s="19"/>
      <c r="C19" s="19"/>
      <c r="D19" s="20"/>
      <c r="E19" s="19"/>
      <c r="F19" s="20"/>
      <c r="G19" s="20"/>
      <c r="H19" s="20"/>
      <c r="I19" s="20"/>
      <c r="J19" s="41">
        <f t="shared" si="0"/>
        <v>0</v>
      </c>
      <c r="K19" s="8"/>
      <c r="L19" s="27"/>
      <c r="M19" s="27"/>
      <c r="N19" s="23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>
      <c r="A20" s="24" t="s">
        <v>124</v>
      </c>
      <c r="B20" s="19">
        <f>32+32</f>
        <v>64</v>
      </c>
      <c r="C20" s="19">
        <f>70.5+15</f>
        <v>85.5</v>
      </c>
      <c r="D20" s="20">
        <f>73+4</f>
        <v>77</v>
      </c>
      <c r="E20" s="19">
        <f>32+88</f>
        <v>120</v>
      </c>
      <c r="F20" s="20"/>
      <c r="G20" s="20">
        <f>11</f>
        <v>11</v>
      </c>
      <c r="H20" s="20">
        <f>26+16</f>
        <v>42</v>
      </c>
      <c r="I20" s="20"/>
      <c r="J20" s="41">
        <f t="shared" si="0"/>
        <v>399.5</v>
      </c>
      <c r="K20" s="8"/>
      <c r="L20" s="27"/>
      <c r="M20" s="27"/>
      <c r="N20" s="23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>
      <c r="A21" s="24" t="s">
        <v>125</v>
      </c>
      <c r="B21" s="19"/>
      <c r="C21" s="19"/>
      <c r="D21" s="20"/>
      <c r="E21" s="19"/>
      <c r="F21" s="20"/>
      <c r="G21" s="20"/>
      <c r="H21" s="20"/>
      <c r="I21" s="20"/>
      <c r="J21" s="41">
        <f t="shared" si="0"/>
        <v>0</v>
      </c>
      <c r="K21" s="8"/>
      <c r="L21" s="27"/>
      <c r="M21" s="27"/>
      <c r="N21" s="23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>
      <c r="A22" s="24" t="s">
        <v>126</v>
      </c>
      <c r="B22" s="19"/>
      <c r="C22" s="19"/>
      <c r="D22" s="20"/>
      <c r="E22" s="19">
        <f>66.5</f>
        <v>66.5</v>
      </c>
      <c r="F22" s="20"/>
      <c r="G22" s="20"/>
      <c r="H22" s="20">
        <f>27.5</f>
        <v>27.5</v>
      </c>
      <c r="I22" s="20"/>
      <c r="J22" s="41">
        <f t="shared" si="0"/>
        <v>94</v>
      </c>
      <c r="K22" s="8"/>
      <c r="L22" s="27"/>
      <c r="M22" s="27"/>
      <c r="N22" s="23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>
      <c r="A23" s="24" t="s">
        <v>127</v>
      </c>
      <c r="B23" s="19">
        <f>9</f>
        <v>9</v>
      </c>
      <c r="C23" s="19">
        <f>13.5</f>
        <v>13.5</v>
      </c>
      <c r="D23" s="20"/>
      <c r="E23" s="19"/>
      <c r="F23" s="20"/>
      <c r="G23" s="20">
        <f>16</f>
        <v>16</v>
      </c>
      <c r="H23" s="20"/>
      <c r="I23" s="20">
        <f>4</f>
        <v>4</v>
      </c>
      <c r="J23" s="41">
        <f t="shared" si="0"/>
        <v>42.5</v>
      </c>
      <c r="K23" s="8"/>
      <c r="L23" s="27"/>
      <c r="M23" s="27"/>
      <c r="N23" s="23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>
      <c r="A24" s="24" t="s">
        <v>128</v>
      </c>
      <c r="B24" s="19"/>
      <c r="C24" s="19"/>
      <c r="D24" s="20"/>
      <c r="E24" s="19"/>
      <c r="F24" s="20">
        <v>40</v>
      </c>
      <c r="G24" s="20"/>
      <c r="H24" s="20"/>
      <c r="I24" s="20"/>
      <c r="J24" s="41"/>
      <c r="K24" s="8"/>
      <c r="L24" s="27"/>
      <c r="M24" s="27"/>
      <c r="N24" s="23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>
      <c r="A25" s="8"/>
      <c r="B25" s="8"/>
      <c r="C25" s="8"/>
      <c r="D25" s="8"/>
      <c r="E25" s="8"/>
      <c r="F25" s="8"/>
      <c r="G25" s="8"/>
      <c r="H25" s="8"/>
      <c r="I25" s="30"/>
      <c r="J25" s="30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>
      <c r="A26" s="16" t="s">
        <v>20</v>
      </c>
      <c r="B26" s="16" t="s">
        <v>66</v>
      </c>
      <c r="C26" s="16" t="s">
        <v>37</v>
      </c>
      <c r="D26" s="16" t="s">
        <v>38</v>
      </c>
      <c r="E26" s="16" t="s">
        <v>34</v>
      </c>
      <c r="F26" s="16" t="s">
        <v>58</v>
      </c>
      <c r="G26" s="16" t="s">
        <v>39</v>
      </c>
      <c r="H26" s="16" t="s">
        <v>36</v>
      </c>
      <c r="I26" s="16" t="s">
        <v>131</v>
      </c>
      <c r="J26" s="7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>
      <c r="A27" s="18" t="s">
        <v>8</v>
      </c>
      <c r="B27" s="35"/>
      <c r="C27" s="35">
        <f>8</f>
        <v>8</v>
      </c>
      <c r="D27" s="7">
        <f>17</f>
        <v>17</v>
      </c>
      <c r="E27" s="35"/>
      <c r="F27" s="35"/>
      <c r="G27" s="35"/>
      <c r="H27" s="35"/>
      <c r="I27" s="7">
        <f>16</f>
        <v>16</v>
      </c>
      <c r="J27" s="54">
        <f t="shared" ref="J27:J35" si="1">SUM(B27:I27)</f>
        <v>41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3.5" customHeight="1">
      <c r="A28" s="24" t="s">
        <v>81</v>
      </c>
      <c r="B28" s="35"/>
      <c r="C28" s="7"/>
      <c r="D28" s="35"/>
      <c r="E28" s="35"/>
      <c r="F28" s="35"/>
      <c r="G28" s="35"/>
      <c r="H28" s="81"/>
      <c r="I28" s="7"/>
      <c r="J28" s="54">
        <f t="shared" si="1"/>
        <v>0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>
      <c r="A29" s="24" t="s">
        <v>43</v>
      </c>
      <c r="B29" s="35">
        <f>47</f>
        <v>47</v>
      </c>
      <c r="C29" s="35"/>
      <c r="D29" s="35"/>
      <c r="E29" s="35"/>
      <c r="F29" s="35">
        <f>72+112</f>
        <v>184</v>
      </c>
      <c r="G29" s="35">
        <f>48</f>
        <v>48</v>
      </c>
      <c r="H29" s="35">
        <f>24</f>
        <v>24</v>
      </c>
      <c r="I29" s="7"/>
      <c r="J29" s="54">
        <f t="shared" si="1"/>
        <v>303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>
      <c r="A30" s="24" t="s">
        <v>78</v>
      </c>
      <c r="B30" s="7"/>
      <c r="C30" s="7"/>
      <c r="D30" s="7"/>
      <c r="E30" s="7"/>
      <c r="F30" s="7"/>
      <c r="G30" s="7"/>
      <c r="H30" s="7"/>
      <c r="I30" s="7"/>
      <c r="J30" s="54">
        <f t="shared" si="1"/>
        <v>0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>
      <c r="A31" s="24" t="s">
        <v>116</v>
      </c>
      <c r="B31" s="35"/>
      <c r="C31" s="35"/>
      <c r="D31" s="35"/>
      <c r="E31" s="35"/>
      <c r="F31" s="35"/>
      <c r="G31" s="35"/>
      <c r="H31" s="35"/>
      <c r="I31" s="35"/>
      <c r="J31" s="54">
        <f t="shared" si="1"/>
        <v>0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>
      <c r="A32" s="24" t="s">
        <v>132</v>
      </c>
      <c r="B32" s="35"/>
      <c r="C32" s="35"/>
      <c r="D32" s="35"/>
      <c r="E32" s="35"/>
      <c r="F32" s="35"/>
      <c r="G32" s="35"/>
      <c r="H32" s="35"/>
      <c r="I32" s="35"/>
      <c r="J32" s="54">
        <f t="shared" si="1"/>
        <v>0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>
      <c r="A33" s="24" t="s">
        <v>133</v>
      </c>
      <c r="B33" s="7"/>
      <c r="C33" s="7">
        <f>40</f>
        <v>40</v>
      </c>
      <c r="D33" s="7">
        <f>27</f>
        <v>27</v>
      </c>
      <c r="E33" s="7">
        <f>36</f>
        <v>36</v>
      </c>
      <c r="F33" s="7"/>
      <c r="G33" s="7"/>
      <c r="H33" s="7">
        <f t="shared" ref="H33:I33" si="2">24</f>
        <v>24</v>
      </c>
      <c r="I33" s="7">
        <f t="shared" si="2"/>
        <v>24</v>
      </c>
      <c r="J33" s="54">
        <f t="shared" si="1"/>
        <v>151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>
      <c r="A34" s="24" t="s">
        <v>128</v>
      </c>
      <c r="B34" s="7">
        <f>33+85</f>
        <v>118</v>
      </c>
      <c r="C34" s="7">
        <f>40+72</f>
        <v>112</v>
      </c>
      <c r="D34" s="7">
        <f>34+76</f>
        <v>110</v>
      </c>
      <c r="E34" s="7">
        <f>48+75</f>
        <v>123</v>
      </c>
      <c r="F34" s="7"/>
      <c r="G34" s="7">
        <f>24+112</f>
        <v>136</v>
      </c>
      <c r="H34" s="7">
        <f>24+72</f>
        <v>96</v>
      </c>
      <c r="I34" s="7">
        <f>32+72</f>
        <v>104</v>
      </c>
      <c r="J34" s="54">
        <f t="shared" si="1"/>
        <v>799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>
      <c r="A35" s="24" t="s">
        <v>134</v>
      </c>
      <c r="B35" s="7">
        <v>32</v>
      </c>
      <c r="C35" s="7">
        <v>40</v>
      </c>
      <c r="D35" s="7">
        <v>40</v>
      </c>
      <c r="E35" s="7">
        <v>41</v>
      </c>
      <c r="F35" s="7"/>
      <c r="G35" s="7"/>
      <c r="H35" s="7">
        <v>40</v>
      </c>
      <c r="I35" s="7">
        <v>40</v>
      </c>
      <c r="J35" s="54">
        <f t="shared" si="1"/>
        <v>233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>
      <c r="A36" s="46"/>
      <c r="B36" s="47"/>
      <c r="C36" s="47"/>
      <c r="D36" s="47"/>
      <c r="E36" s="47"/>
      <c r="F36" s="47"/>
      <c r="G36" s="47"/>
      <c r="H36" s="47"/>
      <c r="I36" s="47"/>
      <c r="J36" s="47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>
      <c r="A37" s="46"/>
      <c r="B37" s="47"/>
      <c r="C37" s="47"/>
      <c r="D37" s="47"/>
      <c r="E37" s="47"/>
      <c r="F37" s="47"/>
      <c r="G37" s="47"/>
      <c r="H37" s="47"/>
      <c r="I37" s="47"/>
      <c r="J37" s="47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customHeight="1">
      <c r="A38" s="16" t="s">
        <v>20</v>
      </c>
      <c r="B38" s="52" t="s">
        <v>17</v>
      </c>
      <c r="C38" s="16" t="s">
        <v>118</v>
      </c>
      <c r="D38" s="35" t="s">
        <v>25</v>
      </c>
      <c r="E38" s="35" t="s">
        <v>39</v>
      </c>
      <c r="F38" s="35" t="s">
        <v>119</v>
      </c>
      <c r="G38" s="47"/>
      <c r="H38" s="47"/>
      <c r="I38" s="47"/>
      <c r="J38" s="47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customHeight="1">
      <c r="A39" s="53" t="s">
        <v>8</v>
      </c>
      <c r="B39" s="7"/>
      <c r="C39" s="7">
        <v>3</v>
      </c>
      <c r="D39" s="7">
        <f>33</f>
        <v>33</v>
      </c>
      <c r="E39" s="7"/>
      <c r="F39" s="7">
        <f t="shared" ref="F39:F42" si="3">SUM(B39:E39)</f>
        <v>36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customHeight="1">
      <c r="A40" s="24" t="s">
        <v>81</v>
      </c>
      <c r="B40" s="7">
        <f>72+72</f>
        <v>144</v>
      </c>
      <c r="C40" s="7">
        <f>72+69.5</f>
        <v>141.5</v>
      </c>
      <c r="D40" s="7">
        <f>40+112</f>
        <v>152</v>
      </c>
      <c r="E40" s="7"/>
      <c r="F40" s="7">
        <f t="shared" si="3"/>
        <v>437.5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>
      <c r="A41" s="24" t="s">
        <v>57</v>
      </c>
      <c r="B41" s="7">
        <v>40</v>
      </c>
      <c r="C41" s="7">
        <v>39.5</v>
      </c>
      <c r="D41" s="7"/>
      <c r="E41" s="7"/>
      <c r="F41" s="7">
        <f t="shared" si="3"/>
        <v>79.5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>
      <c r="A42" s="83" t="s">
        <v>136</v>
      </c>
      <c r="B42" s="7"/>
      <c r="C42" s="7"/>
      <c r="D42" s="7"/>
      <c r="E42" s="7"/>
      <c r="F42" s="7">
        <f t="shared" si="3"/>
        <v>0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customHeight="1">
      <c r="A43" s="46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customHeight="1">
      <c r="A47" s="4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">
    <mergeCell ref="B1:G1"/>
  </mergeCells>
  <pageMargins left="0.7" right="0.7" top="0.75" bottom="0.75" header="0" footer="0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00CC"/>
  </sheetPr>
  <dimension ref="A1:Z962"/>
  <sheetViews>
    <sheetView tabSelected="1" workbookViewId="0">
      <pane xSplit="2" topLeftCell="C1" activePane="topRight" state="frozen"/>
      <selection pane="topRight" activeCell="C1" sqref="C1:C1048576"/>
    </sheetView>
  </sheetViews>
  <sheetFormatPr defaultColWidth="14.42578125" defaultRowHeight="15" customHeight="1"/>
  <cols>
    <col min="1" max="1" width="59" customWidth="1"/>
    <col min="2" max="2" width="13" customWidth="1"/>
    <col min="3" max="3" width="20.5703125" customWidth="1"/>
    <col min="4" max="4" width="18" customWidth="1"/>
    <col min="5" max="5" width="19.42578125" customWidth="1"/>
    <col min="6" max="6" width="19.85546875" customWidth="1"/>
    <col min="7" max="7" width="19" customWidth="1"/>
    <col min="8" max="8" width="17.5703125" customWidth="1"/>
    <col min="9" max="9" width="14.42578125" customWidth="1"/>
    <col min="10" max="10" width="12.42578125" customWidth="1"/>
    <col min="11" max="11" width="18" customWidth="1"/>
    <col min="12" max="26" width="8.7109375" customWidth="1"/>
  </cols>
  <sheetData>
    <row r="1" spans="1:26" ht="15.75" customHeight="1">
      <c r="A1" s="95"/>
      <c r="B1" s="95"/>
      <c r="C1" s="97"/>
      <c r="D1" s="97"/>
      <c r="E1" s="97"/>
      <c r="F1" s="97"/>
      <c r="G1" s="97"/>
      <c r="H1" s="97"/>
      <c r="I1" s="97"/>
      <c r="J1" s="95"/>
      <c r="K1" s="95"/>
      <c r="L1" s="95"/>
      <c r="M1" s="95"/>
      <c r="N1" s="95"/>
      <c r="O1" s="95"/>
      <c r="P1" s="95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spans="1:26" ht="15.75" customHeight="1">
      <c r="A2" s="95"/>
      <c r="B2" s="95"/>
      <c r="C2" s="97"/>
      <c r="D2" s="97"/>
      <c r="E2" s="97"/>
      <c r="F2" s="97"/>
      <c r="G2" s="97"/>
      <c r="H2" s="97"/>
      <c r="I2" s="97"/>
      <c r="J2" s="98"/>
      <c r="K2" s="98"/>
      <c r="L2" s="98"/>
      <c r="M2" s="97"/>
      <c r="N2" s="97"/>
      <c r="O2" s="97"/>
      <c r="P2" s="97"/>
      <c r="Q2" s="99"/>
      <c r="R2" s="99"/>
      <c r="S2" s="99"/>
      <c r="T2" s="99"/>
      <c r="U2" s="99"/>
      <c r="V2" s="99"/>
      <c r="W2" s="99"/>
      <c r="X2" s="99"/>
      <c r="Y2" s="99"/>
      <c r="Z2" s="99"/>
    </row>
    <row r="3" spans="1:26" ht="15.75" customHeight="1">
      <c r="A3" s="95"/>
      <c r="B3" s="95"/>
      <c r="C3" s="97"/>
      <c r="D3" s="97"/>
      <c r="E3" s="97"/>
      <c r="F3" s="97"/>
      <c r="G3" s="97"/>
      <c r="H3" s="97"/>
      <c r="I3" s="97"/>
      <c r="J3" s="98"/>
      <c r="K3" s="98"/>
      <c r="L3" s="98"/>
      <c r="M3" s="97"/>
      <c r="N3" s="97"/>
      <c r="O3" s="97"/>
      <c r="P3" s="97"/>
      <c r="Q3" s="99"/>
      <c r="R3" s="99"/>
      <c r="S3" s="99"/>
      <c r="T3" s="99"/>
      <c r="U3" s="99"/>
      <c r="V3" s="99"/>
      <c r="W3" s="99"/>
      <c r="X3" s="99"/>
      <c r="Y3" s="99"/>
      <c r="Z3" s="99"/>
    </row>
    <row r="4" spans="1:26" ht="15.75" customHeight="1">
      <c r="A4" s="95"/>
      <c r="B4" s="95"/>
      <c r="C4" s="97"/>
      <c r="D4" s="97"/>
      <c r="E4" s="97"/>
      <c r="F4" s="97"/>
      <c r="G4" s="97"/>
      <c r="H4" s="97"/>
      <c r="I4" s="97"/>
      <c r="J4" s="98"/>
      <c r="K4" s="98"/>
      <c r="L4" s="98"/>
      <c r="M4" s="97"/>
      <c r="N4" s="97"/>
      <c r="O4" s="97"/>
      <c r="P4" s="97"/>
      <c r="Q4" s="99"/>
      <c r="R4" s="99"/>
      <c r="S4" s="99"/>
      <c r="T4" s="99"/>
      <c r="U4" s="99"/>
      <c r="V4" s="99"/>
      <c r="W4" s="99"/>
      <c r="X4" s="99"/>
      <c r="Y4" s="99"/>
      <c r="Z4" s="99"/>
    </row>
    <row r="5" spans="1:26" ht="15.75" customHeight="1">
      <c r="A5" s="95"/>
      <c r="B5" s="95"/>
      <c r="C5" s="97"/>
      <c r="D5" s="97"/>
      <c r="E5" s="97"/>
      <c r="F5" s="97"/>
      <c r="G5" s="97"/>
      <c r="H5" s="97"/>
      <c r="I5" s="97"/>
      <c r="J5" s="98"/>
      <c r="K5" s="98"/>
      <c r="L5" s="98"/>
      <c r="M5" s="97"/>
      <c r="N5" s="97"/>
      <c r="O5" s="97"/>
      <c r="P5" s="97"/>
      <c r="Q5" s="99"/>
      <c r="R5" s="99"/>
      <c r="S5" s="99"/>
      <c r="T5" s="99"/>
      <c r="U5" s="99"/>
      <c r="V5" s="99"/>
      <c r="W5" s="99"/>
      <c r="X5" s="99"/>
      <c r="Y5" s="99"/>
      <c r="Z5" s="99"/>
    </row>
    <row r="6" spans="1:26" ht="15.75" customHeight="1">
      <c r="A6" s="95"/>
      <c r="B6" s="95"/>
      <c r="C6" s="97"/>
      <c r="D6" s="97"/>
      <c r="E6" s="97"/>
      <c r="F6" s="97"/>
      <c r="G6" s="97"/>
      <c r="H6" s="97"/>
      <c r="I6" s="97"/>
      <c r="J6" s="98"/>
      <c r="K6" s="98"/>
      <c r="L6" s="98"/>
      <c r="M6" s="97"/>
      <c r="N6" s="97"/>
      <c r="O6" s="97"/>
      <c r="P6" s="97"/>
      <c r="Q6" s="99"/>
      <c r="R6" s="99"/>
      <c r="S6" s="99"/>
      <c r="T6" s="99"/>
      <c r="U6" s="99"/>
      <c r="V6" s="99"/>
      <c r="W6" s="99"/>
      <c r="X6" s="99"/>
      <c r="Y6" s="99"/>
      <c r="Z6" s="99"/>
    </row>
    <row r="7" spans="1:26" ht="15.75" customHeight="1">
      <c r="A7" s="95"/>
      <c r="B7" s="95"/>
      <c r="C7" s="97"/>
      <c r="D7" s="97"/>
      <c r="E7" s="97"/>
      <c r="F7" s="97"/>
      <c r="G7" s="97"/>
      <c r="H7" s="97"/>
      <c r="I7" s="97"/>
      <c r="J7" s="98"/>
      <c r="K7" s="98"/>
      <c r="L7" s="98"/>
      <c r="M7" s="97"/>
      <c r="N7" s="97"/>
      <c r="O7" s="97"/>
      <c r="P7" s="97"/>
      <c r="Q7" s="99"/>
      <c r="R7" s="99"/>
      <c r="S7" s="99"/>
      <c r="T7" s="99"/>
      <c r="U7" s="99"/>
      <c r="V7" s="99"/>
      <c r="W7" s="99"/>
      <c r="X7" s="99"/>
      <c r="Y7" s="99"/>
      <c r="Z7" s="99"/>
    </row>
    <row r="8" spans="1:26" ht="15.75" customHeight="1">
      <c r="A8" s="95"/>
      <c r="B8" s="95"/>
      <c r="C8" s="97"/>
      <c r="D8" s="97"/>
      <c r="E8" s="97"/>
      <c r="F8" s="97"/>
      <c r="G8" s="97"/>
      <c r="H8" s="97"/>
      <c r="I8" s="97"/>
      <c r="J8" s="98"/>
      <c r="K8" s="98"/>
      <c r="L8" s="98"/>
      <c r="M8" s="97"/>
      <c r="N8" s="97"/>
      <c r="O8" s="97"/>
      <c r="P8" s="97"/>
      <c r="Q8" s="99"/>
      <c r="R8" s="99"/>
      <c r="S8" s="99"/>
      <c r="T8" s="99"/>
      <c r="U8" s="99"/>
      <c r="V8" s="99"/>
      <c r="W8" s="99"/>
      <c r="X8" s="99"/>
      <c r="Y8" s="99"/>
      <c r="Z8" s="99"/>
    </row>
    <row r="9" spans="1:26" ht="15.75" customHeight="1">
      <c r="A9" s="95"/>
      <c r="B9" s="95"/>
      <c r="C9" s="97"/>
      <c r="D9" s="97"/>
      <c r="E9" s="97"/>
      <c r="F9" s="97"/>
      <c r="G9" s="97"/>
      <c r="H9" s="97"/>
      <c r="I9" s="97"/>
      <c r="J9" s="98"/>
      <c r="K9" s="98"/>
      <c r="L9" s="98"/>
      <c r="M9" s="97"/>
      <c r="N9" s="97"/>
      <c r="O9" s="97"/>
      <c r="P9" s="97"/>
      <c r="Q9" s="99"/>
      <c r="R9" s="99"/>
      <c r="S9" s="99"/>
      <c r="T9" s="99"/>
      <c r="U9" s="99"/>
      <c r="V9" s="99"/>
      <c r="W9" s="99"/>
      <c r="X9" s="99"/>
      <c r="Y9" s="99"/>
      <c r="Z9" s="99"/>
    </row>
    <row r="10" spans="1:26" ht="15.75" customHeight="1">
      <c r="A10" s="95"/>
      <c r="B10" s="95"/>
      <c r="C10" s="97"/>
      <c r="D10" s="97"/>
      <c r="E10" s="97"/>
      <c r="F10" s="97"/>
      <c r="G10" s="97"/>
      <c r="H10" s="97"/>
      <c r="I10" s="97"/>
      <c r="J10" s="98"/>
      <c r="K10" s="98"/>
      <c r="L10" s="98"/>
      <c r="M10" s="97"/>
      <c r="N10" s="97"/>
      <c r="O10" s="97"/>
      <c r="P10" s="97"/>
      <c r="Q10" s="99"/>
      <c r="R10" s="99"/>
      <c r="S10" s="99"/>
      <c r="T10" s="99"/>
      <c r="U10" s="99"/>
      <c r="V10" s="99"/>
      <c r="W10" s="99"/>
      <c r="X10" s="99"/>
      <c r="Y10" s="99"/>
      <c r="Z10" s="99"/>
    </row>
    <row r="11" spans="1:26" ht="15.75" customHeight="1">
      <c r="A11" s="95"/>
      <c r="B11" s="95"/>
      <c r="C11" s="97"/>
      <c r="D11" s="97"/>
      <c r="E11" s="97"/>
      <c r="F11" s="97"/>
      <c r="G11" s="97"/>
      <c r="H11" s="97"/>
      <c r="I11" s="97"/>
      <c r="J11" s="98"/>
      <c r="K11" s="98"/>
      <c r="L11" s="98"/>
      <c r="M11" s="97"/>
      <c r="N11" s="97"/>
      <c r="O11" s="97"/>
      <c r="P11" s="97"/>
      <c r="Q11" s="99"/>
      <c r="R11" s="99"/>
      <c r="S11" s="99"/>
      <c r="T11" s="99"/>
      <c r="U11" s="99"/>
      <c r="V11" s="99"/>
      <c r="W11" s="99"/>
      <c r="X11" s="99"/>
      <c r="Y11" s="99"/>
      <c r="Z11" s="99"/>
    </row>
    <row r="12" spans="1:26" ht="15.75" customHeight="1">
      <c r="A12" s="95"/>
      <c r="B12" s="95"/>
      <c r="C12" s="97"/>
      <c r="D12" s="97"/>
      <c r="E12" s="97"/>
      <c r="F12" s="97"/>
      <c r="G12" s="97"/>
      <c r="H12" s="97"/>
      <c r="I12" s="97"/>
      <c r="J12" s="98"/>
      <c r="K12" s="98"/>
      <c r="L12" s="98"/>
      <c r="M12" s="97"/>
      <c r="N12" s="97"/>
      <c r="O12" s="97"/>
      <c r="P12" s="97"/>
      <c r="Q12" s="99"/>
      <c r="R12" s="99"/>
      <c r="S12" s="99"/>
      <c r="T12" s="99"/>
      <c r="U12" s="99"/>
      <c r="V12" s="99"/>
      <c r="W12" s="99"/>
      <c r="X12" s="99"/>
      <c r="Y12" s="99"/>
      <c r="Z12" s="99"/>
    </row>
    <row r="13" spans="1:26" ht="15.75" customHeight="1">
      <c r="A13" s="95"/>
      <c r="B13" s="95"/>
      <c r="C13" s="97"/>
      <c r="D13" s="97"/>
      <c r="E13" s="97"/>
      <c r="F13" s="97"/>
      <c r="G13" s="97"/>
      <c r="H13" s="97"/>
      <c r="I13" s="97"/>
      <c r="J13" s="98"/>
      <c r="K13" s="98"/>
      <c r="L13" s="98"/>
      <c r="M13" s="97"/>
      <c r="N13" s="97"/>
      <c r="O13" s="97"/>
      <c r="P13" s="97"/>
      <c r="Q13" s="99"/>
      <c r="R13" s="99"/>
      <c r="S13" s="99"/>
      <c r="T13" s="99"/>
      <c r="U13" s="99"/>
      <c r="V13" s="99"/>
      <c r="W13" s="99"/>
      <c r="X13" s="99"/>
      <c r="Y13" s="99"/>
      <c r="Z13" s="99"/>
    </row>
    <row r="14" spans="1:26" ht="15.75" customHeight="1">
      <c r="A14" s="95"/>
      <c r="B14" s="95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9"/>
      <c r="R14" s="99"/>
      <c r="S14" s="99"/>
      <c r="T14" s="99"/>
      <c r="U14" s="99"/>
      <c r="V14" s="99"/>
      <c r="W14" s="99"/>
      <c r="X14" s="99"/>
      <c r="Y14" s="99"/>
      <c r="Z14" s="99"/>
    </row>
    <row r="15" spans="1:26" ht="15.75" customHeight="1">
      <c r="A15" s="95"/>
      <c r="B15" s="95"/>
      <c r="C15" s="97"/>
      <c r="D15" s="97"/>
      <c r="E15" s="97"/>
      <c r="F15" s="97"/>
      <c r="G15" s="97"/>
      <c r="H15" s="97"/>
      <c r="I15" s="97"/>
      <c r="J15" s="98"/>
      <c r="K15" s="98"/>
      <c r="L15" s="98"/>
      <c r="M15" s="97"/>
      <c r="N15" s="97"/>
      <c r="O15" s="97"/>
      <c r="P15" s="97"/>
      <c r="Q15" s="99"/>
      <c r="R15" s="99"/>
      <c r="S15" s="99"/>
      <c r="T15" s="99"/>
      <c r="U15" s="99"/>
      <c r="V15" s="99"/>
      <c r="W15" s="99"/>
      <c r="X15" s="99"/>
      <c r="Y15" s="99"/>
      <c r="Z15" s="99"/>
    </row>
    <row r="16" spans="1:26" ht="15.75" customHeight="1">
      <c r="A16" s="95"/>
      <c r="B16" s="95"/>
      <c r="C16" s="97"/>
      <c r="D16" s="97"/>
      <c r="E16" s="97"/>
      <c r="F16" s="97"/>
      <c r="G16" s="97"/>
      <c r="H16" s="97"/>
      <c r="I16" s="97"/>
      <c r="J16" s="98"/>
      <c r="K16" s="98"/>
      <c r="L16" s="98"/>
      <c r="M16" s="97"/>
      <c r="N16" s="97"/>
      <c r="O16" s="97"/>
      <c r="P16" s="97"/>
      <c r="Q16" s="99"/>
      <c r="R16" s="99"/>
      <c r="S16" s="99"/>
      <c r="T16" s="99"/>
      <c r="U16" s="99"/>
      <c r="V16" s="99"/>
      <c r="W16" s="99"/>
      <c r="X16" s="99"/>
      <c r="Y16" s="99"/>
      <c r="Z16" s="99"/>
    </row>
    <row r="17" spans="1:26" ht="15.75" customHeight="1">
      <c r="A17" s="95"/>
      <c r="B17" s="95"/>
      <c r="C17" s="97"/>
      <c r="D17" s="97"/>
      <c r="E17" s="97"/>
      <c r="F17" s="97"/>
      <c r="G17" s="97"/>
      <c r="H17" s="97"/>
      <c r="I17" s="97"/>
      <c r="J17" s="98"/>
      <c r="K17" s="98"/>
      <c r="L17" s="98"/>
      <c r="M17" s="97"/>
      <c r="N17" s="97"/>
      <c r="O17" s="97"/>
      <c r="P17" s="97"/>
      <c r="Q17" s="99"/>
      <c r="R17" s="99"/>
      <c r="S17" s="99"/>
      <c r="T17" s="99"/>
      <c r="U17" s="99"/>
      <c r="V17" s="99"/>
      <c r="W17" s="99"/>
      <c r="X17" s="99"/>
      <c r="Y17" s="99"/>
      <c r="Z17" s="99"/>
    </row>
    <row r="18" spans="1:26" ht="15.75" customHeight="1">
      <c r="A18" s="95"/>
      <c r="B18" s="95"/>
      <c r="C18" s="97"/>
      <c r="D18" s="97"/>
      <c r="E18" s="97"/>
      <c r="F18" s="97"/>
      <c r="G18" s="97"/>
      <c r="H18" s="97"/>
      <c r="I18" s="97"/>
      <c r="J18" s="98"/>
      <c r="K18" s="98"/>
      <c r="L18" s="98"/>
      <c r="M18" s="97"/>
      <c r="N18" s="97"/>
      <c r="O18" s="97"/>
      <c r="P18" s="97"/>
      <c r="Q18" s="99"/>
      <c r="R18" s="99"/>
      <c r="S18" s="99"/>
      <c r="T18" s="99"/>
      <c r="U18" s="99"/>
      <c r="V18" s="99"/>
      <c r="W18" s="99"/>
      <c r="X18" s="99"/>
      <c r="Y18" s="99"/>
      <c r="Z18" s="99"/>
    </row>
    <row r="19" spans="1:26" ht="15.75" customHeight="1">
      <c r="A19" s="95"/>
      <c r="B19" s="95"/>
      <c r="C19" s="97"/>
      <c r="D19" s="97"/>
      <c r="E19" s="97"/>
      <c r="F19" s="97"/>
      <c r="G19" s="97"/>
      <c r="H19" s="97"/>
      <c r="I19" s="97"/>
      <c r="J19" s="98"/>
      <c r="K19" s="98"/>
      <c r="L19" s="98"/>
      <c r="M19" s="97"/>
      <c r="N19" s="97"/>
      <c r="O19" s="97"/>
      <c r="P19" s="97"/>
      <c r="Q19" s="99"/>
      <c r="R19" s="99"/>
      <c r="S19" s="99"/>
      <c r="T19" s="99"/>
      <c r="U19" s="99"/>
      <c r="V19" s="99"/>
      <c r="W19" s="99"/>
      <c r="X19" s="99"/>
      <c r="Y19" s="99"/>
      <c r="Z19" s="99"/>
    </row>
    <row r="20" spans="1:26" ht="15.75" customHeight="1">
      <c r="A20" s="95"/>
      <c r="B20" s="95"/>
      <c r="C20" s="97"/>
      <c r="D20" s="97"/>
      <c r="E20" s="97"/>
      <c r="F20" s="97"/>
      <c r="G20" s="97"/>
      <c r="H20" s="97"/>
      <c r="I20" s="97"/>
      <c r="J20" s="98"/>
      <c r="K20" s="98"/>
      <c r="L20" s="98"/>
      <c r="M20" s="97"/>
      <c r="N20" s="97"/>
      <c r="O20" s="97"/>
      <c r="P20" s="97"/>
      <c r="Q20" s="99"/>
      <c r="R20" s="99"/>
      <c r="S20" s="99"/>
      <c r="T20" s="99"/>
      <c r="U20" s="99"/>
      <c r="V20" s="99"/>
      <c r="W20" s="99"/>
      <c r="X20" s="99"/>
      <c r="Y20" s="99"/>
      <c r="Z20" s="99"/>
    </row>
    <row r="21" spans="1:26" ht="15.75" customHeight="1">
      <c r="A21" s="95"/>
      <c r="B21" s="95"/>
      <c r="C21" s="97"/>
      <c r="D21" s="97"/>
      <c r="E21" s="97"/>
      <c r="F21" s="97"/>
      <c r="G21" s="97"/>
      <c r="H21" s="97"/>
      <c r="I21" s="97"/>
      <c r="J21" s="98"/>
      <c r="K21" s="98"/>
      <c r="L21" s="98"/>
      <c r="M21" s="97"/>
      <c r="N21" s="97"/>
      <c r="O21" s="97"/>
      <c r="P21" s="97"/>
      <c r="Q21" s="99"/>
      <c r="R21" s="99"/>
      <c r="S21" s="99"/>
      <c r="T21" s="99"/>
      <c r="U21" s="99"/>
      <c r="V21" s="99"/>
      <c r="W21" s="99"/>
      <c r="X21" s="99"/>
      <c r="Y21" s="99"/>
      <c r="Z21" s="99"/>
    </row>
    <row r="22" spans="1:26" ht="15.75" customHeight="1">
      <c r="A22" s="95"/>
      <c r="B22" s="95"/>
      <c r="C22" s="97"/>
      <c r="D22" s="97"/>
      <c r="E22" s="97"/>
      <c r="F22" s="97"/>
      <c r="G22" s="97"/>
      <c r="H22" s="97"/>
      <c r="I22" s="97"/>
      <c r="J22" s="98"/>
      <c r="K22" s="98"/>
      <c r="L22" s="98"/>
      <c r="M22" s="97"/>
      <c r="N22" s="97"/>
      <c r="O22" s="97"/>
      <c r="P22" s="97"/>
      <c r="Q22" s="99"/>
      <c r="R22" s="99"/>
      <c r="S22" s="99"/>
      <c r="T22" s="99"/>
      <c r="U22" s="99"/>
      <c r="V22" s="99"/>
      <c r="W22" s="99"/>
      <c r="X22" s="99"/>
      <c r="Y22" s="99"/>
      <c r="Z22" s="99"/>
    </row>
    <row r="23" spans="1:26" ht="15.75" customHeight="1">
      <c r="A23" s="95"/>
      <c r="B23" s="95"/>
      <c r="C23" s="97"/>
      <c r="D23" s="97"/>
      <c r="E23" s="97"/>
      <c r="F23" s="97"/>
      <c r="G23" s="97"/>
      <c r="H23" s="97"/>
      <c r="I23" s="97"/>
      <c r="J23" s="98"/>
      <c r="K23" s="98"/>
      <c r="L23" s="98"/>
      <c r="M23" s="97"/>
      <c r="N23" s="97"/>
      <c r="O23" s="97"/>
      <c r="P23" s="97"/>
      <c r="Q23" s="99"/>
      <c r="R23" s="99"/>
      <c r="S23" s="99"/>
      <c r="T23" s="99"/>
      <c r="U23" s="99"/>
      <c r="V23" s="99"/>
      <c r="W23" s="99"/>
      <c r="X23" s="99"/>
      <c r="Y23" s="99"/>
      <c r="Z23" s="99"/>
    </row>
    <row r="24" spans="1:26" ht="15.75" customHeight="1">
      <c r="A24" s="95"/>
      <c r="B24" s="95"/>
      <c r="C24" s="97"/>
      <c r="D24" s="97"/>
      <c r="E24" s="97"/>
      <c r="F24" s="97"/>
      <c r="G24" s="97"/>
      <c r="H24" s="97"/>
      <c r="I24" s="97"/>
      <c r="J24" s="98"/>
      <c r="K24" s="98"/>
      <c r="L24" s="98"/>
      <c r="M24" s="97"/>
      <c r="N24" s="97"/>
      <c r="O24" s="97"/>
      <c r="P24" s="97"/>
      <c r="Q24" s="99"/>
      <c r="R24" s="99"/>
      <c r="S24" s="99"/>
      <c r="T24" s="99"/>
      <c r="U24" s="99"/>
      <c r="V24" s="99"/>
      <c r="W24" s="99"/>
      <c r="X24" s="99"/>
      <c r="Y24" s="99"/>
      <c r="Z24" s="99"/>
    </row>
    <row r="25" spans="1:26" ht="15.75" customHeight="1">
      <c r="A25" s="95"/>
      <c r="B25" s="95"/>
      <c r="C25" s="97"/>
      <c r="D25" s="97"/>
      <c r="E25" s="97"/>
      <c r="F25" s="97"/>
      <c r="G25" s="97"/>
      <c r="H25" s="97"/>
      <c r="I25" s="97"/>
      <c r="J25" s="98"/>
      <c r="K25" s="98"/>
      <c r="L25" s="98"/>
      <c r="M25" s="97"/>
      <c r="N25" s="97"/>
      <c r="O25" s="97"/>
      <c r="P25" s="97"/>
      <c r="Q25" s="99"/>
      <c r="R25" s="99"/>
      <c r="S25" s="99"/>
      <c r="T25" s="99"/>
      <c r="U25" s="99"/>
      <c r="V25" s="99"/>
      <c r="W25" s="99"/>
      <c r="X25" s="99"/>
      <c r="Y25" s="99"/>
      <c r="Z25" s="99"/>
    </row>
    <row r="26" spans="1:26" ht="15.75" customHeight="1">
      <c r="A26" s="95"/>
      <c r="B26" s="95"/>
      <c r="C26" s="97"/>
      <c r="D26" s="97"/>
      <c r="E26" s="97"/>
      <c r="F26" s="97"/>
      <c r="G26" s="97"/>
      <c r="H26" s="97"/>
      <c r="I26" s="97"/>
      <c r="J26" s="98"/>
      <c r="K26" s="98"/>
      <c r="L26" s="98"/>
      <c r="M26" s="97"/>
      <c r="N26" s="97"/>
      <c r="O26" s="97"/>
      <c r="P26" s="97"/>
      <c r="Q26" s="99"/>
      <c r="R26" s="99"/>
      <c r="S26" s="99"/>
      <c r="T26" s="99"/>
      <c r="U26" s="99"/>
      <c r="V26" s="99"/>
      <c r="W26" s="99"/>
      <c r="X26" s="99"/>
      <c r="Y26" s="99"/>
      <c r="Z26" s="99"/>
    </row>
    <row r="27" spans="1:26" ht="15.75" customHeight="1">
      <c r="A27" s="95"/>
      <c r="B27" s="95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9"/>
      <c r="R27" s="99"/>
      <c r="S27" s="99"/>
      <c r="T27" s="99"/>
      <c r="U27" s="99"/>
      <c r="V27" s="99"/>
      <c r="W27" s="99"/>
      <c r="X27" s="99"/>
      <c r="Y27" s="99"/>
      <c r="Z27" s="99"/>
    </row>
    <row r="28" spans="1:26" ht="15.75" customHeight="1">
      <c r="A28" s="95"/>
      <c r="B28" s="95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9"/>
      <c r="R28" s="99"/>
      <c r="S28" s="99"/>
      <c r="T28" s="99"/>
      <c r="U28" s="99"/>
      <c r="V28" s="99"/>
      <c r="W28" s="99"/>
      <c r="X28" s="99"/>
      <c r="Y28" s="99"/>
      <c r="Z28" s="99"/>
    </row>
    <row r="29" spans="1:26" ht="15.75" customHeight="1">
      <c r="A29" s="95"/>
      <c r="B29" s="95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9"/>
      <c r="R29" s="99"/>
      <c r="S29" s="99"/>
      <c r="T29" s="99"/>
      <c r="U29" s="99"/>
      <c r="V29" s="99"/>
      <c r="W29" s="99"/>
      <c r="X29" s="99"/>
      <c r="Y29" s="99"/>
      <c r="Z29" s="99"/>
    </row>
    <row r="30" spans="1:26" ht="15.75" customHeight="1">
      <c r="A30" s="95"/>
      <c r="B30" s="95"/>
      <c r="C30" s="97"/>
      <c r="D30" s="97"/>
      <c r="E30" s="97"/>
      <c r="F30" s="97"/>
      <c r="G30" s="97"/>
      <c r="H30" s="97"/>
      <c r="I30" s="97"/>
      <c r="J30" s="95"/>
      <c r="K30" s="95"/>
      <c r="L30" s="95"/>
      <c r="M30" s="95"/>
      <c r="N30" s="95"/>
      <c r="O30" s="95"/>
      <c r="P30" s="95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spans="1:26" ht="15.75" customHeight="1">
      <c r="A31" s="95"/>
      <c r="B31" s="95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9"/>
      <c r="R31" s="99"/>
      <c r="S31" s="99"/>
      <c r="T31" s="99"/>
      <c r="U31" s="99"/>
      <c r="V31" s="99"/>
      <c r="W31" s="99"/>
      <c r="X31" s="99"/>
      <c r="Y31" s="99"/>
      <c r="Z31" s="99"/>
    </row>
    <row r="32" spans="1:26" ht="15.75" customHeight="1">
      <c r="A32" s="95"/>
      <c r="B32" s="95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9"/>
      <c r="R32" s="99"/>
      <c r="S32" s="99"/>
      <c r="T32" s="99"/>
      <c r="U32" s="99"/>
      <c r="V32" s="99"/>
      <c r="W32" s="99"/>
      <c r="X32" s="99"/>
      <c r="Y32" s="99"/>
      <c r="Z32" s="99"/>
    </row>
    <row r="33" spans="1:26" ht="15.75" customHeight="1">
      <c r="A33" s="95"/>
      <c r="B33" s="95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9"/>
      <c r="R33" s="99"/>
      <c r="S33" s="99"/>
      <c r="T33" s="99"/>
      <c r="U33" s="99"/>
      <c r="V33" s="99"/>
      <c r="W33" s="99"/>
      <c r="X33" s="99"/>
      <c r="Y33" s="99"/>
      <c r="Z33" s="99"/>
    </row>
    <row r="34" spans="1:26" ht="15.75" customHeight="1">
      <c r="A34" s="95"/>
      <c r="B34" s="95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9"/>
      <c r="R34" s="99"/>
      <c r="S34" s="99"/>
      <c r="T34" s="99"/>
      <c r="U34" s="99"/>
      <c r="V34" s="99"/>
      <c r="W34" s="99"/>
      <c r="X34" s="99"/>
      <c r="Y34" s="99"/>
      <c r="Z34" s="99"/>
    </row>
    <row r="35" spans="1:26" ht="15.75" customHeight="1">
      <c r="A35" s="95"/>
      <c r="B35" s="95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9"/>
      <c r="R35" s="99"/>
      <c r="S35" s="99"/>
      <c r="T35" s="99"/>
      <c r="U35" s="99"/>
      <c r="V35" s="99"/>
      <c r="W35" s="99"/>
      <c r="X35" s="99"/>
      <c r="Y35" s="99"/>
      <c r="Z35" s="99"/>
    </row>
    <row r="36" spans="1:26" ht="15.75" customHeight="1">
      <c r="A36" s="95"/>
      <c r="B36" s="95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9"/>
      <c r="R36" s="99"/>
      <c r="S36" s="99"/>
      <c r="T36" s="99"/>
      <c r="U36" s="99"/>
      <c r="V36" s="99"/>
      <c r="W36" s="99"/>
      <c r="X36" s="99"/>
      <c r="Y36" s="99"/>
      <c r="Z36" s="99"/>
    </row>
    <row r="37" spans="1:26" ht="15.75" customHeight="1">
      <c r="A37" s="95"/>
      <c r="B37" s="95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9"/>
      <c r="R37" s="99"/>
      <c r="S37" s="99"/>
      <c r="T37" s="99"/>
      <c r="U37" s="99"/>
      <c r="V37" s="99"/>
      <c r="W37" s="99"/>
      <c r="X37" s="99"/>
      <c r="Y37" s="99"/>
      <c r="Z37" s="99"/>
    </row>
    <row r="38" spans="1:26" ht="15.75" customHeight="1">
      <c r="A38" s="95"/>
      <c r="B38" s="95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9"/>
      <c r="R38" s="99"/>
      <c r="S38" s="99"/>
      <c r="T38" s="99"/>
      <c r="U38" s="99"/>
      <c r="V38" s="99"/>
      <c r="W38" s="99"/>
      <c r="X38" s="99"/>
      <c r="Y38" s="99"/>
      <c r="Z38" s="99"/>
    </row>
    <row r="39" spans="1:26" ht="15.75" customHeight="1">
      <c r="A39" s="95"/>
      <c r="B39" s="95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9"/>
      <c r="R39" s="99"/>
      <c r="S39" s="99"/>
      <c r="T39" s="99"/>
      <c r="U39" s="99"/>
      <c r="V39" s="99"/>
      <c r="W39" s="99"/>
      <c r="X39" s="99"/>
      <c r="Y39" s="99"/>
      <c r="Z39" s="99"/>
    </row>
    <row r="40" spans="1:26" ht="15.75" customHeight="1">
      <c r="A40" s="95"/>
      <c r="B40" s="95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9"/>
      <c r="R40" s="99"/>
      <c r="S40" s="99"/>
      <c r="T40" s="99"/>
      <c r="U40" s="99"/>
      <c r="V40" s="99"/>
      <c r="W40" s="99"/>
      <c r="X40" s="99"/>
      <c r="Y40" s="99"/>
      <c r="Z40" s="99"/>
    </row>
    <row r="41" spans="1:26" ht="15.75" customHeight="1">
      <c r="A41" s="95"/>
      <c r="B41" s="95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9"/>
      <c r="R41" s="99"/>
      <c r="S41" s="99"/>
      <c r="T41" s="99"/>
      <c r="U41" s="99"/>
      <c r="V41" s="99"/>
      <c r="W41" s="99"/>
      <c r="X41" s="99"/>
      <c r="Y41" s="99"/>
      <c r="Z41" s="99"/>
    </row>
    <row r="42" spans="1:26" ht="15.75" customHeight="1">
      <c r="A42" s="95"/>
      <c r="B42" s="95"/>
      <c r="C42" s="97"/>
      <c r="D42" s="97"/>
      <c r="E42" s="97"/>
      <c r="F42" s="97"/>
      <c r="G42" s="97"/>
      <c r="H42" s="97"/>
      <c r="I42" s="97"/>
      <c r="J42" s="95"/>
      <c r="K42" s="95"/>
      <c r="L42" s="95"/>
      <c r="M42" s="95"/>
      <c r="N42" s="95"/>
      <c r="O42" s="95"/>
      <c r="P42" s="95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spans="1:26" ht="15.75" customHeight="1">
      <c r="A43" s="95"/>
      <c r="B43" s="95"/>
      <c r="C43" s="97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9"/>
      <c r="R43" s="99"/>
      <c r="S43" s="99"/>
      <c r="T43" s="99"/>
      <c r="U43" s="99"/>
      <c r="V43" s="99"/>
      <c r="W43" s="99"/>
      <c r="X43" s="99"/>
      <c r="Y43" s="99"/>
      <c r="Z43" s="99"/>
    </row>
    <row r="44" spans="1:26" ht="15.75" customHeight="1">
      <c r="A44" s="95"/>
      <c r="B44" s="95"/>
      <c r="C44" s="97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9"/>
      <c r="R44" s="99"/>
      <c r="S44" s="99"/>
      <c r="T44" s="99"/>
      <c r="U44" s="99"/>
      <c r="V44" s="99"/>
      <c r="W44" s="99"/>
      <c r="X44" s="99"/>
      <c r="Y44" s="99"/>
      <c r="Z44" s="99"/>
    </row>
    <row r="45" spans="1:26" ht="15.75" customHeight="1">
      <c r="A45" s="95"/>
      <c r="B45" s="95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9"/>
      <c r="R45" s="99"/>
      <c r="S45" s="99"/>
      <c r="T45" s="99"/>
      <c r="U45" s="99"/>
      <c r="V45" s="99"/>
      <c r="W45" s="99"/>
      <c r="X45" s="99"/>
      <c r="Y45" s="99"/>
      <c r="Z45" s="99"/>
    </row>
    <row r="46" spans="1:26" ht="15.75" customHeight="1">
      <c r="A46" s="95"/>
      <c r="B46" s="95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9"/>
      <c r="R46" s="99"/>
      <c r="S46" s="99"/>
      <c r="T46" s="99"/>
      <c r="U46" s="99"/>
      <c r="V46" s="99"/>
      <c r="W46" s="99"/>
      <c r="X46" s="99"/>
      <c r="Y46" s="99"/>
      <c r="Z46" s="99"/>
    </row>
    <row r="47" spans="1:26" ht="15.75" customHeight="1">
      <c r="A47" s="95"/>
      <c r="B47" s="95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9"/>
      <c r="R47" s="99"/>
      <c r="S47" s="99"/>
      <c r="T47" s="99"/>
      <c r="U47" s="99"/>
      <c r="V47" s="99"/>
      <c r="W47" s="99"/>
      <c r="X47" s="99"/>
      <c r="Y47" s="99"/>
      <c r="Z47" s="99"/>
    </row>
    <row r="48" spans="1:26" ht="15.75" customHeight="1">
      <c r="A48" s="95"/>
      <c r="B48" s="95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9"/>
      <c r="R48" s="99"/>
      <c r="S48" s="99"/>
      <c r="T48" s="99"/>
      <c r="U48" s="99"/>
      <c r="V48" s="99"/>
      <c r="W48" s="99"/>
      <c r="X48" s="99"/>
      <c r="Y48" s="99"/>
      <c r="Z48" s="99"/>
    </row>
    <row r="49" spans="1:26" ht="15.75" customHeight="1">
      <c r="A49" s="100"/>
      <c r="B49" s="95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9"/>
      <c r="R49" s="99"/>
      <c r="S49" s="99"/>
      <c r="T49" s="99"/>
      <c r="U49" s="99"/>
      <c r="V49" s="99"/>
      <c r="W49" s="99"/>
      <c r="X49" s="99"/>
      <c r="Y49" s="99"/>
      <c r="Z49" s="99"/>
    </row>
    <row r="50" spans="1:26" ht="15.75" customHeight="1">
      <c r="A50" s="100"/>
      <c r="B50" s="95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9"/>
      <c r="R50" s="99"/>
      <c r="S50" s="99"/>
      <c r="T50" s="99"/>
      <c r="U50" s="99"/>
      <c r="V50" s="99"/>
      <c r="W50" s="99"/>
      <c r="X50" s="99"/>
      <c r="Y50" s="99"/>
      <c r="Z50" s="99"/>
    </row>
    <row r="51" spans="1:26" ht="15.75" customHeight="1">
      <c r="A51" s="100"/>
      <c r="B51" s="95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9"/>
      <c r="R51" s="99"/>
      <c r="S51" s="99"/>
      <c r="T51" s="99"/>
      <c r="U51" s="99"/>
      <c r="V51" s="99"/>
      <c r="W51" s="99"/>
      <c r="X51" s="99"/>
      <c r="Y51" s="99"/>
      <c r="Z51" s="99"/>
    </row>
    <row r="52" spans="1:26" ht="15.75" customHeight="1">
      <c r="A52" s="100"/>
      <c r="B52" s="95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9"/>
      <c r="R52" s="99"/>
      <c r="S52" s="99"/>
      <c r="T52" s="99"/>
      <c r="U52" s="99"/>
      <c r="V52" s="99"/>
      <c r="W52" s="99"/>
      <c r="X52" s="99"/>
      <c r="Y52" s="99"/>
      <c r="Z52" s="99"/>
    </row>
    <row r="53" spans="1:26" ht="15.75" customHeight="1">
      <c r="A53" s="100"/>
      <c r="B53" s="95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9"/>
      <c r="R53" s="99"/>
      <c r="S53" s="99"/>
      <c r="T53" s="99"/>
      <c r="U53" s="99"/>
      <c r="V53" s="99"/>
      <c r="W53" s="99"/>
      <c r="X53" s="99"/>
      <c r="Y53" s="99"/>
      <c r="Z53" s="99"/>
    </row>
    <row r="54" spans="1:26" ht="15.75" customHeight="1">
      <c r="A54" s="100"/>
      <c r="B54" s="95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9"/>
      <c r="R54" s="99"/>
      <c r="S54" s="99"/>
      <c r="T54" s="99"/>
      <c r="U54" s="99"/>
      <c r="V54" s="99"/>
      <c r="W54" s="99"/>
      <c r="X54" s="99"/>
      <c r="Y54" s="99"/>
      <c r="Z54" s="99"/>
    </row>
    <row r="55" spans="1:26" ht="15.75" customHeight="1">
      <c r="A55" s="100"/>
      <c r="B55" s="95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9"/>
      <c r="R55" s="99"/>
      <c r="S55" s="99"/>
      <c r="T55" s="99"/>
      <c r="U55" s="99"/>
      <c r="V55" s="99"/>
      <c r="W55" s="99"/>
      <c r="X55" s="99"/>
      <c r="Y55" s="99"/>
      <c r="Z55" s="99"/>
    </row>
    <row r="56" spans="1:26" ht="15.75" customHeight="1">
      <c r="A56" s="100"/>
      <c r="B56" s="95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9"/>
      <c r="R56" s="99"/>
      <c r="S56" s="99"/>
      <c r="T56" s="99"/>
      <c r="U56" s="99"/>
      <c r="V56" s="99"/>
      <c r="W56" s="99"/>
      <c r="X56" s="99"/>
      <c r="Y56" s="99"/>
      <c r="Z56" s="99"/>
    </row>
    <row r="57" spans="1:26" ht="15.75" customHeight="1">
      <c r="A57" s="100"/>
      <c r="B57" s="95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9"/>
      <c r="R57" s="99"/>
      <c r="S57" s="99"/>
      <c r="T57" s="99"/>
      <c r="U57" s="99"/>
      <c r="V57" s="99"/>
      <c r="W57" s="99"/>
      <c r="X57" s="99"/>
      <c r="Y57" s="99"/>
      <c r="Z57" s="99"/>
    </row>
    <row r="58" spans="1:26" ht="15.75" customHeight="1">
      <c r="A58" s="100"/>
      <c r="B58" s="95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9"/>
      <c r="R58" s="99"/>
      <c r="S58" s="99"/>
      <c r="T58" s="99"/>
      <c r="U58" s="99"/>
      <c r="V58" s="99"/>
      <c r="W58" s="99"/>
      <c r="X58" s="99"/>
      <c r="Y58" s="99"/>
      <c r="Z58" s="99"/>
    </row>
    <row r="59" spans="1:26" ht="15.75" customHeight="1">
      <c r="A59" s="100"/>
      <c r="B59" s="95"/>
      <c r="C59" s="97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9"/>
      <c r="R59" s="99"/>
      <c r="S59" s="99"/>
      <c r="T59" s="99"/>
      <c r="U59" s="99"/>
      <c r="V59" s="99"/>
      <c r="W59" s="99"/>
      <c r="X59" s="99"/>
      <c r="Y59" s="99"/>
      <c r="Z59" s="99"/>
    </row>
    <row r="60" spans="1:26" ht="15.75" customHeight="1">
      <c r="A60" s="100"/>
      <c r="B60" s="95"/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9"/>
      <c r="R60" s="99"/>
      <c r="S60" s="99"/>
      <c r="T60" s="99"/>
      <c r="U60" s="99"/>
      <c r="V60" s="99"/>
      <c r="W60" s="99"/>
      <c r="X60" s="99"/>
      <c r="Y60" s="99"/>
      <c r="Z60" s="99"/>
    </row>
    <row r="61" spans="1:26" ht="15.75" customHeight="1">
      <c r="A61" s="100"/>
      <c r="B61" s="95"/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9"/>
      <c r="R61" s="99"/>
      <c r="S61" s="99"/>
      <c r="T61" s="99"/>
      <c r="U61" s="99"/>
      <c r="V61" s="99"/>
      <c r="W61" s="99"/>
      <c r="X61" s="99"/>
      <c r="Y61" s="99"/>
      <c r="Z61" s="99"/>
    </row>
    <row r="62" spans="1:26" ht="15.75" customHeight="1">
      <c r="A62" s="100"/>
      <c r="B62" s="95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9"/>
      <c r="R62" s="99"/>
      <c r="S62" s="99"/>
      <c r="T62" s="99"/>
      <c r="U62" s="99"/>
      <c r="V62" s="99"/>
      <c r="W62" s="99"/>
      <c r="X62" s="99"/>
      <c r="Y62" s="99"/>
      <c r="Z62" s="99"/>
    </row>
    <row r="63" spans="1:26" ht="15.75" customHeight="1">
      <c r="A63" s="100"/>
      <c r="B63" s="95"/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9"/>
      <c r="R63" s="99"/>
      <c r="S63" s="99"/>
      <c r="T63" s="99"/>
      <c r="U63" s="99"/>
      <c r="V63" s="99"/>
      <c r="W63" s="99"/>
      <c r="X63" s="99"/>
      <c r="Y63" s="99"/>
      <c r="Z63" s="99"/>
    </row>
    <row r="64" spans="1:26" ht="15.75" customHeight="1">
      <c r="A64" s="100"/>
      <c r="B64" s="95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9"/>
      <c r="R64" s="99"/>
      <c r="S64" s="99"/>
      <c r="T64" s="99"/>
      <c r="U64" s="99"/>
      <c r="V64" s="99"/>
      <c r="W64" s="99"/>
      <c r="X64" s="99"/>
      <c r="Y64" s="99"/>
      <c r="Z64" s="99"/>
    </row>
    <row r="65" spans="1:26" ht="15.75" customHeight="1">
      <c r="A65" s="100"/>
      <c r="B65" s="95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9"/>
      <c r="R65" s="99"/>
      <c r="S65" s="99"/>
      <c r="T65" s="99"/>
      <c r="U65" s="99"/>
      <c r="V65" s="99"/>
      <c r="W65" s="99"/>
      <c r="X65" s="99"/>
      <c r="Y65" s="99"/>
      <c r="Z65" s="99"/>
    </row>
    <row r="66" spans="1:26" ht="15.75" customHeight="1">
      <c r="A66" s="100"/>
      <c r="B66" s="95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9"/>
      <c r="R66" s="99"/>
      <c r="S66" s="99"/>
      <c r="T66" s="99"/>
      <c r="U66" s="99"/>
      <c r="V66" s="99"/>
      <c r="W66" s="99"/>
      <c r="X66" s="99"/>
      <c r="Y66" s="99"/>
      <c r="Z66" s="99"/>
    </row>
    <row r="67" spans="1:26" ht="15.75" customHeight="1">
      <c r="A67" s="100"/>
      <c r="B67" s="95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9"/>
      <c r="R67" s="99"/>
      <c r="S67" s="99"/>
      <c r="T67" s="99"/>
      <c r="U67" s="99"/>
      <c r="V67" s="99"/>
      <c r="W67" s="99"/>
      <c r="X67" s="99"/>
      <c r="Y67" s="99"/>
      <c r="Z67" s="99"/>
    </row>
    <row r="68" spans="1:26" ht="15.75" customHeight="1">
      <c r="A68" s="100"/>
      <c r="B68" s="95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9"/>
      <c r="R68" s="99"/>
      <c r="S68" s="99"/>
      <c r="T68" s="99"/>
      <c r="U68" s="99"/>
      <c r="V68" s="99"/>
      <c r="W68" s="99"/>
      <c r="X68" s="99"/>
      <c r="Y68" s="99"/>
      <c r="Z68" s="99"/>
    </row>
    <row r="69" spans="1:26" ht="15.75" customHeight="1">
      <c r="A69" s="100"/>
      <c r="B69" s="95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9"/>
      <c r="R69" s="99"/>
      <c r="S69" s="99"/>
      <c r="T69" s="99"/>
      <c r="U69" s="99"/>
      <c r="V69" s="99"/>
      <c r="W69" s="99"/>
      <c r="X69" s="99"/>
      <c r="Y69" s="99"/>
      <c r="Z69" s="99"/>
    </row>
    <row r="70" spans="1:26" ht="15.75" customHeight="1">
      <c r="A70" s="100"/>
      <c r="B70" s="95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9"/>
      <c r="R70" s="99"/>
      <c r="S70" s="99"/>
      <c r="T70" s="99"/>
      <c r="U70" s="99"/>
      <c r="V70" s="99"/>
      <c r="W70" s="99"/>
      <c r="X70" s="99"/>
      <c r="Y70" s="99"/>
      <c r="Z70" s="99"/>
    </row>
    <row r="71" spans="1:26" ht="15.75" customHeight="1">
      <c r="A71" s="100"/>
      <c r="B71" s="95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9"/>
      <c r="R71" s="99"/>
      <c r="S71" s="99"/>
      <c r="T71" s="99"/>
      <c r="U71" s="99"/>
      <c r="V71" s="99"/>
      <c r="W71" s="99"/>
      <c r="X71" s="99"/>
      <c r="Y71" s="99"/>
      <c r="Z71" s="99"/>
    </row>
    <row r="72" spans="1:26" ht="15.75" customHeight="1">
      <c r="A72" s="100"/>
      <c r="B72" s="95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9"/>
      <c r="R72" s="99"/>
      <c r="S72" s="99"/>
      <c r="T72" s="99"/>
      <c r="U72" s="99"/>
      <c r="V72" s="99"/>
      <c r="W72" s="99"/>
      <c r="X72" s="99"/>
      <c r="Y72" s="99"/>
      <c r="Z72" s="99"/>
    </row>
    <row r="73" spans="1:26" ht="15.75" customHeight="1">
      <c r="A73" s="100"/>
      <c r="B73" s="95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9"/>
      <c r="R73" s="99"/>
      <c r="S73" s="99"/>
      <c r="T73" s="99"/>
      <c r="U73" s="99"/>
      <c r="V73" s="99"/>
      <c r="W73" s="99"/>
      <c r="X73" s="99"/>
      <c r="Y73" s="99"/>
      <c r="Z73" s="99"/>
    </row>
    <row r="74" spans="1:26" ht="15.75" customHeight="1">
      <c r="A74" s="100"/>
      <c r="B74" s="95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9"/>
      <c r="R74" s="99"/>
      <c r="S74" s="99"/>
      <c r="T74" s="99"/>
      <c r="U74" s="99"/>
      <c r="V74" s="99"/>
      <c r="W74" s="99"/>
      <c r="X74" s="99"/>
      <c r="Y74" s="99"/>
      <c r="Z74" s="99"/>
    </row>
    <row r="75" spans="1:26" ht="15.75" customHeight="1">
      <c r="A75" s="100"/>
      <c r="B75" s="95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9"/>
      <c r="R75" s="99"/>
      <c r="S75" s="99"/>
      <c r="T75" s="99"/>
      <c r="U75" s="99"/>
      <c r="V75" s="99"/>
      <c r="W75" s="99"/>
      <c r="X75" s="99"/>
      <c r="Y75" s="99"/>
      <c r="Z75" s="99"/>
    </row>
    <row r="76" spans="1:26" ht="15.75" customHeight="1">
      <c r="A76" s="100"/>
      <c r="B76" s="95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9"/>
      <c r="R76" s="99"/>
      <c r="S76" s="99"/>
      <c r="T76" s="99"/>
      <c r="U76" s="99"/>
      <c r="V76" s="99"/>
      <c r="W76" s="99"/>
      <c r="X76" s="99"/>
      <c r="Y76" s="99"/>
      <c r="Z76" s="99"/>
    </row>
    <row r="77" spans="1:26" ht="15.75" customHeight="1">
      <c r="A77" s="100"/>
      <c r="B77" s="95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9"/>
      <c r="R77" s="99"/>
      <c r="S77" s="99"/>
      <c r="T77" s="99"/>
      <c r="U77" s="99"/>
      <c r="V77" s="99"/>
      <c r="W77" s="99"/>
      <c r="X77" s="99"/>
      <c r="Y77" s="99"/>
      <c r="Z77" s="99"/>
    </row>
    <row r="78" spans="1:26" ht="15.75" customHeight="1">
      <c r="A78" s="100"/>
      <c r="B78" s="95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9"/>
      <c r="R78" s="99"/>
      <c r="S78" s="99"/>
      <c r="T78" s="99"/>
      <c r="U78" s="99"/>
      <c r="V78" s="99"/>
      <c r="W78" s="99"/>
      <c r="X78" s="99"/>
      <c r="Y78" s="99"/>
      <c r="Z78" s="99"/>
    </row>
    <row r="79" spans="1:26" ht="15.75" customHeight="1">
      <c r="A79" s="100"/>
      <c r="B79" s="95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9"/>
      <c r="R79" s="99"/>
      <c r="S79" s="99"/>
      <c r="T79" s="99"/>
      <c r="U79" s="99"/>
      <c r="V79" s="99"/>
      <c r="W79" s="99"/>
      <c r="X79" s="99"/>
      <c r="Y79" s="99"/>
      <c r="Z79" s="99"/>
    </row>
    <row r="80" spans="1:26" ht="15.75" customHeight="1">
      <c r="A80" s="100"/>
      <c r="B80" s="95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9"/>
      <c r="R80" s="99"/>
      <c r="S80" s="99"/>
      <c r="T80" s="99"/>
      <c r="U80" s="99"/>
      <c r="V80" s="99"/>
      <c r="W80" s="99"/>
      <c r="X80" s="99"/>
      <c r="Y80" s="99"/>
      <c r="Z80" s="99"/>
    </row>
    <row r="81" spans="1:26" ht="15.75" customHeight="1">
      <c r="A81" s="100"/>
      <c r="B81" s="95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9"/>
      <c r="R81" s="99"/>
      <c r="S81" s="99"/>
      <c r="T81" s="99"/>
      <c r="U81" s="99"/>
      <c r="V81" s="99"/>
      <c r="W81" s="99"/>
      <c r="X81" s="99"/>
      <c r="Y81" s="99"/>
      <c r="Z81" s="99"/>
    </row>
    <row r="82" spans="1:26" ht="15.75" customHeight="1">
      <c r="A82" s="100"/>
      <c r="B82" s="95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9"/>
      <c r="R82" s="99"/>
      <c r="S82" s="99"/>
      <c r="T82" s="99"/>
      <c r="U82" s="99"/>
      <c r="V82" s="99"/>
      <c r="W82" s="99"/>
      <c r="X82" s="99"/>
      <c r="Y82" s="99"/>
      <c r="Z82" s="99"/>
    </row>
    <row r="83" spans="1:26" ht="15.75" customHeight="1">
      <c r="A83" s="100"/>
      <c r="B83" s="95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9"/>
      <c r="R83" s="99"/>
      <c r="S83" s="99"/>
      <c r="T83" s="99"/>
      <c r="U83" s="99"/>
      <c r="V83" s="99"/>
      <c r="W83" s="99"/>
      <c r="X83" s="99"/>
      <c r="Y83" s="99"/>
      <c r="Z83" s="99"/>
    </row>
    <row r="84" spans="1:26" ht="15.75" customHeight="1">
      <c r="A84" s="100"/>
      <c r="B84" s="95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9"/>
      <c r="R84" s="99"/>
      <c r="S84" s="99"/>
      <c r="T84" s="99"/>
      <c r="U84" s="99"/>
      <c r="V84" s="99"/>
      <c r="W84" s="99"/>
      <c r="X84" s="99"/>
      <c r="Y84" s="99"/>
      <c r="Z84" s="99"/>
    </row>
    <row r="85" spans="1:26" ht="15.75" customHeight="1">
      <c r="A85" s="100"/>
      <c r="B85" s="95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9"/>
      <c r="R85" s="99"/>
      <c r="S85" s="99"/>
      <c r="T85" s="99"/>
      <c r="U85" s="99"/>
      <c r="V85" s="99"/>
      <c r="W85" s="99"/>
      <c r="X85" s="99"/>
      <c r="Y85" s="99"/>
      <c r="Z85" s="99"/>
    </row>
    <row r="86" spans="1:26" ht="15.75" customHeight="1">
      <c r="A86" s="100"/>
      <c r="B86" s="95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9"/>
      <c r="R86" s="99"/>
      <c r="S86" s="99"/>
      <c r="T86" s="99"/>
      <c r="U86" s="99"/>
      <c r="V86" s="99"/>
      <c r="W86" s="99"/>
      <c r="X86" s="99"/>
      <c r="Y86" s="99"/>
      <c r="Z86" s="99"/>
    </row>
    <row r="87" spans="1:26" ht="15.75" customHeight="1">
      <c r="A87" s="100"/>
      <c r="B87" s="95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9"/>
      <c r="R87" s="99"/>
      <c r="S87" s="99"/>
      <c r="T87" s="99"/>
      <c r="U87" s="99"/>
      <c r="V87" s="99"/>
      <c r="W87" s="99"/>
      <c r="X87" s="99"/>
      <c r="Y87" s="99"/>
      <c r="Z87" s="99"/>
    </row>
    <row r="88" spans="1:26" ht="15.75" customHeight="1">
      <c r="A88" s="100"/>
      <c r="B88" s="95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9"/>
      <c r="R88" s="99"/>
      <c r="S88" s="99"/>
      <c r="T88" s="99"/>
      <c r="U88" s="99"/>
      <c r="V88" s="99"/>
      <c r="W88" s="99"/>
      <c r="X88" s="99"/>
      <c r="Y88" s="99"/>
      <c r="Z88" s="99"/>
    </row>
    <row r="89" spans="1:26" ht="15.75" customHeight="1">
      <c r="A89" s="100"/>
      <c r="B89" s="95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9"/>
      <c r="R89" s="99"/>
      <c r="S89" s="99"/>
      <c r="T89" s="99"/>
      <c r="U89" s="99"/>
      <c r="V89" s="99"/>
      <c r="W89" s="99"/>
      <c r="X89" s="99"/>
      <c r="Y89" s="99"/>
      <c r="Z89" s="99"/>
    </row>
    <row r="90" spans="1:26" ht="15.75" customHeight="1">
      <c r="A90" s="100"/>
      <c r="B90" s="95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9"/>
      <c r="R90" s="99"/>
      <c r="S90" s="99"/>
      <c r="T90" s="99"/>
      <c r="U90" s="99"/>
      <c r="V90" s="99"/>
      <c r="W90" s="99"/>
      <c r="X90" s="99"/>
      <c r="Y90" s="99"/>
      <c r="Z90" s="99"/>
    </row>
    <row r="91" spans="1:26" ht="15.75" customHeight="1">
      <c r="A91" s="101"/>
      <c r="B91" s="96"/>
      <c r="C91" s="99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</row>
    <row r="92" spans="1:26" ht="15.75" customHeight="1">
      <c r="A92" s="101"/>
      <c r="B92" s="96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</row>
    <row r="93" spans="1:26" ht="15.75" customHeight="1">
      <c r="A93" s="101"/>
      <c r="B93" s="96"/>
      <c r="C93" s="99"/>
      <c r="D93" s="99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</row>
    <row r="94" spans="1:26" ht="15.75" customHeight="1">
      <c r="A94" s="101"/>
      <c r="B94" s="96"/>
      <c r="C94" s="99"/>
      <c r="D94" s="99"/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</row>
    <row r="95" spans="1:26" ht="15.75" customHeight="1">
      <c r="A95" s="101"/>
      <c r="B95" s="96"/>
      <c r="C95" s="99"/>
      <c r="D95" s="99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</row>
    <row r="96" spans="1:26" ht="15.75" customHeight="1">
      <c r="A96" s="101"/>
      <c r="B96" s="96"/>
      <c r="C96" s="99"/>
      <c r="D96" s="99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</row>
    <row r="97" spans="1:26" ht="15.75" customHeight="1">
      <c r="A97" s="101"/>
      <c r="B97" s="96"/>
      <c r="C97" s="99"/>
      <c r="D97" s="99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</row>
    <row r="98" spans="1:26" ht="15.75" customHeight="1">
      <c r="A98" s="101"/>
      <c r="B98" s="96"/>
      <c r="C98" s="99"/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</row>
    <row r="99" spans="1:26" ht="15.75" customHeight="1">
      <c r="A99" s="101"/>
      <c r="B99" s="96"/>
      <c r="C99" s="99"/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</row>
    <row r="100" spans="1:26" ht="15.75" customHeight="1">
      <c r="A100" s="103"/>
      <c r="B100" s="104"/>
    </row>
    <row r="101" spans="1:26" ht="15.75" customHeight="1">
      <c r="A101" s="103"/>
      <c r="B101" s="104"/>
    </row>
    <row r="102" spans="1:26" ht="15.75" customHeight="1">
      <c r="A102" s="103"/>
      <c r="B102" s="104"/>
    </row>
    <row r="103" spans="1:26" ht="15.75" customHeight="1">
      <c r="A103" s="103"/>
      <c r="B103" s="104"/>
    </row>
    <row r="104" spans="1:26" ht="15.75" customHeight="1">
      <c r="A104" s="103"/>
      <c r="B104" s="104"/>
    </row>
    <row r="105" spans="1:26" ht="15.75" customHeight="1">
      <c r="A105" s="103"/>
      <c r="B105" s="104"/>
    </row>
    <row r="106" spans="1:26" ht="15.75" customHeight="1">
      <c r="A106" s="103"/>
      <c r="B106" s="104"/>
    </row>
    <row r="107" spans="1:26" ht="15.75" customHeight="1">
      <c r="A107" s="103"/>
      <c r="B107" s="104"/>
    </row>
    <row r="108" spans="1:26" ht="15.75" customHeight="1">
      <c r="A108" s="103"/>
      <c r="B108" s="104"/>
    </row>
    <row r="109" spans="1:26" ht="15.75" customHeight="1">
      <c r="A109" s="103"/>
      <c r="B109" s="104"/>
    </row>
    <row r="110" spans="1:26" ht="15.75" customHeight="1">
      <c r="A110" s="103"/>
      <c r="B110" s="104"/>
    </row>
    <row r="111" spans="1:26" ht="15.75" customHeight="1">
      <c r="A111" s="103"/>
      <c r="B111" s="104"/>
    </row>
    <row r="112" spans="1:26" ht="15.75" customHeight="1">
      <c r="A112" s="103"/>
      <c r="B112" s="104"/>
    </row>
    <row r="113" spans="1:2" ht="15.75" customHeight="1">
      <c r="A113" s="103"/>
      <c r="B113" s="104"/>
    </row>
    <row r="114" spans="1:2" ht="15.75" customHeight="1">
      <c r="A114" s="103"/>
      <c r="B114" s="104"/>
    </row>
    <row r="115" spans="1:2" ht="15.75" customHeight="1">
      <c r="A115" s="103"/>
      <c r="B115" s="104"/>
    </row>
    <row r="116" spans="1:2" ht="15.75" customHeight="1">
      <c r="A116" s="103"/>
      <c r="B116" s="104"/>
    </row>
    <row r="117" spans="1:2" ht="15.75" customHeight="1">
      <c r="A117" s="103"/>
      <c r="B117" s="104"/>
    </row>
    <row r="118" spans="1:2" ht="15.75" customHeight="1">
      <c r="A118" s="103"/>
      <c r="B118" s="104"/>
    </row>
    <row r="119" spans="1:2" ht="15.75" customHeight="1">
      <c r="A119" s="103"/>
      <c r="B119" s="104"/>
    </row>
    <row r="120" spans="1:2" ht="15.75" customHeight="1">
      <c r="A120" s="103"/>
      <c r="B120" s="104"/>
    </row>
    <row r="121" spans="1:2" ht="15.75" customHeight="1">
      <c r="A121" s="103"/>
      <c r="B121" s="104"/>
    </row>
    <row r="122" spans="1:2" ht="15.75" customHeight="1">
      <c r="A122" s="103"/>
      <c r="B122" s="104"/>
    </row>
    <row r="123" spans="1:2" ht="15.75" customHeight="1">
      <c r="A123" s="103"/>
      <c r="B123" s="104"/>
    </row>
    <row r="124" spans="1:2" ht="15.75" customHeight="1">
      <c r="A124" s="103"/>
      <c r="B124" s="104"/>
    </row>
    <row r="125" spans="1:2" ht="15.75" customHeight="1">
      <c r="A125" s="103"/>
      <c r="B125" s="104"/>
    </row>
    <row r="126" spans="1:2" ht="15.75" customHeight="1">
      <c r="A126" s="103"/>
      <c r="B126" s="104"/>
    </row>
    <row r="127" spans="1:2" ht="15.75" customHeight="1">
      <c r="A127" s="103"/>
      <c r="B127" s="104"/>
    </row>
    <row r="128" spans="1:2" ht="15.75" customHeight="1">
      <c r="A128" s="103"/>
      <c r="B128" s="104"/>
    </row>
    <row r="129" spans="1:2" ht="15.75" customHeight="1">
      <c r="A129" s="103"/>
      <c r="B129" s="104"/>
    </row>
    <row r="130" spans="1:2" ht="15.75" customHeight="1">
      <c r="A130" s="103"/>
      <c r="B130" s="104"/>
    </row>
    <row r="131" spans="1:2" ht="15.75" customHeight="1">
      <c r="A131" s="103"/>
      <c r="B131" s="104"/>
    </row>
    <row r="132" spans="1:2" ht="15.75" customHeight="1">
      <c r="A132" s="103"/>
      <c r="B132" s="104"/>
    </row>
    <row r="133" spans="1:2" ht="15.75" customHeight="1">
      <c r="A133" s="103"/>
      <c r="B133" s="104"/>
    </row>
    <row r="134" spans="1:2" ht="15.75" customHeight="1">
      <c r="A134" s="103"/>
      <c r="B134" s="104"/>
    </row>
    <row r="135" spans="1:2" ht="15.75" customHeight="1">
      <c r="A135" s="103"/>
      <c r="B135" s="104"/>
    </row>
    <row r="136" spans="1:2" ht="15.75" customHeight="1">
      <c r="A136" s="103"/>
      <c r="B136" s="104"/>
    </row>
    <row r="137" spans="1:2" ht="15.75" customHeight="1">
      <c r="A137" s="103"/>
      <c r="B137" s="104"/>
    </row>
    <row r="138" spans="1:2" ht="15.75" customHeight="1">
      <c r="A138" s="103"/>
      <c r="B138" s="104"/>
    </row>
    <row r="139" spans="1:2" ht="15.75" customHeight="1">
      <c r="A139" s="103"/>
      <c r="B139" s="104"/>
    </row>
    <row r="140" spans="1:2" ht="15.75" customHeight="1">
      <c r="A140" s="103"/>
      <c r="B140" s="104"/>
    </row>
    <row r="141" spans="1:2" ht="15.75" customHeight="1">
      <c r="A141" s="103"/>
      <c r="B141" s="104"/>
    </row>
    <row r="142" spans="1:2" ht="15.75" customHeight="1">
      <c r="A142" s="103"/>
      <c r="B142" s="104"/>
    </row>
    <row r="143" spans="1:2" ht="15.75" customHeight="1">
      <c r="A143" s="103"/>
      <c r="B143" s="104"/>
    </row>
    <row r="144" spans="1:2" ht="15.75" customHeight="1">
      <c r="A144" s="103"/>
      <c r="B144" s="104"/>
    </row>
    <row r="145" spans="1:2" ht="15.75" customHeight="1">
      <c r="A145" s="103"/>
      <c r="B145" s="104"/>
    </row>
    <row r="146" spans="1:2" ht="15.75" customHeight="1">
      <c r="A146" s="103"/>
      <c r="B146" s="104"/>
    </row>
    <row r="147" spans="1:2" ht="15.75" customHeight="1">
      <c r="A147" s="103"/>
      <c r="B147" s="104"/>
    </row>
    <row r="148" spans="1:2" ht="15.75" customHeight="1">
      <c r="A148" s="103"/>
      <c r="B148" s="104"/>
    </row>
    <row r="149" spans="1:2" ht="15.75" customHeight="1">
      <c r="A149" s="103"/>
      <c r="B149" s="104"/>
    </row>
    <row r="150" spans="1:2" ht="15.75" customHeight="1">
      <c r="A150" s="103"/>
      <c r="B150" s="104"/>
    </row>
    <row r="151" spans="1:2" ht="15.75" customHeight="1">
      <c r="A151" s="103"/>
      <c r="B151" s="104"/>
    </row>
    <row r="152" spans="1:2" ht="15.75" customHeight="1">
      <c r="A152" s="103"/>
      <c r="B152" s="104"/>
    </row>
    <row r="153" spans="1:2" ht="15.75" customHeight="1">
      <c r="A153" s="103"/>
      <c r="B153" s="104"/>
    </row>
    <row r="154" spans="1:2" ht="15.75" customHeight="1">
      <c r="A154" s="103"/>
      <c r="B154" s="104"/>
    </row>
    <row r="155" spans="1:2" ht="15.75" customHeight="1">
      <c r="A155" s="103"/>
      <c r="B155" s="104"/>
    </row>
    <row r="156" spans="1:2" ht="15.75" customHeight="1">
      <c r="A156" s="103"/>
      <c r="B156" s="104"/>
    </row>
    <row r="157" spans="1:2" ht="15.75" customHeight="1">
      <c r="A157" s="103"/>
      <c r="B157" s="104"/>
    </row>
    <row r="158" spans="1:2" ht="15.75" customHeight="1">
      <c r="A158" s="103"/>
      <c r="B158" s="104"/>
    </row>
    <row r="159" spans="1:2" ht="15.75" customHeight="1">
      <c r="A159" s="103"/>
      <c r="B159" s="104"/>
    </row>
    <row r="160" spans="1:2" ht="15.75" customHeight="1">
      <c r="A160" s="103"/>
      <c r="B160" s="104"/>
    </row>
    <row r="161" spans="1:2" ht="15.75" customHeight="1">
      <c r="A161" s="103"/>
      <c r="B161" s="104"/>
    </row>
    <row r="162" spans="1:2" ht="15.75" customHeight="1">
      <c r="A162" s="103"/>
      <c r="B162" s="104"/>
    </row>
    <row r="163" spans="1:2" ht="15.75" customHeight="1">
      <c r="A163" s="103"/>
      <c r="B163" s="104"/>
    </row>
    <row r="164" spans="1:2" ht="15.75" customHeight="1">
      <c r="A164" s="103"/>
      <c r="B164" s="104"/>
    </row>
    <row r="165" spans="1:2" ht="15.75" customHeight="1">
      <c r="A165" s="103"/>
      <c r="B165" s="104"/>
    </row>
    <row r="166" spans="1:2" ht="15.75" customHeight="1">
      <c r="A166" s="103"/>
      <c r="B166" s="104"/>
    </row>
    <row r="167" spans="1:2" ht="15.75" customHeight="1">
      <c r="A167" s="103"/>
      <c r="B167" s="104"/>
    </row>
    <row r="168" spans="1:2" ht="15.75" customHeight="1">
      <c r="A168" s="103"/>
      <c r="B168" s="104"/>
    </row>
    <row r="169" spans="1:2" ht="15.75" customHeight="1">
      <c r="A169" s="103"/>
      <c r="B169" s="104"/>
    </row>
    <row r="170" spans="1:2" ht="15.75" customHeight="1">
      <c r="A170" s="103"/>
      <c r="B170" s="104"/>
    </row>
    <row r="171" spans="1:2" ht="15.75" customHeight="1">
      <c r="A171" s="103"/>
      <c r="B171" s="104"/>
    </row>
    <row r="172" spans="1:2" ht="15.75" customHeight="1">
      <c r="A172" s="103"/>
      <c r="B172" s="104"/>
    </row>
    <row r="173" spans="1:2" ht="15.75" customHeight="1">
      <c r="A173" s="103"/>
      <c r="B173" s="104"/>
    </row>
    <row r="174" spans="1:2" ht="15.75" customHeight="1">
      <c r="A174" s="103"/>
      <c r="B174" s="104"/>
    </row>
    <row r="175" spans="1:2" ht="15.75" customHeight="1">
      <c r="A175" s="103"/>
      <c r="B175" s="104"/>
    </row>
    <row r="176" spans="1:2" ht="15.75" customHeight="1">
      <c r="A176" s="103"/>
      <c r="B176" s="104"/>
    </row>
    <row r="177" spans="1:2" ht="15.75" customHeight="1">
      <c r="A177" s="103"/>
      <c r="B177" s="104"/>
    </row>
    <row r="178" spans="1:2" ht="15.75" customHeight="1">
      <c r="A178" s="103"/>
      <c r="B178" s="104"/>
    </row>
    <row r="179" spans="1:2" ht="15.75" customHeight="1">
      <c r="A179" s="103"/>
      <c r="B179" s="104"/>
    </row>
    <row r="180" spans="1:2" ht="15.75" customHeight="1">
      <c r="A180" s="103"/>
      <c r="B180" s="104"/>
    </row>
    <row r="181" spans="1:2" ht="15.75" customHeight="1">
      <c r="A181" s="103"/>
      <c r="B181" s="104"/>
    </row>
    <row r="182" spans="1:2" ht="15.75" customHeight="1">
      <c r="A182" s="103"/>
      <c r="B182" s="104"/>
    </row>
    <row r="183" spans="1:2" ht="15.75" customHeight="1">
      <c r="A183" s="103"/>
      <c r="B183" s="104"/>
    </row>
    <row r="184" spans="1:2" ht="15.75" customHeight="1">
      <c r="A184" s="103"/>
      <c r="B184" s="104"/>
    </row>
    <row r="185" spans="1:2" ht="15.75" customHeight="1">
      <c r="A185" s="103"/>
      <c r="B185" s="104"/>
    </row>
    <row r="186" spans="1:2" ht="15.75" customHeight="1">
      <c r="A186" s="103"/>
      <c r="B186" s="104"/>
    </row>
    <row r="187" spans="1:2" ht="15.75" customHeight="1">
      <c r="A187" s="103"/>
      <c r="B187" s="104"/>
    </row>
    <row r="188" spans="1:2" ht="15.75" customHeight="1">
      <c r="A188" s="103"/>
      <c r="B188" s="104"/>
    </row>
    <row r="189" spans="1:2" ht="15.75" customHeight="1">
      <c r="A189" s="103"/>
      <c r="B189" s="104"/>
    </row>
    <row r="190" spans="1:2" ht="15.75" customHeight="1">
      <c r="A190" s="103"/>
      <c r="B190" s="104"/>
    </row>
    <row r="191" spans="1:2" ht="15.75" customHeight="1">
      <c r="A191" s="103"/>
      <c r="B191" s="104"/>
    </row>
    <row r="192" spans="1:2" ht="15.75" customHeight="1">
      <c r="A192" s="103"/>
      <c r="B192" s="104"/>
    </row>
    <row r="193" spans="1:2" ht="15.75" customHeight="1">
      <c r="A193" s="103"/>
      <c r="B193" s="104"/>
    </row>
    <row r="194" spans="1:2" ht="15.75" customHeight="1">
      <c r="A194" s="103"/>
      <c r="B194" s="104"/>
    </row>
    <row r="195" spans="1:2" ht="15.75" customHeight="1">
      <c r="A195" s="103"/>
      <c r="B195" s="104"/>
    </row>
    <row r="196" spans="1:2" ht="15.75" customHeight="1">
      <c r="A196" s="103"/>
      <c r="B196" s="104"/>
    </row>
    <row r="197" spans="1:2" ht="15.75" customHeight="1">
      <c r="A197" s="103"/>
      <c r="B197" s="104"/>
    </row>
    <row r="198" spans="1:2" ht="15.75" customHeight="1">
      <c r="A198" s="103"/>
      <c r="B198" s="104"/>
    </row>
    <row r="199" spans="1:2" ht="15.75" customHeight="1">
      <c r="A199" s="103"/>
      <c r="B199" s="104"/>
    </row>
    <row r="200" spans="1:2" ht="15.75" customHeight="1">
      <c r="A200" s="103"/>
      <c r="B200" s="104"/>
    </row>
    <row r="201" spans="1:2" ht="15.75" customHeight="1">
      <c r="A201" s="103"/>
      <c r="B201" s="104"/>
    </row>
    <row r="202" spans="1:2" ht="15.75" customHeight="1">
      <c r="A202" s="103"/>
      <c r="B202" s="104"/>
    </row>
    <row r="203" spans="1:2" ht="15.75" customHeight="1">
      <c r="A203" s="103"/>
      <c r="B203" s="104"/>
    </row>
    <row r="204" spans="1:2" ht="15.75" customHeight="1">
      <c r="A204" s="103"/>
      <c r="B204" s="104"/>
    </row>
    <row r="205" spans="1:2" ht="15.75" customHeight="1">
      <c r="A205" s="103"/>
      <c r="B205" s="104"/>
    </row>
    <row r="206" spans="1:2" ht="15.75" customHeight="1">
      <c r="A206" s="103"/>
      <c r="B206" s="104"/>
    </row>
    <row r="207" spans="1:2" ht="15.75" customHeight="1">
      <c r="A207" s="103"/>
      <c r="B207" s="104"/>
    </row>
    <row r="208" spans="1:2" ht="15.75" customHeight="1">
      <c r="A208" s="103"/>
      <c r="B208" s="104"/>
    </row>
    <row r="209" spans="1:2" ht="15.75" customHeight="1">
      <c r="A209" s="103"/>
      <c r="B209" s="104"/>
    </row>
    <row r="210" spans="1:2" ht="15.75" customHeight="1">
      <c r="A210" s="103"/>
      <c r="B210" s="104"/>
    </row>
    <row r="211" spans="1:2" ht="15.75" customHeight="1">
      <c r="A211" s="103"/>
      <c r="B211" s="104"/>
    </row>
    <row r="212" spans="1:2" ht="15.75" customHeight="1">
      <c r="A212" s="103"/>
      <c r="B212" s="104"/>
    </row>
    <row r="213" spans="1:2" ht="15.75" customHeight="1">
      <c r="A213" s="103"/>
      <c r="B213" s="104"/>
    </row>
    <row r="214" spans="1:2" ht="15.75" customHeight="1">
      <c r="A214" s="103"/>
      <c r="B214" s="104"/>
    </row>
    <row r="215" spans="1:2" ht="15.75" customHeight="1">
      <c r="A215" s="103"/>
      <c r="B215" s="104"/>
    </row>
    <row r="216" spans="1:2" ht="15.75" customHeight="1">
      <c r="A216" s="103"/>
      <c r="B216" s="104"/>
    </row>
    <row r="217" spans="1:2" ht="15.75" customHeight="1">
      <c r="A217" s="103"/>
      <c r="B217" s="104"/>
    </row>
    <row r="218" spans="1:2" ht="15.75" customHeight="1">
      <c r="A218" s="103"/>
      <c r="B218" s="104"/>
    </row>
    <row r="219" spans="1:2" ht="15.75" customHeight="1">
      <c r="A219" s="103"/>
      <c r="B219" s="104"/>
    </row>
    <row r="220" spans="1:2" ht="15.75" customHeight="1">
      <c r="A220" s="103"/>
      <c r="B220" s="104"/>
    </row>
    <row r="221" spans="1:2" ht="15.75" customHeight="1">
      <c r="A221" s="103"/>
      <c r="B221" s="104"/>
    </row>
    <row r="222" spans="1:2" ht="15.75" customHeight="1">
      <c r="A222" s="103"/>
      <c r="B222" s="104"/>
    </row>
    <row r="223" spans="1:2" ht="15.75" customHeight="1">
      <c r="A223" s="103"/>
      <c r="B223" s="104"/>
    </row>
    <row r="224" spans="1:2" ht="15.75" customHeight="1">
      <c r="A224" s="103"/>
      <c r="B224" s="104"/>
    </row>
    <row r="225" spans="1:2" ht="15.75" customHeight="1">
      <c r="A225" s="103"/>
      <c r="B225" s="104"/>
    </row>
    <row r="226" spans="1:2" ht="15.75" customHeight="1">
      <c r="A226" s="103"/>
      <c r="B226" s="104"/>
    </row>
    <row r="227" spans="1:2" ht="15.75" customHeight="1">
      <c r="A227" s="103"/>
      <c r="B227" s="104"/>
    </row>
    <row r="228" spans="1:2" ht="15.75" customHeight="1">
      <c r="A228" s="103"/>
      <c r="B228" s="104"/>
    </row>
    <row r="229" spans="1:2" ht="15.75" customHeight="1">
      <c r="A229" s="103"/>
      <c r="B229" s="104"/>
    </row>
    <row r="230" spans="1:2" ht="15.75" customHeight="1">
      <c r="A230" s="103"/>
      <c r="B230" s="104"/>
    </row>
    <row r="231" spans="1:2" ht="15.75" customHeight="1">
      <c r="A231" s="103"/>
      <c r="B231" s="104"/>
    </row>
    <row r="232" spans="1:2" ht="15.75" customHeight="1">
      <c r="A232" s="103"/>
      <c r="B232" s="104"/>
    </row>
    <row r="233" spans="1:2" ht="15.75" customHeight="1">
      <c r="A233" s="103"/>
      <c r="B233" s="104"/>
    </row>
    <row r="234" spans="1:2" ht="15.75" customHeight="1">
      <c r="A234" s="103"/>
      <c r="B234" s="104"/>
    </row>
    <row r="235" spans="1:2" ht="15.75" customHeight="1">
      <c r="A235" s="103"/>
      <c r="B235" s="104"/>
    </row>
    <row r="236" spans="1:2" ht="15.75" customHeight="1">
      <c r="A236" s="103"/>
      <c r="B236" s="104"/>
    </row>
    <row r="237" spans="1:2" ht="15.75" customHeight="1">
      <c r="A237" s="103"/>
      <c r="B237" s="104"/>
    </row>
    <row r="238" spans="1:2" ht="15.75" customHeight="1">
      <c r="A238" s="103"/>
      <c r="B238" s="104"/>
    </row>
    <row r="239" spans="1:2" ht="15.75" customHeight="1">
      <c r="A239" s="103"/>
      <c r="B239" s="104"/>
    </row>
    <row r="240" spans="1:2" ht="15.75" customHeight="1">
      <c r="A240" s="103"/>
      <c r="B240" s="104"/>
    </row>
    <row r="241" spans="1:2" ht="15.75" customHeight="1">
      <c r="A241" s="103"/>
      <c r="B241" s="104"/>
    </row>
    <row r="242" spans="1:2" ht="15.75" customHeight="1">
      <c r="A242" s="103"/>
      <c r="B242" s="104"/>
    </row>
    <row r="243" spans="1:2" ht="15.75" customHeight="1">
      <c r="A243" s="103"/>
      <c r="B243" s="104"/>
    </row>
    <row r="244" spans="1:2" ht="15.75" customHeight="1">
      <c r="A244" s="103"/>
      <c r="B244" s="104"/>
    </row>
    <row r="245" spans="1:2" ht="15.75" customHeight="1">
      <c r="A245" s="103"/>
      <c r="B245" s="104"/>
    </row>
    <row r="246" spans="1:2" ht="15.75" customHeight="1">
      <c r="A246" s="103"/>
      <c r="B246" s="104"/>
    </row>
    <row r="247" spans="1:2" ht="15.75" customHeight="1">
      <c r="A247" s="103"/>
      <c r="B247" s="104"/>
    </row>
    <row r="248" spans="1:2" ht="15.75" customHeight="1">
      <c r="A248" s="103"/>
      <c r="B248" s="104"/>
    </row>
    <row r="249" spans="1:2" ht="15.75" customHeight="1">
      <c r="A249" s="103"/>
      <c r="B249" s="104"/>
    </row>
    <row r="250" spans="1:2" ht="15.75" customHeight="1">
      <c r="A250" s="103"/>
      <c r="B250" s="104"/>
    </row>
    <row r="251" spans="1:2" ht="15.75" customHeight="1">
      <c r="A251" s="103"/>
      <c r="B251" s="104"/>
    </row>
    <row r="252" spans="1:2" ht="15.75" customHeight="1">
      <c r="A252" s="103"/>
      <c r="B252" s="104"/>
    </row>
    <row r="253" spans="1:2" ht="15.75" customHeight="1">
      <c r="A253" s="103"/>
      <c r="B253" s="104"/>
    </row>
    <row r="254" spans="1:2" ht="15.75" customHeight="1">
      <c r="A254" s="103"/>
      <c r="B254" s="104"/>
    </row>
    <row r="255" spans="1:2" ht="15.75" customHeight="1">
      <c r="A255" s="103"/>
      <c r="B255" s="104"/>
    </row>
    <row r="256" spans="1:2" ht="15.75" customHeight="1">
      <c r="A256" s="103"/>
      <c r="B256" s="104"/>
    </row>
    <row r="257" spans="1:2" ht="15.75" customHeight="1">
      <c r="A257" s="103"/>
      <c r="B257" s="104"/>
    </row>
    <row r="258" spans="1:2" ht="15.75" customHeight="1">
      <c r="A258" s="103"/>
      <c r="B258" s="104"/>
    </row>
    <row r="259" spans="1:2" ht="15.75" customHeight="1">
      <c r="A259" s="103"/>
      <c r="B259" s="104"/>
    </row>
    <row r="260" spans="1:2" ht="15.75" customHeight="1">
      <c r="A260" s="103"/>
      <c r="B260" s="104"/>
    </row>
    <row r="261" spans="1:2" ht="15.75" customHeight="1">
      <c r="A261" s="103"/>
      <c r="B261" s="104"/>
    </row>
    <row r="262" spans="1:2" ht="15.75" customHeight="1">
      <c r="A262" s="103"/>
      <c r="B262" s="104"/>
    </row>
    <row r="263" spans="1:2" ht="15.75" customHeight="1">
      <c r="A263" s="103"/>
      <c r="B263" s="104"/>
    </row>
    <row r="264" spans="1:2" ht="15.75" customHeight="1">
      <c r="A264" s="103"/>
      <c r="B264" s="104"/>
    </row>
    <row r="265" spans="1:2" ht="15.75" customHeight="1">
      <c r="A265" s="103"/>
      <c r="B265" s="104"/>
    </row>
    <row r="266" spans="1:2" ht="15.75" customHeight="1">
      <c r="A266" s="103"/>
      <c r="B266" s="104"/>
    </row>
    <row r="267" spans="1:2" ht="15.75" customHeight="1">
      <c r="A267" s="103"/>
      <c r="B267" s="104"/>
    </row>
    <row r="268" spans="1:2" ht="15.75" customHeight="1">
      <c r="A268" s="103"/>
      <c r="B268" s="104"/>
    </row>
    <row r="269" spans="1:2" ht="15.75" customHeight="1">
      <c r="A269" s="103"/>
      <c r="B269" s="104"/>
    </row>
    <row r="270" spans="1:2" ht="15.75" customHeight="1">
      <c r="A270" s="103"/>
      <c r="B270" s="104"/>
    </row>
    <row r="271" spans="1:2" ht="15.75" customHeight="1">
      <c r="A271" s="103"/>
      <c r="B271" s="104"/>
    </row>
    <row r="272" spans="1:2" ht="15.75" customHeight="1">
      <c r="A272" s="103"/>
      <c r="B272" s="104"/>
    </row>
    <row r="273" spans="1:2" ht="15.75" customHeight="1">
      <c r="A273" s="103"/>
      <c r="B273" s="104"/>
    </row>
    <row r="274" spans="1:2" ht="15.75" customHeight="1">
      <c r="A274" s="103"/>
      <c r="B274" s="104"/>
    </row>
    <row r="275" spans="1:2" ht="15.75" customHeight="1">
      <c r="A275" s="103"/>
      <c r="B275" s="104"/>
    </row>
    <row r="276" spans="1:2" ht="15.75" customHeight="1">
      <c r="A276" s="103"/>
      <c r="B276" s="104"/>
    </row>
    <row r="277" spans="1:2" ht="15.75" customHeight="1">
      <c r="A277" s="103"/>
      <c r="B277" s="104"/>
    </row>
    <row r="278" spans="1:2" ht="15.75" customHeight="1">
      <c r="A278" s="103"/>
      <c r="B278" s="104"/>
    </row>
    <row r="279" spans="1:2" ht="15.75" customHeight="1">
      <c r="A279" s="103"/>
      <c r="B279" s="104"/>
    </row>
    <row r="280" spans="1:2" ht="15.75" customHeight="1">
      <c r="A280" s="103"/>
      <c r="B280" s="104"/>
    </row>
    <row r="281" spans="1:2" ht="15.75" customHeight="1">
      <c r="A281" s="103"/>
      <c r="B281" s="104"/>
    </row>
    <row r="282" spans="1:2" ht="15.75" customHeight="1">
      <c r="A282" s="103"/>
      <c r="B282" s="104"/>
    </row>
    <row r="283" spans="1:2" ht="15.75" customHeight="1">
      <c r="A283" s="103"/>
      <c r="B283" s="104"/>
    </row>
    <row r="284" spans="1:2" ht="15.75" customHeight="1">
      <c r="A284" s="103"/>
      <c r="B284" s="104"/>
    </row>
    <row r="285" spans="1:2" ht="15.75" customHeight="1">
      <c r="A285" s="103"/>
      <c r="B285" s="104"/>
    </row>
    <row r="286" spans="1:2" ht="15.75" customHeight="1">
      <c r="A286" s="103"/>
      <c r="B286" s="104"/>
    </row>
    <row r="287" spans="1:2" ht="15.75" customHeight="1">
      <c r="A287" s="103"/>
      <c r="B287" s="104"/>
    </row>
    <row r="288" spans="1:2" ht="15.75" customHeight="1">
      <c r="A288" s="103"/>
      <c r="B288" s="104"/>
    </row>
    <row r="289" spans="1:2" ht="15.75" customHeight="1">
      <c r="A289" s="103"/>
      <c r="B289" s="104"/>
    </row>
    <row r="290" spans="1:2" ht="15.75" customHeight="1">
      <c r="A290" s="103"/>
      <c r="B290" s="104"/>
    </row>
    <row r="291" spans="1:2" ht="15.75" customHeight="1">
      <c r="A291" s="103"/>
      <c r="B291" s="104"/>
    </row>
    <row r="292" spans="1:2" ht="15.75" customHeight="1">
      <c r="A292" s="103"/>
      <c r="B292" s="104"/>
    </row>
    <row r="293" spans="1:2" ht="15.75" customHeight="1">
      <c r="A293" s="103"/>
      <c r="B293" s="104"/>
    </row>
    <row r="294" spans="1:2" ht="15.75" customHeight="1">
      <c r="A294" s="103"/>
      <c r="B294" s="104"/>
    </row>
    <row r="295" spans="1:2" ht="15.75" customHeight="1">
      <c r="A295" s="103"/>
      <c r="B295" s="104"/>
    </row>
    <row r="296" spans="1:2" ht="15.75" customHeight="1">
      <c r="A296" s="103"/>
      <c r="B296" s="104"/>
    </row>
    <row r="297" spans="1:2" ht="15.75" customHeight="1">
      <c r="A297" s="103"/>
      <c r="B297" s="104"/>
    </row>
    <row r="298" spans="1:2" ht="15.75" customHeight="1">
      <c r="A298" s="103"/>
      <c r="B298" s="104"/>
    </row>
    <row r="299" spans="1:2" ht="15.75" customHeight="1">
      <c r="A299" s="103"/>
      <c r="B299" s="104"/>
    </row>
    <row r="300" spans="1:2" ht="15.75" customHeight="1">
      <c r="A300" s="103"/>
      <c r="B300" s="104"/>
    </row>
    <row r="301" spans="1:2" ht="15.75" customHeight="1">
      <c r="A301" s="103"/>
      <c r="B301" s="104"/>
    </row>
    <row r="302" spans="1:2" ht="15.75" customHeight="1">
      <c r="A302" s="103"/>
      <c r="B302" s="104"/>
    </row>
    <row r="303" spans="1:2" ht="15.75" customHeight="1">
      <c r="A303" s="103"/>
      <c r="B303" s="104"/>
    </row>
    <row r="304" spans="1:2" ht="15.75" customHeight="1">
      <c r="A304" s="103"/>
      <c r="B304" s="104"/>
    </row>
    <row r="305" spans="1:2" ht="15.75" customHeight="1">
      <c r="A305" s="103"/>
      <c r="B305" s="104"/>
    </row>
    <row r="306" spans="1:2" ht="15.75" customHeight="1">
      <c r="A306" s="103"/>
      <c r="B306" s="104"/>
    </row>
    <row r="307" spans="1:2" ht="15.75" customHeight="1">
      <c r="A307" s="103"/>
      <c r="B307" s="104"/>
    </row>
    <row r="308" spans="1:2" ht="15.75" customHeight="1">
      <c r="A308" s="103"/>
      <c r="B308" s="104"/>
    </row>
    <row r="309" spans="1:2" ht="15.75" customHeight="1">
      <c r="A309" s="103"/>
      <c r="B309" s="104"/>
    </row>
    <row r="310" spans="1:2" ht="15.75" customHeight="1">
      <c r="A310" s="103"/>
      <c r="B310" s="104"/>
    </row>
    <row r="311" spans="1:2" ht="15.75" customHeight="1">
      <c r="A311" s="103"/>
      <c r="B311" s="104"/>
    </row>
    <row r="312" spans="1:2" ht="15.75" customHeight="1">
      <c r="A312" s="103"/>
      <c r="B312" s="104"/>
    </row>
    <row r="313" spans="1:2" ht="15.75" customHeight="1">
      <c r="A313" s="103"/>
      <c r="B313" s="104"/>
    </row>
    <row r="314" spans="1:2" ht="15.75" customHeight="1">
      <c r="A314" s="103"/>
      <c r="B314" s="104"/>
    </row>
    <row r="315" spans="1:2" ht="15.75" customHeight="1">
      <c r="A315" s="103"/>
      <c r="B315" s="104"/>
    </row>
    <row r="316" spans="1:2" ht="15.75" customHeight="1">
      <c r="A316" s="103"/>
      <c r="B316" s="104"/>
    </row>
    <row r="317" spans="1:2" ht="15.75" customHeight="1">
      <c r="A317" s="103"/>
      <c r="B317" s="104"/>
    </row>
    <row r="318" spans="1:2" ht="15.75" customHeight="1">
      <c r="A318" s="103"/>
      <c r="B318" s="104"/>
    </row>
    <row r="319" spans="1:2" ht="15.75" customHeight="1">
      <c r="A319" s="103"/>
      <c r="B319" s="104"/>
    </row>
    <row r="320" spans="1:2" ht="15.75" customHeight="1">
      <c r="A320" s="103"/>
      <c r="B320" s="104"/>
    </row>
    <row r="321" spans="1:2" ht="15.75" customHeight="1">
      <c r="A321" s="103"/>
      <c r="B321" s="104"/>
    </row>
    <row r="322" spans="1:2" ht="15.75" customHeight="1">
      <c r="A322" s="103"/>
      <c r="B322" s="104"/>
    </row>
    <row r="323" spans="1:2" ht="15.75" customHeight="1">
      <c r="A323" s="103"/>
      <c r="B323" s="104"/>
    </row>
    <row r="324" spans="1:2" ht="15.75" customHeight="1">
      <c r="A324" s="103"/>
      <c r="B324" s="104"/>
    </row>
    <row r="325" spans="1:2" ht="15.75" customHeight="1">
      <c r="A325" s="103"/>
      <c r="B325" s="104"/>
    </row>
    <row r="326" spans="1:2" ht="15.75" customHeight="1">
      <c r="A326" s="103"/>
      <c r="B326" s="104"/>
    </row>
    <row r="327" spans="1:2" ht="15.75" customHeight="1">
      <c r="A327" s="103"/>
      <c r="B327" s="104"/>
    </row>
    <row r="328" spans="1:2" ht="15.75" customHeight="1">
      <c r="A328" s="103"/>
      <c r="B328" s="104"/>
    </row>
    <row r="329" spans="1:2" ht="15.75" customHeight="1">
      <c r="A329" s="103"/>
      <c r="B329" s="104"/>
    </row>
    <row r="330" spans="1:2" ht="15.75" customHeight="1">
      <c r="A330" s="103"/>
      <c r="B330" s="104"/>
    </row>
    <row r="331" spans="1:2" ht="15.75" customHeight="1">
      <c r="A331" s="103"/>
      <c r="B331" s="104"/>
    </row>
    <row r="332" spans="1:2" ht="15.75" customHeight="1">
      <c r="A332" s="103"/>
      <c r="B332" s="104"/>
    </row>
    <row r="333" spans="1:2" ht="15.75" customHeight="1">
      <c r="A333" s="103"/>
      <c r="B333" s="104"/>
    </row>
    <row r="334" spans="1:2" ht="15.75" customHeight="1">
      <c r="A334" s="103"/>
      <c r="B334" s="104"/>
    </row>
    <row r="335" spans="1:2" ht="15.75" customHeight="1">
      <c r="A335" s="103"/>
      <c r="B335" s="104"/>
    </row>
    <row r="336" spans="1:2" ht="15.75" customHeight="1">
      <c r="A336" s="103"/>
      <c r="B336" s="104"/>
    </row>
    <row r="337" spans="1:2" ht="15.75" customHeight="1">
      <c r="A337" s="103"/>
      <c r="B337" s="104"/>
    </row>
    <row r="338" spans="1:2" ht="15.75" customHeight="1">
      <c r="A338" s="103"/>
      <c r="B338" s="104"/>
    </row>
    <row r="339" spans="1:2" ht="15.75" customHeight="1">
      <c r="A339" s="103"/>
      <c r="B339" s="104"/>
    </row>
    <row r="340" spans="1:2" ht="15.75" customHeight="1">
      <c r="A340" s="103"/>
      <c r="B340" s="104"/>
    </row>
    <row r="341" spans="1:2" ht="15.75" customHeight="1">
      <c r="A341" s="103"/>
      <c r="B341" s="104"/>
    </row>
    <row r="342" spans="1:2" ht="15.75" customHeight="1">
      <c r="A342" s="103"/>
      <c r="B342" s="104"/>
    </row>
    <row r="343" spans="1:2" ht="15.75" customHeight="1">
      <c r="A343" s="103"/>
      <c r="B343" s="104"/>
    </row>
    <row r="344" spans="1:2" ht="15.75" customHeight="1">
      <c r="A344" s="103"/>
      <c r="B344" s="104"/>
    </row>
    <row r="345" spans="1:2" ht="15.75" customHeight="1">
      <c r="A345" s="103"/>
      <c r="B345" s="104"/>
    </row>
    <row r="346" spans="1:2" ht="15.75" customHeight="1">
      <c r="A346" s="103"/>
      <c r="B346" s="104"/>
    </row>
    <row r="347" spans="1:2" ht="15.75" customHeight="1">
      <c r="A347" s="103"/>
      <c r="B347" s="104"/>
    </row>
    <row r="348" spans="1:2" ht="15.75" customHeight="1">
      <c r="A348" s="103"/>
      <c r="B348" s="104"/>
    </row>
    <row r="349" spans="1:2" ht="15.75" customHeight="1">
      <c r="A349" s="103"/>
      <c r="B349" s="104"/>
    </row>
    <row r="350" spans="1:2" ht="15.75" customHeight="1">
      <c r="A350" s="103"/>
      <c r="B350" s="104"/>
    </row>
    <row r="351" spans="1:2" ht="15.75" customHeight="1">
      <c r="A351" s="103"/>
      <c r="B351" s="104"/>
    </row>
    <row r="352" spans="1:2" ht="15.75" customHeight="1">
      <c r="A352" s="103"/>
      <c r="B352" s="104"/>
    </row>
    <row r="353" spans="1:2" ht="15.75" customHeight="1">
      <c r="A353" s="103"/>
      <c r="B353" s="104"/>
    </row>
    <row r="354" spans="1:2" ht="15.75" customHeight="1">
      <c r="A354" s="103"/>
      <c r="B354" s="104"/>
    </row>
    <row r="355" spans="1:2" ht="15.75" customHeight="1">
      <c r="A355" s="103"/>
      <c r="B355" s="104"/>
    </row>
    <row r="356" spans="1:2" ht="15.75" customHeight="1">
      <c r="A356" s="103"/>
      <c r="B356" s="104"/>
    </row>
    <row r="357" spans="1:2" ht="15.75" customHeight="1">
      <c r="A357" s="103"/>
      <c r="B357" s="104"/>
    </row>
    <row r="358" spans="1:2" ht="15.75" customHeight="1">
      <c r="A358" s="103"/>
      <c r="B358" s="104"/>
    </row>
    <row r="359" spans="1:2" ht="15.75" customHeight="1">
      <c r="A359" s="103"/>
      <c r="B359" s="104"/>
    </row>
    <row r="360" spans="1:2" ht="15.75" customHeight="1">
      <c r="A360" s="103"/>
      <c r="B360" s="104"/>
    </row>
    <row r="361" spans="1:2" ht="15.75" customHeight="1">
      <c r="A361" s="103"/>
      <c r="B361" s="104"/>
    </row>
    <row r="362" spans="1:2" ht="15.75" customHeight="1">
      <c r="A362" s="103"/>
      <c r="B362" s="104"/>
    </row>
    <row r="363" spans="1:2" ht="15.75" customHeight="1">
      <c r="A363" s="103"/>
      <c r="B363" s="104"/>
    </row>
    <row r="364" spans="1:2" ht="15.75" customHeight="1">
      <c r="A364" s="103"/>
      <c r="B364" s="104"/>
    </row>
    <row r="365" spans="1:2" ht="15.75" customHeight="1">
      <c r="A365" s="103"/>
      <c r="B365" s="104"/>
    </row>
    <row r="366" spans="1:2" ht="15.75" customHeight="1">
      <c r="A366" s="103"/>
      <c r="B366" s="104"/>
    </row>
    <row r="367" spans="1:2" ht="15.75" customHeight="1">
      <c r="A367" s="103"/>
      <c r="B367" s="104"/>
    </row>
    <row r="368" spans="1:2" ht="15.75" customHeight="1">
      <c r="A368" s="103"/>
      <c r="B368" s="104"/>
    </row>
    <row r="369" spans="1:2" ht="15.75" customHeight="1">
      <c r="A369" s="103"/>
      <c r="B369" s="104"/>
    </row>
    <row r="370" spans="1:2" ht="15.75" customHeight="1">
      <c r="A370" s="103"/>
      <c r="B370" s="104"/>
    </row>
    <row r="371" spans="1:2" ht="15.75" customHeight="1">
      <c r="A371" s="103"/>
      <c r="B371" s="104"/>
    </row>
    <row r="372" spans="1:2" ht="15.75" customHeight="1">
      <c r="A372" s="103"/>
      <c r="B372" s="104"/>
    </row>
    <row r="373" spans="1:2" ht="15.75" customHeight="1">
      <c r="A373" s="103"/>
      <c r="B373" s="104"/>
    </row>
    <row r="374" spans="1:2" ht="15.75" customHeight="1">
      <c r="A374" s="103"/>
      <c r="B374" s="104"/>
    </row>
    <row r="375" spans="1:2" ht="15.75" customHeight="1">
      <c r="A375" s="103"/>
      <c r="B375" s="104"/>
    </row>
    <row r="376" spans="1:2" ht="15.75" customHeight="1">
      <c r="A376" s="103"/>
      <c r="B376" s="104"/>
    </row>
    <row r="377" spans="1:2" ht="15.75" customHeight="1">
      <c r="A377" s="103"/>
      <c r="B377" s="104"/>
    </row>
    <row r="378" spans="1:2" ht="15.75" customHeight="1">
      <c r="A378" s="103"/>
      <c r="B378" s="104"/>
    </row>
    <row r="379" spans="1:2" ht="15.75" customHeight="1">
      <c r="A379" s="103"/>
      <c r="B379" s="104"/>
    </row>
    <row r="380" spans="1:2" ht="15.75" customHeight="1">
      <c r="A380" s="103"/>
      <c r="B380" s="104"/>
    </row>
    <row r="381" spans="1:2" ht="15.75" customHeight="1">
      <c r="A381" s="103"/>
      <c r="B381" s="104"/>
    </row>
    <row r="382" spans="1:2" ht="15.75" customHeight="1">
      <c r="A382" s="103"/>
      <c r="B382" s="104"/>
    </row>
    <row r="383" spans="1:2" ht="15.75" customHeight="1">
      <c r="A383" s="103"/>
      <c r="B383" s="104"/>
    </row>
    <row r="384" spans="1:2" ht="15.75" customHeight="1">
      <c r="A384" s="103"/>
      <c r="B384" s="104"/>
    </row>
    <row r="385" spans="1:2" ht="15.75" customHeight="1">
      <c r="A385" s="103"/>
      <c r="B385" s="104"/>
    </row>
    <row r="386" spans="1:2" ht="15.75" customHeight="1">
      <c r="A386" s="103"/>
      <c r="B386" s="104"/>
    </row>
    <row r="387" spans="1:2" ht="15.75" customHeight="1">
      <c r="A387" s="103"/>
      <c r="B387" s="104"/>
    </row>
    <row r="388" spans="1:2" ht="15.75" customHeight="1">
      <c r="A388" s="103"/>
      <c r="B388" s="104"/>
    </row>
    <row r="389" spans="1:2" ht="15.75" customHeight="1">
      <c r="A389" s="103"/>
      <c r="B389" s="104"/>
    </row>
    <row r="390" spans="1:2" ht="15.75" customHeight="1">
      <c r="A390" s="103"/>
      <c r="B390" s="104"/>
    </row>
    <row r="391" spans="1:2" ht="15.75" customHeight="1">
      <c r="A391" s="103"/>
      <c r="B391" s="104"/>
    </row>
    <row r="392" spans="1:2" ht="15.75" customHeight="1">
      <c r="A392" s="103"/>
      <c r="B392" s="104"/>
    </row>
    <row r="393" spans="1:2" ht="15.75" customHeight="1">
      <c r="A393" s="103"/>
      <c r="B393" s="104"/>
    </row>
    <row r="394" spans="1:2" ht="15.75" customHeight="1">
      <c r="A394" s="103"/>
      <c r="B394" s="104"/>
    </row>
    <row r="395" spans="1:2" ht="15.75" customHeight="1">
      <c r="A395" s="103"/>
      <c r="B395" s="104"/>
    </row>
    <row r="396" spans="1:2" ht="15.75" customHeight="1">
      <c r="A396" s="103"/>
      <c r="B396" s="104"/>
    </row>
    <row r="397" spans="1:2" ht="15.75" customHeight="1">
      <c r="A397" s="103"/>
      <c r="B397" s="104"/>
    </row>
    <row r="398" spans="1:2" ht="15.75" customHeight="1">
      <c r="A398" s="103"/>
      <c r="B398" s="104"/>
    </row>
    <row r="399" spans="1:2" ht="15.75" customHeight="1">
      <c r="A399" s="103"/>
      <c r="B399" s="104"/>
    </row>
    <row r="400" spans="1:2" ht="15.75" customHeight="1">
      <c r="A400" s="103"/>
      <c r="B400" s="104"/>
    </row>
    <row r="401" spans="1:2" ht="15.75" customHeight="1">
      <c r="A401" s="103"/>
      <c r="B401" s="104"/>
    </row>
    <row r="402" spans="1:2" ht="15.75" customHeight="1">
      <c r="A402" s="103"/>
      <c r="B402" s="104"/>
    </row>
    <row r="403" spans="1:2" ht="15.75" customHeight="1">
      <c r="A403" s="103"/>
      <c r="B403" s="104"/>
    </row>
    <row r="404" spans="1:2" ht="15.75" customHeight="1">
      <c r="A404" s="103"/>
      <c r="B404" s="104"/>
    </row>
    <row r="405" spans="1:2" ht="15.75" customHeight="1">
      <c r="A405" s="103"/>
      <c r="B405" s="104"/>
    </row>
    <row r="406" spans="1:2" ht="15.75" customHeight="1">
      <c r="A406" s="103"/>
      <c r="B406" s="104"/>
    </row>
    <row r="407" spans="1:2" ht="15.75" customHeight="1">
      <c r="A407" s="103"/>
      <c r="B407" s="104"/>
    </row>
    <row r="408" spans="1:2" ht="15.75" customHeight="1">
      <c r="A408" s="103"/>
      <c r="B408" s="104"/>
    </row>
    <row r="409" spans="1:2" ht="15.75" customHeight="1">
      <c r="A409" s="103"/>
      <c r="B409" s="104"/>
    </row>
    <row r="410" spans="1:2" ht="15.75" customHeight="1">
      <c r="A410" s="103"/>
      <c r="B410" s="104"/>
    </row>
    <row r="411" spans="1:2" ht="15.75" customHeight="1">
      <c r="A411" s="103"/>
      <c r="B411" s="104"/>
    </row>
    <row r="412" spans="1:2" ht="15.75" customHeight="1">
      <c r="A412" s="103"/>
      <c r="B412" s="104"/>
    </row>
    <row r="413" spans="1:2" ht="15.75" customHeight="1">
      <c r="A413" s="103"/>
      <c r="B413" s="104"/>
    </row>
    <row r="414" spans="1:2" ht="15.75" customHeight="1">
      <c r="A414" s="103"/>
      <c r="B414" s="104"/>
    </row>
    <row r="415" spans="1:2" ht="15.75" customHeight="1">
      <c r="A415" s="103"/>
      <c r="B415" s="104"/>
    </row>
    <row r="416" spans="1:2" ht="15.75" customHeight="1">
      <c r="A416" s="103"/>
      <c r="B416" s="104"/>
    </row>
    <row r="417" spans="1:2" ht="15.75" customHeight="1">
      <c r="A417" s="103"/>
      <c r="B417" s="104"/>
    </row>
    <row r="418" spans="1:2" ht="15.75" customHeight="1">
      <c r="A418" s="103"/>
      <c r="B418" s="104"/>
    </row>
    <row r="419" spans="1:2" ht="15.75" customHeight="1">
      <c r="A419" s="103"/>
      <c r="B419" s="104"/>
    </row>
    <row r="420" spans="1:2" ht="15.75" customHeight="1">
      <c r="A420" s="103"/>
      <c r="B420" s="104"/>
    </row>
    <row r="421" spans="1:2" ht="15.75" customHeight="1">
      <c r="A421" s="103"/>
      <c r="B421" s="104"/>
    </row>
    <row r="422" spans="1:2" ht="15.75" customHeight="1">
      <c r="A422" s="103"/>
      <c r="B422" s="104"/>
    </row>
    <row r="423" spans="1:2" ht="15.75" customHeight="1">
      <c r="A423" s="103"/>
      <c r="B423" s="104"/>
    </row>
    <row r="424" spans="1:2" ht="15.75" customHeight="1">
      <c r="A424" s="103"/>
      <c r="B424" s="104"/>
    </row>
    <row r="425" spans="1:2" ht="15.75" customHeight="1">
      <c r="A425" s="103"/>
      <c r="B425" s="104"/>
    </row>
    <row r="426" spans="1:2" ht="15.75" customHeight="1">
      <c r="A426" s="103"/>
      <c r="B426" s="104"/>
    </row>
    <row r="427" spans="1:2" ht="15.75" customHeight="1">
      <c r="A427" s="103"/>
      <c r="B427" s="104"/>
    </row>
    <row r="428" spans="1:2" ht="15.75" customHeight="1">
      <c r="A428" s="103"/>
      <c r="B428" s="104"/>
    </row>
    <row r="429" spans="1:2" ht="15.75" customHeight="1">
      <c r="A429" s="103"/>
      <c r="B429" s="104"/>
    </row>
    <row r="430" spans="1:2" ht="15.75" customHeight="1">
      <c r="A430" s="103"/>
      <c r="B430" s="104"/>
    </row>
    <row r="431" spans="1:2" ht="15.75" customHeight="1">
      <c r="A431" s="103"/>
      <c r="B431" s="104"/>
    </row>
    <row r="432" spans="1:2" ht="15.75" customHeight="1">
      <c r="A432" s="103"/>
      <c r="B432" s="104"/>
    </row>
    <row r="433" spans="1:2" ht="15.75" customHeight="1">
      <c r="A433" s="103"/>
      <c r="B433" s="104"/>
    </row>
    <row r="434" spans="1:2" ht="15.75" customHeight="1">
      <c r="A434" s="103"/>
      <c r="B434" s="104"/>
    </row>
    <row r="435" spans="1:2" ht="15.75" customHeight="1">
      <c r="A435" s="103"/>
      <c r="B435" s="104"/>
    </row>
    <row r="436" spans="1:2" ht="15.75" customHeight="1">
      <c r="A436" s="103"/>
      <c r="B436" s="104"/>
    </row>
    <row r="437" spans="1:2" ht="15.75" customHeight="1">
      <c r="A437" s="103"/>
      <c r="B437" s="104"/>
    </row>
    <row r="438" spans="1:2" ht="15.75" customHeight="1">
      <c r="A438" s="103"/>
      <c r="B438" s="104"/>
    </row>
    <row r="439" spans="1:2" ht="15.75" customHeight="1">
      <c r="A439" s="103"/>
      <c r="B439" s="104"/>
    </row>
    <row r="440" spans="1:2" ht="15.75" customHeight="1">
      <c r="A440" s="103"/>
      <c r="B440" s="104"/>
    </row>
    <row r="441" spans="1:2" ht="15.75" customHeight="1">
      <c r="A441" s="103"/>
      <c r="B441" s="104"/>
    </row>
    <row r="442" spans="1:2" ht="15.75" customHeight="1">
      <c r="A442" s="103"/>
      <c r="B442" s="104"/>
    </row>
    <row r="443" spans="1:2" ht="15.75" customHeight="1">
      <c r="A443" s="103"/>
      <c r="B443" s="104"/>
    </row>
    <row r="444" spans="1:2" ht="15.75" customHeight="1">
      <c r="A444" s="103"/>
      <c r="B444" s="104"/>
    </row>
    <row r="445" spans="1:2" ht="15.75" customHeight="1">
      <c r="A445" s="103"/>
      <c r="B445" s="104"/>
    </row>
    <row r="446" spans="1:2" ht="15.75" customHeight="1">
      <c r="A446" s="103"/>
      <c r="B446" s="104"/>
    </row>
    <row r="447" spans="1:2" ht="15.75" customHeight="1">
      <c r="A447" s="103"/>
      <c r="B447" s="104"/>
    </row>
    <row r="448" spans="1:2" ht="15.75" customHeight="1">
      <c r="A448" s="103"/>
      <c r="B448" s="104"/>
    </row>
    <row r="449" spans="1:2" ht="15.75" customHeight="1">
      <c r="A449" s="103"/>
      <c r="B449" s="104"/>
    </row>
    <row r="450" spans="1:2" ht="15.75" customHeight="1">
      <c r="A450" s="103"/>
      <c r="B450" s="104"/>
    </row>
    <row r="451" spans="1:2" ht="15.75" customHeight="1">
      <c r="A451" s="103"/>
      <c r="B451" s="104"/>
    </row>
    <row r="452" spans="1:2" ht="15.75" customHeight="1">
      <c r="A452" s="103"/>
      <c r="B452" s="104"/>
    </row>
    <row r="453" spans="1:2" ht="15.75" customHeight="1">
      <c r="A453" s="103"/>
      <c r="B453" s="104"/>
    </row>
    <row r="454" spans="1:2" ht="15.75" customHeight="1">
      <c r="A454" s="103"/>
      <c r="B454" s="104"/>
    </row>
    <row r="455" spans="1:2" ht="15.75" customHeight="1">
      <c r="A455" s="103"/>
      <c r="B455" s="104"/>
    </row>
    <row r="456" spans="1:2" ht="15.75" customHeight="1">
      <c r="A456" s="103"/>
      <c r="B456" s="104"/>
    </row>
    <row r="457" spans="1:2" ht="15.75" customHeight="1">
      <c r="A457" s="103"/>
      <c r="B457" s="104"/>
    </row>
    <row r="458" spans="1:2" ht="15.75" customHeight="1">
      <c r="A458" s="103"/>
      <c r="B458" s="104"/>
    </row>
    <row r="459" spans="1:2" ht="15.75" customHeight="1">
      <c r="A459" s="103"/>
      <c r="B459" s="104"/>
    </row>
    <row r="460" spans="1:2" ht="15.75" customHeight="1">
      <c r="A460" s="103"/>
      <c r="B460" s="104"/>
    </row>
    <row r="461" spans="1:2" ht="15.75" customHeight="1">
      <c r="A461" s="103"/>
      <c r="B461" s="104"/>
    </row>
    <row r="462" spans="1:2" ht="15.75" customHeight="1">
      <c r="A462" s="103"/>
      <c r="B462" s="104"/>
    </row>
    <row r="463" spans="1:2" ht="15.75" customHeight="1">
      <c r="A463" s="103"/>
      <c r="B463" s="104"/>
    </row>
    <row r="464" spans="1:2" ht="15.75" customHeight="1">
      <c r="A464" s="103"/>
      <c r="B464" s="104"/>
    </row>
    <row r="465" spans="1:2" ht="15.75" customHeight="1">
      <c r="A465" s="103"/>
      <c r="B465" s="104"/>
    </row>
    <row r="466" spans="1:2" ht="15.75" customHeight="1">
      <c r="A466" s="103"/>
      <c r="B466" s="104"/>
    </row>
    <row r="467" spans="1:2" ht="15.75" customHeight="1">
      <c r="A467" s="103"/>
      <c r="B467" s="104"/>
    </row>
    <row r="468" spans="1:2" ht="15.75" customHeight="1">
      <c r="A468" s="103"/>
      <c r="B468" s="104"/>
    </row>
    <row r="469" spans="1:2" ht="15.75" customHeight="1">
      <c r="A469" s="103"/>
      <c r="B469" s="104"/>
    </row>
    <row r="470" spans="1:2" ht="15.75" customHeight="1">
      <c r="A470" s="103"/>
      <c r="B470" s="104"/>
    </row>
    <row r="471" spans="1:2" ht="15.75" customHeight="1">
      <c r="A471" s="103"/>
      <c r="B471" s="104"/>
    </row>
    <row r="472" spans="1:2" ht="15.75" customHeight="1">
      <c r="A472" s="103"/>
      <c r="B472" s="104"/>
    </row>
    <row r="473" spans="1:2" ht="15.75" customHeight="1">
      <c r="A473" s="103"/>
      <c r="B473" s="104"/>
    </row>
    <row r="474" spans="1:2" ht="15.75" customHeight="1">
      <c r="A474" s="103"/>
      <c r="B474" s="104"/>
    </row>
    <row r="475" spans="1:2" ht="15.75" customHeight="1">
      <c r="A475" s="103"/>
      <c r="B475" s="104"/>
    </row>
    <row r="476" spans="1:2" ht="15.75" customHeight="1">
      <c r="A476" s="103"/>
      <c r="B476" s="104"/>
    </row>
    <row r="477" spans="1:2" ht="15.75" customHeight="1">
      <c r="A477" s="103"/>
      <c r="B477" s="104"/>
    </row>
    <row r="478" spans="1:2" ht="15.75" customHeight="1">
      <c r="A478" s="103"/>
      <c r="B478" s="104"/>
    </row>
    <row r="479" spans="1:2" ht="15.75" customHeight="1">
      <c r="A479" s="103"/>
      <c r="B479" s="104"/>
    </row>
    <row r="480" spans="1:2" ht="15.75" customHeight="1">
      <c r="A480" s="103"/>
      <c r="B480" s="104"/>
    </row>
    <row r="481" spans="1:2" ht="15.75" customHeight="1">
      <c r="A481" s="103"/>
      <c r="B481" s="104"/>
    </row>
    <row r="482" spans="1:2" ht="15.75" customHeight="1">
      <c r="A482" s="103"/>
      <c r="B482" s="104"/>
    </row>
    <row r="483" spans="1:2" ht="15.75" customHeight="1">
      <c r="A483" s="103"/>
      <c r="B483" s="104"/>
    </row>
    <row r="484" spans="1:2" ht="15.75" customHeight="1">
      <c r="A484" s="103"/>
      <c r="B484" s="104"/>
    </row>
    <row r="485" spans="1:2" ht="15.75" customHeight="1">
      <c r="A485" s="103"/>
      <c r="B485" s="104"/>
    </row>
    <row r="486" spans="1:2" ht="15.75" customHeight="1">
      <c r="A486" s="103"/>
      <c r="B486" s="104"/>
    </row>
    <row r="487" spans="1:2" ht="15.75" customHeight="1">
      <c r="A487" s="103"/>
      <c r="B487" s="104"/>
    </row>
    <row r="488" spans="1:2" ht="15.75" customHeight="1">
      <c r="A488" s="103"/>
      <c r="B488" s="104"/>
    </row>
    <row r="489" spans="1:2" ht="15.75" customHeight="1">
      <c r="A489" s="103"/>
      <c r="B489" s="104"/>
    </row>
    <row r="490" spans="1:2" ht="15.75" customHeight="1">
      <c r="A490" s="103"/>
      <c r="B490" s="104"/>
    </row>
    <row r="491" spans="1:2" ht="15.75" customHeight="1">
      <c r="A491" s="103"/>
      <c r="B491" s="104"/>
    </row>
    <row r="492" spans="1:2" ht="15.75" customHeight="1">
      <c r="A492" s="103"/>
      <c r="B492" s="104"/>
    </row>
    <row r="493" spans="1:2" ht="15.75" customHeight="1">
      <c r="A493" s="103"/>
      <c r="B493" s="104"/>
    </row>
    <row r="494" spans="1:2" ht="15.75" customHeight="1">
      <c r="A494" s="103"/>
      <c r="B494" s="104"/>
    </row>
    <row r="495" spans="1:2" ht="15.75" customHeight="1">
      <c r="A495" s="103"/>
      <c r="B495" s="104"/>
    </row>
    <row r="496" spans="1:2" ht="15.75" customHeight="1">
      <c r="A496" s="103"/>
      <c r="B496" s="104"/>
    </row>
    <row r="497" spans="1:2" ht="15.75" customHeight="1">
      <c r="A497" s="103"/>
      <c r="B497" s="104"/>
    </row>
    <row r="498" spans="1:2" ht="15.75" customHeight="1">
      <c r="A498" s="103"/>
      <c r="B498" s="104"/>
    </row>
    <row r="499" spans="1:2" ht="15.75" customHeight="1">
      <c r="A499" s="103"/>
      <c r="B499" s="104"/>
    </row>
    <row r="500" spans="1:2" ht="15.75" customHeight="1">
      <c r="A500" s="103"/>
      <c r="B500" s="104"/>
    </row>
    <row r="501" spans="1:2" ht="15.75" customHeight="1">
      <c r="A501" s="103"/>
      <c r="B501" s="104"/>
    </row>
    <row r="502" spans="1:2" ht="15.75" customHeight="1">
      <c r="A502" s="103"/>
      <c r="B502" s="104"/>
    </row>
    <row r="503" spans="1:2" ht="15.75" customHeight="1">
      <c r="A503" s="103"/>
      <c r="B503" s="104"/>
    </row>
    <row r="504" spans="1:2" ht="15.75" customHeight="1">
      <c r="A504" s="103"/>
      <c r="B504" s="104"/>
    </row>
    <row r="505" spans="1:2" ht="15.75" customHeight="1">
      <c r="A505" s="103"/>
      <c r="B505" s="104"/>
    </row>
    <row r="506" spans="1:2" ht="15.75" customHeight="1">
      <c r="A506" s="103"/>
      <c r="B506" s="104"/>
    </row>
    <row r="507" spans="1:2" ht="15.75" customHeight="1">
      <c r="A507" s="103"/>
      <c r="B507" s="104"/>
    </row>
    <row r="508" spans="1:2" ht="15.75" customHeight="1">
      <c r="A508" s="103"/>
      <c r="B508" s="104"/>
    </row>
    <row r="509" spans="1:2" ht="15.75" customHeight="1">
      <c r="A509" s="103"/>
      <c r="B509" s="104"/>
    </row>
    <row r="510" spans="1:2" ht="15.75" customHeight="1">
      <c r="A510" s="103"/>
      <c r="B510" s="104"/>
    </row>
    <row r="511" spans="1:2" ht="15.75" customHeight="1">
      <c r="A511" s="103"/>
      <c r="B511" s="104"/>
    </row>
    <row r="512" spans="1:2" ht="15.75" customHeight="1">
      <c r="A512" s="103"/>
      <c r="B512" s="104"/>
    </row>
    <row r="513" spans="1:2" ht="15.75" customHeight="1">
      <c r="A513" s="103"/>
      <c r="B513" s="104"/>
    </row>
    <row r="514" spans="1:2" ht="15.75" customHeight="1">
      <c r="A514" s="103"/>
      <c r="B514" s="104"/>
    </row>
    <row r="515" spans="1:2" ht="15.75" customHeight="1">
      <c r="A515" s="103"/>
      <c r="B515" s="104"/>
    </row>
    <row r="516" spans="1:2" ht="15.75" customHeight="1">
      <c r="A516" s="103"/>
      <c r="B516" s="104"/>
    </row>
    <row r="517" spans="1:2" ht="15.75" customHeight="1">
      <c r="A517" s="103"/>
      <c r="B517" s="104"/>
    </row>
    <row r="518" spans="1:2" ht="15.75" customHeight="1">
      <c r="A518" s="103"/>
      <c r="B518" s="104"/>
    </row>
    <row r="519" spans="1:2" ht="15.75" customHeight="1">
      <c r="A519" s="103"/>
      <c r="B519" s="104"/>
    </row>
    <row r="520" spans="1:2" ht="15.75" customHeight="1">
      <c r="A520" s="103"/>
      <c r="B520" s="104"/>
    </row>
    <row r="521" spans="1:2" ht="15.75" customHeight="1">
      <c r="A521" s="103"/>
      <c r="B521" s="104"/>
    </row>
    <row r="522" spans="1:2" ht="15.75" customHeight="1">
      <c r="A522" s="103"/>
      <c r="B522" s="104"/>
    </row>
    <row r="523" spans="1:2" ht="15.75" customHeight="1">
      <c r="A523" s="103"/>
      <c r="B523" s="104"/>
    </row>
    <row r="524" spans="1:2" ht="15.75" customHeight="1">
      <c r="A524" s="103"/>
      <c r="B524" s="104"/>
    </row>
    <row r="525" spans="1:2" ht="15.75" customHeight="1">
      <c r="A525" s="103"/>
      <c r="B525" s="104"/>
    </row>
    <row r="526" spans="1:2" ht="15.75" customHeight="1">
      <c r="A526" s="103"/>
      <c r="B526" s="104"/>
    </row>
    <row r="527" spans="1:2" ht="15.75" customHeight="1">
      <c r="A527" s="103"/>
      <c r="B527" s="104"/>
    </row>
    <row r="528" spans="1:2" ht="15.75" customHeight="1">
      <c r="A528" s="103"/>
      <c r="B528" s="104"/>
    </row>
    <row r="529" spans="1:2" ht="15.75" customHeight="1">
      <c r="A529" s="103"/>
      <c r="B529" s="104"/>
    </row>
    <row r="530" spans="1:2" ht="15.75" customHeight="1">
      <c r="A530" s="103"/>
      <c r="B530" s="104"/>
    </row>
    <row r="531" spans="1:2" ht="15.75" customHeight="1">
      <c r="A531" s="103"/>
      <c r="B531" s="104"/>
    </row>
    <row r="532" spans="1:2" ht="15.75" customHeight="1">
      <c r="A532" s="103"/>
      <c r="B532" s="104"/>
    </row>
    <row r="533" spans="1:2" ht="15.75" customHeight="1">
      <c r="A533" s="103"/>
      <c r="B533" s="104"/>
    </row>
    <row r="534" spans="1:2" ht="15.75" customHeight="1">
      <c r="A534" s="103"/>
      <c r="B534" s="104"/>
    </row>
    <row r="535" spans="1:2" ht="15.75" customHeight="1">
      <c r="A535" s="103"/>
      <c r="B535" s="104"/>
    </row>
    <row r="536" spans="1:2" ht="15.75" customHeight="1">
      <c r="A536" s="103"/>
      <c r="B536" s="104"/>
    </row>
    <row r="537" spans="1:2" ht="15.75" customHeight="1">
      <c r="A537" s="103"/>
      <c r="B537" s="104"/>
    </row>
    <row r="538" spans="1:2" ht="15.75" customHeight="1">
      <c r="A538" s="103"/>
      <c r="B538" s="104"/>
    </row>
    <row r="539" spans="1:2" ht="15.75" customHeight="1">
      <c r="A539" s="103"/>
      <c r="B539" s="104"/>
    </row>
    <row r="540" spans="1:2" ht="15.75" customHeight="1">
      <c r="A540" s="103"/>
      <c r="B540" s="104"/>
    </row>
    <row r="541" spans="1:2" ht="15.75" customHeight="1">
      <c r="A541" s="103"/>
      <c r="B541" s="104"/>
    </row>
    <row r="542" spans="1:2" ht="15.75" customHeight="1">
      <c r="A542" s="103"/>
      <c r="B542" s="104"/>
    </row>
    <row r="543" spans="1:2" ht="15.75" customHeight="1">
      <c r="A543" s="103"/>
      <c r="B543" s="104"/>
    </row>
    <row r="544" spans="1:2" ht="15.75" customHeight="1">
      <c r="A544" s="103"/>
      <c r="B544" s="104"/>
    </row>
    <row r="545" spans="1:2" ht="15.75" customHeight="1">
      <c r="A545" s="103"/>
      <c r="B545" s="104"/>
    </row>
    <row r="546" spans="1:2" ht="15.75" customHeight="1">
      <c r="A546" s="103"/>
      <c r="B546" s="104"/>
    </row>
    <row r="547" spans="1:2" ht="15.75" customHeight="1">
      <c r="A547" s="103"/>
      <c r="B547" s="104"/>
    </row>
    <row r="548" spans="1:2" ht="15.75" customHeight="1">
      <c r="A548" s="103"/>
      <c r="B548" s="104"/>
    </row>
    <row r="549" spans="1:2" ht="15.75" customHeight="1">
      <c r="A549" s="103"/>
      <c r="B549" s="104"/>
    </row>
    <row r="550" spans="1:2" ht="15.75" customHeight="1">
      <c r="A550" s="103"/>
      <c r="B550" s="104"/>
    </row>
    <row r="551" spans="1:2" ht="15.75" customHeight="1">
      <c r="A551" s="103"/>
      <c r="B551" s="104"/>
    </row>
    <row r="552" spans="1:2" ht="15.75" customHeight="1">
      <c r="A552" s="103"/>
      <c r="B552" s="104"/>
    </row>
    <row r="553" spans="1:2" ht="15.75" customHeight="1">
      <c r="A553" s="103"/>
      <c r="B553" s="104"/>
    </row>
    <row r="554" spans="1:2" ht="15.75" customHeight="1">
      <c r="A554" s="103"/>
      <c r="B554" s="104"/>
    </row>
    <row r="555" spans="1:2" ht="15.75" customHeight="1">
      <c r="A555" s="103"/>
      <c r="B555" s="104"/>
    </row>
    <row r="556" spans="1:2" ht="15.75" customHeight="1">
      <c r="A556" s="103"/>
      <c r="B556" s="104"/>
    </row>
    <row r="557" spans="1:2" ht="15.75" customHeight="1">
      <c r="A557" s="103"/>
      <c r="B557" s="104"/>
    </row>
    <row r="558" spans="1:2" ht="15.75" customHeight="1">
      <c r="A558" s="103"/>
      <c r="B558" s="104"/>
    </row>
    <row r="559" spans="1:2" ht="15.75" customHeight="1">
      <c r="A559" s="103"/>
      <c r="B559" s="104"/>
    </row>
    <row r="560" spans="1:2" ht="15.75" customHeight="1">
      <c r="A560" s="103"/>
      <c r="B560" s="104"/>
    </row>
    <row r="561" spans="1:2" ht="15.75" customHeight="1">
      <c r="A561" s="103"/>
      <c r="B561" s="104"/>
    </row>
    <row r="562" spans="1:2" ht="15.75" customHeight="1">
      <c r="A562" s="103"/>
      <c r="B562" s="104"/>
    </row>
    <row r="563" spans="1:2" ht="15.75" customHeight="1">
      <c r="A563" s="103"/>
      <c r="B563" s="104"/>
    </row>
    <row r="564" spans="1:2" ht="15.75" customHeight="1">
      <c r="A564" s="103"/>
      <c r="B564" s="104"/>
    </row>
    <row r="565" spans="1:2" ht="15.75" customHeight="1">
      <c r="A565" s="103"/>
      <c r="B565" s="104"/>
    </row>
    <row r="566" spans="1:2" ht="15.75" customHeight="1">
      <c r="A566" s="103"/>
      <c r="B566" s="104"/>
    </row>
    <row r="567" spans="1:2" ht="15.75" customHeight="1">
      <c r="A567" s="103"/>
      <c r="B567" s="104"/>
    </row>
    <row r="568" spans="1:2" ht="15.75" customHeight="1">
      <c r="A568" s="103"/>
      <c r="B568" s="104"/>
    </row>
    <row r="569" spans="1:2" ht="15.75" customHeight="1">
      <c r="A569" s="103"/>
      <c r="B569" s="104"/>
    </row>
    <row r="570" spans="1:2" ht="15.75" customHeight="1">
      <c r="A570" s="103"/>
      <c r="B570" s="104"/>
    </row>
    <row r="571" spans="1:2" ht="15.75" customHeight="1">
      <c r="A571" s="103"/>
      <c r="B571" s="104"/>
    </row>
    <row r="572" spans="1:2" ht="15.75" customHeight="1">
      <c r="A572" s="103"/>
      <c r="B572" s="104"/>
    </row>
    <row r="573" spans="1:2" ht="15.75" customHeight="1">
      <c r="A573" s="103"/>
      <c r="B573" s="104"/>
    </row>
    <row r="574" spans="1:2" ht="15.75" customHeight="1">
      <c r="A574" s="103"/>
      <c r="B574" s="104"/>
    </row>
    <row r="575" spans="1:2" ht="15.75" customHeight="1">
      <c r="A575" s="103"/>
      <c r="B575" s="104"/>
    </row>
    <row r="576" spans="1:2" ht="15.75" customHeight="1">
      <c r="A576" s="103"/>
      <c r="B576" s="104"/>
    </row>
    <row r="577" spans="1:2" ht="15.75" customHeight="1">
      <c r="A577" s="103"/>
      <c r="B577" s="104"/>
    </row>
    <row r="578" spans="1:2" ht="15.75" customHeight="1">
      <c r="A578" s="103"/>
      <c r="B578" s="104"/>
    </row>
    <row r="579" spans="1:2" ht="15.75" customHeight="1">
      <c r="A579" s="103"/>
      <c r="B579" s="104"/>
    </row>
    <row r="580" spans="1:2" ht="15.75" customHeight="1">
      <c r="A580" s="103"/>
      <c r="B580" s="104"/>
    </row>
    <row r="581" spans="1:2" ht="15.75" customHeight="1">
      <c r="A581" s="103"/>
      <c r="B581" s="104"/>
    </row>
    <row r="582" spans="1:2" ht="15.75" customHeight="1">
      <c r="A582" s="103"/>
      <c r="B582" s="104"/>
    </row>
    <row r="583" spans="1:2" ht="15.75" customHeight="1">
      <c r="A583" s="103"/>
      <c r="B583" s="104"/>
    </row>
    <row r="584" spans="1:2" ht="15.75" customHeight="1">
      <c r="A584" s="103"/>
      <c r="B584" s="104"/>
    </row>
    <row r="585" spans="1:2" ht="15.75" customHeight="1">
      <c r="A585" s="103"/>
      <c r="B585" s="104"/>
    </row>
    <row r="586" spans="1:2" ht="15.75" customHeight="1">
      <c r="A586" s="103"/>
      <c r="B586" s="104"/>
    </row>
    <row r="587" spans="1:2" ht="15.75" customHeight="1">
      <c r="A587" s="103"/>
      <c r="B587" s="104"/>
    </row>
    <row r="588" spans="1:2" ht="15.75" customHeight="1">
      <c r="A588" s="103"/>
      <c r="B588" s="104"/>
    </row>
    <row r="589" spans="1:2" ht="15.75" customHeight="1">
      <c r="A589" s="103"/>
      <c r="B589" s="104"/>
    </row>
    <row r="590" spans="1:2" ht="15.75" customHeight="1">
      <c r="A590" s="103"/>
      <c r="B590" s="104"/>
    </row>
    <row r="591" spans="1:2" ht="15.75" customHeight="1">
      <c r="A591" s="103"/>
      <c r="B591" s="104"/>
    </row>
    <row r="592" spans="1:2" ht="15.75" customHeight="1">
      <c r="A592" s="103"/>
      <c r="B592" s="104"/>
    </row>
    <row r="593" spans="1:2" ht="15.75" customHeight="1">
      <c r="A593" s="103"/>
      <c r="B593" s="104"/>
    </row>
    <row r="594" spans="1:2" ht="15.75" customHeight="1">
      <c r="A594" s="103"/>
      <c r="B594" s="104"/>
    </row>
    <row r="595" spans="1:2" ht="15.75" customHeight="1">
      <c r="A595" s="103"/>
      <c r="B595" s="104"/>
    </row>
    <row r="596" spans="1:2" ht="15.75" customHeight="1">
      <c r="A596" s="103"/>
      <c r="B596" s="104"/>
    </row>
    <row r="597" spans="1:2" ht="15.75" customHeight="1">
      <c r="A597" s="103"/>
      <c r="B597" s="104"/>
    </row>
    <row r="598" spans="1:2" ht="15.75" customHeight="1">
      <c r="A598" s="103"/>
      <c r="B598" s="104"/>
    </row>
    <row r="599" spans="1:2" ht="15.75" customHeight="1">
      <c r="A599" s="103"/>
      <c r="B599" s="104"/>
    </row>
    <row r="600" spans="1:2" ht="15.75" customHeight="1">
      <c r="A600" s="103"/>
      <c r="B600" s="104"/>
    </row>
    <row r="601" spans="1:2" ht="15.75" customHeight="1">
      <c r="A601" s="103"/>
      <c r="B601" s="104"/>
    </row>
    <row r="602" spans="1:2" ht="15.75" customHeight="1">
      <c r="A602" s="103"/>
      <c r="B602" s="104"/>
    </row>
    <row r="603" spans="1:2" ht="15.75" customHeight="1">
      <c r="A603" s="103"/>
      <c r="B603" s="104"/>
    </row>
    <row r="604" spans="1:2" ht="15.75" customHeight="1">
      <c r="A604" s="103"/>
      <c r="B604" s="104"/>
    </row>
    <row r="605" spans="1:2" ht="15.75" customHeight="1">
      <c r="A605" s="103"/>
      <c r="B605" s="104"/>
    </row>
    <row r="606" spans="1:2" ht="15.75" customHeight="1">
      <c r="A606" s="103"/>
      <c r="B606" s="104"/>
    </row>
    <row r="607" spans="1:2" ht="15.75" customHeight="1">
      <c r="A607" s="103"/>
      <c r="B607" s="104"/>
    </row>
    <row r="608" spans="1:2" ht="15.75" customHeight="1">
      <c r="A608" s="103"/>
      <c r="B608" s="104"/>
    </row>
    <row r="609" spans="1:2" ht="15.75" customHeight="1">
      <c r="A609" s="103"/>
      <c r="B609" s="104"/>
    </row>
    <row r="610" spans="1:2" ht="15.75" customHeight="1">
      <c r="A610" s="103"/>
      <c r="B610" s="104"/>
    </row>
    <row r="611" spans="1:2" ht="15.75" customHeight="1">
      <c r="A611" s="103"/>
      <c r="B611" s="104"/>
    </row>
    <row r="612" spans="1:2" ht="15.75" customHeight="1">
      <c r="A612" s="103"/>
      <c r="B612" s="104"/>
    </row>
    <row r="613" spans="1:2" ht="15.75" customHeight="1">
      <c r="A613" s="103"/>
      <c r="B613" s="104"/>
    </row>
    <row r="614" spans="1:2" ht="15.75" customHeight="1">
      <c r="A614" s="103"/>
      <c r="B614" s="104"/>
    </row>
    <row r="615" spans="1:2" ht="15.75" customHeight="1">
      <c r="A615" s="103"/>
      <c r="B615" s="104"/>
    </row>
    <row r="616" spans="1:2" ht="15.75" customHeight="1">
      <c r="A616" s="103"/>
      <c r="B616" s="104"/>
    </row>
    <row r="617" spans="1:2" ht="15.75" customHeight="1">
      <c r="A617" s="103"/>
      <c r="B617" s="104"/>
    </row>
    <row r="618" spans="1:2" ht="15.75" customHeight="1">
      <c r="A618" s="103"/>
      <c r="B618" s="104"/>
    </row>
    <row r="619" spans="1:2" ht="15.75" customHeight="1">
      <c r="A619" s="103"/>
      <c r="B619" s="104"/>
    </row>
    <row r="620" spans="1:2" ht="15.75" customHeight="1">
      <c r="A620" s="103"/>
      <c r="B620" s="104"/>
    </row>
    <row r="621" spans="1:2" ht="15.75" customHeight="1">
      <c r="A621" s="103"/>
      <c r="B621" s="104"/>
    </row>
    <row r="622" spans="1:2" ht="15.75" customHeight="1">
      <c r="A622" s="103"/>
      <c r="B622" s="104"/>
    </row>
    <row r="623" spans="1:2" ht="15.75" customHeight="1">
      <c r="A623" s="103"/>
      <c r="B623" s="104"/>
    </row>
    <row r="624" spans="1:2" ht="15.75" customHeight="1">
      <c r="A624" s="103"/>
      <c r="B624" s="104"/>
    </row>
    <row r="625" spans="1:2" ht="15.75" customHeight="1">
      <c r="A625" s="103"/>
      <c r="B625" s="104"/>
    </row>
    <row r="626" spans="1:2" ht="15.75" customHeight="1">
      <c r="A626" s="103"/>
      <c r="B626" s="104"/>
    </row>
    <row r="627" spans="1:2" ht="15.75" customHeight="1">
      <c r="A627" s="103"/>
      <c r="B627" s="104"/>
    </row>
    <row r="628" spans="1:2" ht="15.75" customHeight="1">
      <c r="A628" s="103"/>
      <c r="B628" s="104"/>
    </row>
    <row r="629" spans="1:2" ht="15.75" customHeight="1">
      <c r="A629" s="103"/>
      <c r="B629" s="104"/>
    </row>
    <row r="630" spans="1:2" ht="15.75" customHeight="1">
      <c r="A630" s="103"/>
      <c r="B630" s="104"/>
    </row>
    <row r="631" spans="1:2" ht="15.75" customHeight="1">
      <c r="A631" s="103"/>
      <c r="B631" s="104"/>
    </row>
    <row r="632" spans="1:2" ht="15.75" customHeight="1">
      <c r="A632" s="103"/>
      <c r="B632" s="104"/>
    </row>
    <row r="633" spans="1:2" ht="15.75" customHeight="1">
      <c r="A633" s="103"/>
      <c r="B633" s="104"/>
    </row>
    <row r="634" spans="1:2" ht="15.75" customHeight="1">
      <c r="A634" s="103"/>
      <c r="B634" s="104"/>
    </row>
    <row r="635" spans="1:2" ht="15.75" customHeight="1">
      <c r="A635" s="103"/>
      <c r="B635" s="104"/>
    </row>
    <row r="636" spans="1:2" ht="15.75" customHeight="1">
      <c r="A636" s="103"/>
      <c r="B636" s="104"/>
    </row>
    <row r="637" spans="1:2" ht="15.75" customHeight="1">
      <c r="A637" s="103"/>
      <c r="B637" s="104"/>
    </row>
    <row r="638" spans="1:2" ht="15.75" customHeight="1">
      <c r="A638" s="103"/>
      <c r="B638" s="104"/>
    </row>
    <row r="639" spans="1:2" ht="15.75" customHeight="1">
      <c r="A639" s="103"/>
      <c r="B639" s="104"/>
    </row>
    <row r="640" spans="1:2" ht="15.75" customHeight="1">
      <c r="A640" s="103"/>
      <c r="B640" s="104"/>
    </row>
    <row r="641" spans="1:2" ht="15.75" customHeight="1">
      <c r="A641" s="103"/>
      <c r="B641" s="104"/>
    </row>
    <row r="642" spans="1:2" ht="15.75" customHeight="1">
      <c r="A642" s="103"/>
      <c r="B642" s="104"/>
    </row>
    <row r="643" spans="1:2" ht="15.75" customHeight="1">
      <c r="A643" s="103"/>
      <c r="B643" s="104"/>
    </row>
    <row r="644" spans="1:2" ht="15.75" customHeight="1">
      <c r="A644" s="103"/>
      <c r="B644" s="104"/>
    </row>
    <row r="645" spans="1:2" ht="15.75" customHeight="1">
      <c r="A645" s="103"/>
      <c r="B645" s="104"/>
    </row>
    <row r="646" spans="1:2" ht="15.75" customHeight="1">
      <c r="A646" s="103"/>
      <c r="B646" s="104"/>
    </row>
    <row r="647" spans="1:2" ht="15.75" customHeight="1">
      <c r="A647" s="103"/>
      <c r="B647" s="104"/>
    </row>
    <row r="648" spans="1:2" ht="15.75" customHeight="1">
      <c r="A648" s="103"/>
      <c r="B648" s="104"/>
    </row>
    <row r="649" spans="1:2" ht="15.75" customHeight="1">
      <c r="A649" s="103"/>
      <c r="B649" s="104"/>
    </row>
    <row r="650" spans="1:2" ht="15.75" customHeight="1">
      <c r="A650" s="103"/>
      <c r="B650" s="104"/>
    </row>
    <row r="651" spans="1:2" ht="15.75" customHeight="1">
      <c r="A651" s="103"/>
      <c r="B651" s="104"/>
    </row>
    <row r="652" spans="1:2" ht="15.75" customHeight="1">
      <c r="A652" s="103"/>
      <c r="B652" s="104"/>
    </row>
    <row r="653" spans="1:2" ht="15.75" customHeight="1">
      <c r="A653" s="103"/>
      <c r="B653" s="104"/>
    </row>
    <row r="654" spans="1:2" ht="15.75" customHeight="1">
      <c r="A654" s="103"/>
      <c r="B654" s="104"/>
    </row>
    <row r="655" spans="1:2" ht="15.75" customHeight="1">
      <c r="A655" s="103"/>
      <c r="B655" s="104"/>
    </row>
    <row r="656" spans="1:2" ht="15.75" customHeight="1">
      <c r="A656" s="103"/>
      <c r="B656" s="104"/>
    </row>
    <row r="657" spans="1:2" ht="15.75" customHeight="1">
      <c r="A657" s="103"/>
      <c r="B657" s="104"/>
    </row>
    <row r="658" spans="1:2" ht="15.75" customHeight="1">
      <c r="A658" s="103"/>
      <c r="B658" s="104"/>
    </row>
    <row r="659" spans="1:2" ht="15.75" customHeight="1">
      <c r="A659" s="103"/>
      <c r="B659" s="104"/>
    </row>
    <row r="660" spans="1:2" ht="15.75" customHeight="1">
      <c r="A660" s="103"/>
      <c r="B660" s="104"/>
    </row>
    <row r="661" spans="1:2" ht="15.75" customHeight="1">
      <c r="A661" s="103"/>
      <c r="B661" s="104"/>
    </row>
    <row r="662" spans="1:2" ht="15.75" customHeight="1">
      <c r="A662" s="103"/>
      <c r="B662" s="104"/>
    </row>
    <row r="663" spans="1:2" ht="15.75" customHeight="1">
      <c r="A663" s="103"/>
      <c r="B663" s="104"/>
    </row>
    <row r="664" spans="1:2" ht="15.75" customHeight="1">
      <c r="A664" s="103"/>
      <c r="B664" s="104"/>
    </row>
    <row r="665" spans="1:2" ht="15.75" customHeight="1">
      <c r="A665" s="103"/>
      <c r="B665" s="104"/>
    </row>
    <row r="666" spans="1:2" ht="15.75" customHeight="1">
      <c r="A666" s="103"/>
      <c r="B666" s="104"/>
    </row>
    <row r="667" spans="1:2" ht="15.75" customHeight="1">
      <c r="A667" s="103"/>
      <c r="B667" s="104"/>
    </row>
    <row r="668" spans="1:2" ht="15.75" customHeight="1">
      <c r="A668" s="103"/>
      <c r="B668" s="104"/>
    </row>
    <row r="669" spans="1:2" ht="15.75" customHeight="1">
      <c r="A669" s="103"/>
      <c r="B669" s="104"/>
    </row>
    <row r="670" spans="1:2" ht="15.75" customHeight="1">
      <c r="A670" s="103"/>
      <c r="B670" s="104"/>
    </row>
    <row r="671" spans="1:2" ht="15.75" customHeight="1">
      <c r="A671" s="103"/>
      <c r="B671" s="104"/>
    </row>
    <row r="672" spans="1:2" ht="15.75" customHeight="1">
      <c r="A672" s="103"/>
      <c r="B672" s="104"/>
    </row>
    <row r="673" spans="1:2" ht="15.75" customHeight="1">
      <c r="A673" s="103"/>
      <c r="B673" s="104"/>
    </row>
    <row r="674" spans="1:2" ht="15.75" customHeight="1">
      <c r="A674" s="103"/>
      <c r="B674" s="104"/>
    </row>
    <row r="675" spans="1:2" ht="15.75" customHeight="1">
      <c r="A675" s="103"/>
      <c r="B675" s="104"/>
    </row>
    <row r="676" spans="1:2" ht="15.75" customHeight="1">
      <c r="A676" s="103"/>
      <c r="B676" s="104"/>
    </row>
    <row r="677" spans="1:2" ht="15.75" customHeight="1">
      <c r="A677" s="103"/>
      <c r="B677" s="104"/>
    </row>
    <row r="678" spans="1:2" ht="15.75" customHeight="1">
      <c r="A678" s="103"/>
      <c r="B678" s="104"/>
    </row>
    <row r="679" spans="1:2" ht="15.75" customHeight="1">
      <c r="A679" s="103"/>
      <c r="B679" s="104"/>
    </row>
    <row r="680" spans="1:2" ht="15.75" customHeight="1">
      <c r="A680" s="103"/>
      <c r="B680" s="104"/>
    </row>
    <row r="681" spans="1:2" ht="15.75" customHeight="1">
      <c r="A681" s="103"/>
      <c r="B681" s="104"/>
    </row>
    <row r="682" spans="1:2" ht="15.75" customHeight="1">
      <c r="A682" s="103"/>
      <c r="B682" s="104"/>
    </row>
    <row r="683" spans="1:2" ht="15.75" customHeight="1">
      <c r="A683" s="103"/>
      <c r="B683" s="104"/>
    </row>
    <row r="684" spans="1:2" ht="15.75" customHeight="1">
      <c r="A684" s="103"/>
      <c r="B684" s="104"/>
    </row>
    <row r="685" spans="1:2" ht="15.75" customHeight="1">
      <c r="A685" s="103"/>
      <c r="B685" s="104"/>
    </row>
    <row r="686" spans="1:2" ht="15.75" customHeight="1">
      <c r="A686" s="103"/>
      <c r="B686" s="104"/>
    </row>
    <row r="687" spans="1:2" ht="15.75" customHeight="1">
      <c r="A687" s="103"/>
      <c r="B687" s="104"/>
    </row>
    <row r="688" spans="1:2" ht="15.75" customHeight="1">
      <c r="A688" s="103"/>
      <c r="B688" s="104"/>
    </row>
    <row r="689" spans="1:2" ht="15.75" customHeight="1">
      <c r="A689" s="103"/>
      <c r="B689" s="104"/>
    </row>
    <row r="690" spans="1:2" ht="15.75" customHeight="1">
      <c r="A690" s="103"/>
      <c r="B690" s="104"/>
    </row>
    <row r="691" spans="1:2" ht="15.75" customHeight="1">
      <c r="A691" s="103"/>
      <c r="B691" s="104"/>
    </row>
    <row r="692" spans="1:2" ht="15.75" customHeight="1">
      <c r="A692" s="103"/>
      <c r="B692" s="104"/>
    </row>
    <row r="693" spans="1:2" ht="15.75" customHeight="1">
      <c r="A693" s="103"/>
      <c r="B693" s="104"/>
    </row>
    <row r="694" spans="1:2" ht="15.75" customHeight="1">
      <c r="A694" s="103"/>
      <c r="B694" s="104"/>
    </row>
    <row r="695" spans="1:2" ht="15.75" customHeight="1">
      <c r="A695" s="103"/>
      <c r="B695" s="104"/>
    </row>
    <row r="696" spans="1:2" ht="15.75" customHeight="1">
      <c r="A696" s="103"/>
      <c r="B696" s="104"/>
    </row>
    <row r="697" spans="1:2" ht="15.75" customHeight="1">
      <c r="A697" s="103"/>
      <c r="B697" s="104"/>
    </row>
    <row r="698" spans="1:2" ht="15.75" customHeight="1">
      <c r="A698" s="103"/>
      <c r="B698" s="104"/>
    </row>
    <row r="699" spans="1:2" ht="15.75" customHeight="1">
      <c r="A699" s="103"/>
      <c r="B699" s="104"/>
    </row>
    <row r="700" spans="1:2" ht="15.75" customHeight="1">
      <c r="A700" s="103"/>
      <c r="B700" s="104"/>
    </row>
    <row r="701" spans="1:2" ht="15.75" customHeight="1">
      <c r="A701" s="103"/>
      <c r="B701" s="104"/>
    </row>
    <row r="702" spans="1:2" ht="15.75" customHeight="1">
      <c r="A702" s="103"/>
      <c r="B702" s="104"/>
    </row>
    <row r="703" spans="1:2" ht="15.75" customHeight="1">
      <c r="A703" s="103"/>
      <c r="B703" s="104"/>
    </row>
    <row r="704" spans="1:2" ht="15.75" customHeight="1">
      <c r="A704" s="103"/>
      <c r="B704" s="104"/>
    </row>
    <row r="705" spans="1:2" ht="15.75" customHeight="1">
      <c r="A705" s="103"/>
      <c r="B705" s="104"/>
    </row>
    <row r="706" spans="1:2" ht="15.75" customHeight="1">
      <c r="A706" s="103"/>
      <c r="B706" s="104"/>
    </row>
    <row r="707" spans="1:2" ht="15.75" customHeight="1">
      <c r="A707" s="103"/>
      <c r="B707" s="104"/>
    </row>
    <row r="708" spans="1:2" ht="15.75" customHeight="1">
      <c r="A708" s="103"/>
      <c r="B708" s="104"/>
    </row>
    <row r="709" spans="1:2" ht="15.75" customHeight="1">
      <c r="A709" s="103"/>
      <c r="B709" s="104"/>
    </row>
    <row r="710" spans="1:2" ht="15.75" customHeight="1">
      <c r="A710" s="103"/>
      <c r="B710" s="104"/>
    </row>
    <row r="711" spans="1:2" ht="15.75" customHeight="1">
      <c r="A711" s="103"/>
      <c r="B711" s="104"/>
    </row>
    <row r="712" spans="1:2" ht="15.75" customHeight="1">
      <c r="A712" s="103"/>
      <c r="B712" s="104"/>
    </row>
    <row r="713" spans="1:2" ht="15.75" customHeight="1">
      <c r="A713" s="103"/>
      <c r="B713" s="104"/>
    </row>
    <row r="714" spans="1:2" ht="15.75" customHeight="1">
      <c r="A714" s="103"/>
      <c r="B714" s="104"/>
    </row>
    <row r="715" spans="1:2" ht="15.75" customHeight="1">
      <c r="A715" s="103"/>
      <c r="B715" s="104"/>
    </row>
    <row r="716" spans="1:2" ht="15.75" customHeight="1">
      <c r="A716" s="103"/>
      <c r="B716" s="104"/>
    </row>
    <row r="717" spans="1:2" ht="15.75" customHeight="1">
      <c r="A717" s="103"/>
      <c r="B717" s="104"/>
    </row>
    <row r="718" spans="1:2" ht="15.75" customHeight="1">
      <c r="A718" s="103"/>
      <c r="B718" s="104"/>
    </row>
    <row r="719" spans="1:2" ht="15.75" customHeight="1">
      <c r="A719" s="103"/>
      <c r="B719" s="104"/>
    </row>
    <row r="720" spans="1:2" ht="15.75" customHeight="1">
      <c r="A720" s="103"/>
      <c r="B720" s="104"/>
    </row>
    <row r="721" spans="1:2" ht="15.75" customHeight="1">
      <c r="A721" s="103"/>
      <c r="B721" s="104"/>
    </row>
    <row r="722" spans="1:2" ht="15.75" customHeight="1">
      <c r="A722" s="103"/>
      <c r="B722" s="104"/>
    </row>
    <row r="723" spans="1:2" ht="15.75" customHeight="1">
      <c r="A723" s="103"/>
      <c r="B723" s="104"/>
    </row>
    <row r="724" spans="1:2" ht="15.75" customHeight="1">
      <c r="A724" s="103"/>
      <c r="B724" s="104"/>
    </row>
    <row r="725" spans="1:2" ht="15.75" customHeight="1">
      <c r="A725" s="103"/>
      <c r="B725" s="104"/>
    </row>
    <row r="726" spans="1:2" ht="15.75" customHeight="1">
      <c r="A726" s="103"/>
      <c r="B726" s="104"/>
    </row>
    <row r="727" spans="1:2" ht="15.75" customHeight="1">
      <c r="A727" s="103"/>
      <c r="B727" s="104"/>
    </row>
    <row r="728" spans="1:2" ht="15.75" customHeight="1">
      <c r="A728" s="103"/>
      <c r="B728" s="104"/>
    </row>
    <row r="729" spans="1:2" ht="15.75" customHeight="1">
      <c r="A729" s="103"/>
      <c r="B729" s="104"/>
    </row>
    <row r="730" spans="1:2" ht="15.75" customHeight="1">
      <c r="A730" s="103"/>
      <c r="B730" s="104"/>
    </row>
    <row r="731" spans="1:2" ht="15.75" customHeight="1">
      <c r="A731" s="103"/>
      <c r="B731" s="104"/>
    </row>
    <row r="732" spans="1:2" ht="15.75" customHeight="1">
      <c r="A732" s="103"/>
      <c r="B732" s="104"/>
    </row>
    <row r="733" spans="1:2" ht="15.75" customHeight="1">
      <c r="A733" s="103"/>
      <c r="B733" s="104"/>
    </row>
    <row r="734" spans="1:2" ht="15.75" customHeight="1">
      <c r="A734" s="103"/>
      <c r="B734" s="104"/>
    </row>
    <row r="735" spans="1:2" ht="15.75" customHeight="1">
      <c r="A735" s="103"/>
      <c r="B735" s="104"/>
    </row>
    <row r="736" spans="1:2" ht="15.75" customHeight="1">
      <c r="A736" s="103"/>
      <c r="B736" s="104"/>
    </row>
    <row r="737" spans="1:2" ht="15.75" customHeight="1">
      <c r="A737" s="103"/>
      <c r="B737" s="104"/>
    </row>
    <row r="738" spans="1:2" ht="15.75" customHeight="1">
      <c r="A738" s="103"/>
      <c r="B738" s="104"/>
    </row>
    <row r="739" spans="1:2" ht="15.75" customHeight="1">
      <c r="A739" s="103"/>
      <c r="B739" s="104"/>
    </row>
    <row r="740" spans="1:2" ht="15.75" customHeight="1">
      <c r="A740" s="103"/>
      <c r="B740" s="104"/>
    </row>
    <row r="741" spans="1:2" ht="15.75" customHeight="1">
      <c r="A741" s="103"/>
      <c r="B741" s="104"/>
    </row>
    <row r="742" spans="1:2" ht="15.75" customHeight="1">
      <c r="A742" s="103"/>
      <c r="B742" s="104"/>
    </row>
    <row r="743" spans="1:2" ht="15.75" customHeight="1">
      <c r="A743" s="103"/>
      <c r="B743" s="104"/>
    </row>
    <row r="744" spans="1:2" ht="15.75" customHeight="1">
      <c r="A744" s="103"/>
      <c r="B744" s="104"/>
    </row>
    <row r="745" spans="1:2" ht="15.75" customHeight="1">
      <c r="A745" s="103"/>
      <c r="B745" s="104"/>
    </row>
    <row r="746" spans="1:2" ht="15.75" customHeight="1">
      <c r="A746" s="103"/>
      <c r="B746" s="104"/>
    </row>
    <row r="747" spans="1:2" ht="15.75" customHeight="1">
      <c r="A747" s="103"/>
      <c r="B747" s="104"/>
    </row>
    <row r="748" spans="1:2" ht="15.75" customHeight="1">
      <c r="A748" s="103"/>
      <c r="B748" s="104"/>
    </row>
    <row r="749" spans="1:2" ht="15.75" customHeight="1">
      <c r="A749" s="103"/>
      <c r="B749" s="104"/>
    </row>
    <row r="750" spans="1:2" ht="15.75" customHeight="1">
      <c r="A750" s="103"/>
      <c r="B750" s="104"/>
    </row>
    <row r="751" spans="1:2" ht="15.75" customHeight="1">
      <c r="A751" s="103"/>
      <c r="B751" s="104"/>
    </row>
    <row r="752" spans="1:2" ht="15.75" customHeight="1">
      <c r="A752" s="103"/>
      <c r="B752" s="104"/>
    </row>
    <row r="753" spans="1:2" ht="15.75" customHeight="1">
      <c r="A753" s="103"/>
      <c r="B753" s="104"/>
    </row>
    <row r="754" spans="1:2" ht="15.75" customHeight="1">
      <c r="A754" s="103"/>
      <c r="B754" s="104"/>
    </row>
    <row r="755" spans="1:2" ht="15.75" customHeight="1">
      <c r="A755" s="103"/>
      <c r="B755" s="104"/>
    </row>
    <row r="756" spans="1:2" ht="15.75" customHeight="1">
      <c r="A756" s="103"/>
      <c r="B756" s="104"/>
    </row>
    <row r="757" spans="1:2" ht="15.75" customHeight="1">
      <c r="A757" s="103"/>
      <c r="B757" s="104"/>
    </row>
    <row r="758" spans="1:2" ht="15.75" customHeight="1">
      <c r="A758" s="103"/>
      <c r="B758" s="104"/>
    </row>
    <row r="759" spans="1:2" ht="15.75" customHeight="1">
      <c r="A759" s="103"/>
      <c r="B759" s="104"/>
    </row>
    <row r="760" spans="1:2" ht="15.75" customHeight="1">
      <c r="A760" s="103"/>
      <c r="B760" s="104"/>
    </row>
    <row r="761" spans="1:2" ht="15.75" customHeight="1">
      <c r="A761" s="103"/>
      <c r="B761" s="104"/>
    </row>
    <row r="762" spans="1:2" ht="15.75" customHeight="1">
      <c r="A762" s="103"/>
      <c r="B762" s="104"/>
    </row>
    <row r="763" spans="1:2" ht="15.75" customHeight="1">
      <c r="A763" s="103"/>
      <c r="B763" s="104"/>
    </row>
    <row r="764" spans="1:2" ht="15.75" customHeight="1">
      <c r="A764" s="103"/>
      <c r="B764" s="104"/>
    </row>
    <row r="765" spans="1:2" ht="15.75" customHeight="1">
      <c r="A765" s="103"/>
      <c r="B765" s="104"/>
    </row>
    <row r="766" spans="1:2" ht="15.75" customHeight="1">
      <c r="A766" s="103"/>
      <c r="B766" s="104"/>
    </row>
    <row r="767" spans="1:2" ht="15.75" customHeight="1">
      <c r="A767" s="103"/>
      <c r="B767" s="104"/>
    </row>
    <row r="768" spans="1:2" ht="15.75" customHeight="1">
      <c r="A768" s="103"/>
      <c r="B768" s="104"/>
    </row>
    <row r="769" spans="1:2" ht="15.75" customHeight="1">
      <c r="A769" s="103"/>
      <c r="B769" s="104"/>
    </row>
    <row r="770" spans="1:2" ht="15.75" customHeight="1">
      <c r="A770" s="103"/>
      <c r="B770" s="104"/>
    </row>
    <row r="771" spans="1:2" ht="15.75" customHeight="1">
      <c r="A771" s="103"/>
      <c r="B771" s="104"/>
    </row>
    <row r="772" spans="1:2" ht="15.75" customHeight="1">
      <c r="A772" s="103"/>
      <c r="B772" s="104"/>
    </row>
    <row r="773" spans="1:2" ht="15.75" customHeight="1">
      <c r="A773" s="103"/>
      <c r="B773" s="104"/>
    </row>
    <row r="774" spans="1:2" ht="15.75" customHeight="1">
      <c r="A774" s="103"/>
      <c r="B774" s="104"/>
    </row>
    <row r="775" spans="1:2" ht="15.75" customHeight="1">
      <c r="A775" s="103"/>
      <c r="B775" s="104"/>
    </row>
    <row r="776" spans="1:2" ht="15.75" customHeight="1">
      <c r="A776" s="103"/>
      <c r="B776" s="104"/>
    </row>
    <row r="777" spans="1:2" ht="15.75" customHeight="1">
      <c r="A777" s="103"/>
      <c r="B777" s="104"/>
    </row>
    <row r="778" spans="1:2" ht="15.75" customHeight="1">
      <c r="A778" s="103"/>
      <c r="B778" s="104"/>
    </row>
    <row r="779" spans="1:2" ht="15.75" customHeight="1">
      <c r="A779" s="103"/>
      <c r="B779" s="104"/>
    </row>
    <row r="780" spans="1:2" ht="15.75" customHeight="1">
      <c r="A780" s="103"/>
      <c r="B780" s="104"/>
    </row>
    <row r="781" spans="1:2" ht="15.75" customHeight="1">
      <c r="A781" s="103"/>
      <c r="B781" s="104"/>
    </row>
    <row r="782" spans="1:2" ht="15.75" customHeight="1">
      <c r="A782" s="103"/>
      <c r="B782" s="104"/>
    </row>
    <row r="783" spans="1:2" ht="15.75" customHeight="1">
      <c r="A783" s="103"/>
      <c r="B783" s="104"/>
    </row>
    <row r="784" spans="1:2" ht="15.75" customHeight="1">
      <c r="A784" s="103"/>
      <c r="B784" s="104"/>
    </row>
    <row r="785" spans="1:2" ht="15.75" customHeight="1">
      <c r="A785" s="103"/>
      <c r="B785" s="104"/>
    </row>
    <row r="786" spans="1:2" ht="15.75" customHeight="1">
      <c r="A786" s="103"/>
      <c r="B786" s="104"/>
    </row>
    <row r="787" spans="1:2" ht="15.75" customHeight="1">
      <c r="A787" s="103"/>
      <c r="B787" s="104"/>
    </row>
    <row r="788" spans="1:2" ht="15.75" customHeight="1">
      <c r="A788" s="103"/>
      <c r="B788" s="104"/>
    </row>
    <row r="789" spans="1:2" ht="15.75" customHeight="1">
      <c r="A789" s="103"/>
      <c r="B789" s="104"/>
    </row>
    <row r="790" spans="1:2" ht="15.75" customHeight="1">
      <c r="A790" s="103"/>
      <c r="B790" s="104"/>
    </row>
    <row r="791" spans="1:2" ht="15.75" customHeight="1">
      <c r="A791" s="103"/>
      <c r="B791" s="104"/>
    </row>
    <row r="792" spans="1:2" ht="15.75" customHeight="1">
      <c r="A792" s="103"/>
      <c r="B792" s="104"/>
    </row>
    <row r="793" spans="1:2" ht="15.75" customHeight="1">
      <c r="A793" s="103"/>
      <c r="B793" s="104"/>
    </row>
    <row r="794" spans="1:2" ht="15.75" customHeight="1">
      <c r="A794" s="103"/>
      <c r="B794" s="104"/>
    </row>
    <row r="795" spans="1:2" ht="15.75" customHeight="1">
      <c r="A795" s="103"/>
      <c r="B795" s="104"/>
    </row>
    <row r="796" spans="1:2" ht="15.75" customHeight="1">
      <c r="A796" s="103"/>
      <c r="B796" s="104"/>
    </row>
    <row r="797" spans="1:2" ht="15.75" customHeight="1">
      <c r="A797" s="103"/>
      <c r="B797" s="104"/>
    </row>
    <row r="798" spans="1:2" ht="15.75" customHeight="1">
      <c r="A798" s="103"/>
      <c r="B798" s="104"/>
    </row>
    <row r="799" spans="1:2" ht="15.75" customHeight="1">
      <c r="A799" s="103"/>
      <c r="B799" s="104"/>
    </row>
    <row r="800" spans="1:2" ht="15.75" customHeight="1">
      <c r="A800" s="103"/>
      <c r="B800" s="104"/>
    </row>
    <row r="801" spans="1:2" ht="15.75" customHeight="1">
      <c r="A801" s="103"/>
      <c r="B801" s="104"/>
    </row>
    <row r="802" spans="1:2" ht="15.75" customHeight="1">
      <c r="A802" s="103"/>
      <c r="B802" s="104"/>
    </row>
    <row r="803" spans="1:2" ht="15.75" customHeight="1">
      <c r="A803" s="103"/>
      <c r="B803" s="104"/>
    </row>
    <row r="804" spans="1:2" ht="15.75" customHeight="1">
      <c r="A804" s="103"/>
      <c r="B804" s="104"/>
    </row>
    <row r="805" spans="1:2" ht="15.75" customHeight="1">
      <c r="A805" s="103"/>
      <c r="B805" s="104"/>
    </row>
    <row r="806" spans="1:2" ht="15.75" customHeight="1">
      <c r="A806" s="103"/>
      <c r="B806" s="104"/>
    </row>
    <row r="807" spans="1:2" ht="15.75" customHeight="1">
      <c r="A807" s="103"/>
      <c r="B807" s="104"/>
    </row>
    <row r="808" spans="1:2" ht="15.75" customHeight="1">
      <c r="A808" s="103"/>
      <c r="B808" s="104"/>
    </row>
    <row r="809" spans="1:2" ht="15.75" customHeight="1">
      <c r="A809" s="103"/>
      <c r="B809" s="104"/>
    </row>
    <row r="810" spans="1:2" ht="15.75" customHeight="1">
      <c r="A810" s="103"/>
      <c r="B810" s="104"/>
    </row>
    <row r="811" spans="1:2" ht="15.75" customHeight="1">
      <c r="A811" s="103"/>
      <c r="B811" s="104"/>
    </row>
    <row r="812" spans="1:2" ht="15.75" customHeight="1">
      <c r="A812" s="103"/>
      <c r="B812" s="104"/>
    </row>
    <row r="813" spans="1:2" ht="15.75" customHeight="1">
      <c r="A813" s="103"/>
      <c r="B813" s="104"/>
    </row>
    <row r="814" spans="1:2" ht="15.75" customHeight="1">
      <c r="A814" s="103"/>
      <c r="B814" s="104"/>
    </row>
    <row r="815" spans="1:2" ht="15.75" customHeight="1">
      <c r="A815" s="103"/>
      <c r="B815" s="104"/>
    </row>
    <row r="816" spans="1:2" ht="15.75" customHeight="1">
      <c r="A816" s="103"/>
      <c r="B816" s="104"/>
    </row>
    <row r="817" spans="1:2" ht="15.75" customHeight="1">
      <c r="A817" s="103"/>
      <c r="B817" s="104"/>
    </row>
    <row r="818" spans="1:2" ht="15.75" customHeight="1">
      <c r="A818" s="103"/>
      <c r="B818" s="104"/>
    </row>
    <row r="819" spans="1:2" ht="15.75" customHeight="1">
      <c r="A819" s="103"/>
      <c r="B819" s="104"/>
    </row>
    <row r="820" spans="1:2" ht="15.75" customHeight="1">
      <c r="A820" s="103"/>
      <c r="B820" s="104"/>
    </row>
    <row r="821" spans="1:2" ht="15.75" customHeight="1">
      <c r="A821" s="103"/>
      <c r="B821" s="104"/>
    </row>
    <row r="822" spans="1:2" ht="15.75" customHeight="1">
      <c r="A822" s="103"/>
      <c r="B822" s="104"/>
    </row>
    <row r="823" spans="1:2" ht="15.75" customHeight="1">
      <c r="A823" s="103"/>
      <c r="B823" s="104"/>
    </row>
    <row r="824" spans="1:2" ht="15.75" customHeight="1">
      <c r="A824" s="103"/>
      <c r="B824" s="104"/>
    </row>
    <row r="825" spans="1:2" ht="15.75" customHeight="1">
      <c r="A825" s="103"/>
      <c r="B825" s="104"/>
    </row>
    <row r="826" spans="1:2" ht="15.75" customHeight="1">
      <c r="A826" s="103"/>
      <c r="B826" s="104"/>
    </row>
    <row r="827" spans="1:2" ht="15.75" customHeight="1">
      <c r="A827" s="103"/>
      <c r="B827" s="104"/>
    </row>
    <row r="828" spans="1:2" ht="15.75" customHeight="1">
      <c r="A828" s="103"/>
      <c r="B828" s="104"/>
    </row>
    <row r="829" spans="1:2" ht="15.75" customHeight="1">
      <c r="A829" s="103"/>
      <c r="B829" s="104"/>
    </row>
    <row r="830" spans="1:2" ht="15.75" customHeight="1">
      <c r="A830" s="103"/>
      <c r="B830" s="104"/>
    </row>
    <row r="831" spans="1:2" ht="15.75" customHeight="1">
      <c r="A831" s="103"/>
      <c r="B831" s="104"/>
    </row>
    <row r="832" spans="1:2" ht="15.75" customHeight="1">
      <c r="A832" s="103"/>
      <c r="B832" s="104"/>
    </row>
    <row r="833" spans="1:2" ht="15.75" customHeight="1">
      <c r="A833" s="103"/>
      <c r="B833" s="104"/>
    </row>
    <row r="834" spans="1:2" ht="15.75" customHeight="1">
      <c r="A834" s="103"/>
      <c r="B834" s="104"/>
    </row>
    <row r="835" spans="1:2" ht="15.75" customHeight="1">
      <c r="A835" s="103"/>
      <c r="B835" s="104"/>
    </row>
    <row r="836" spans="1:2" ht="15.75" customHeight="1">
      <c r="A836" s="103"/>
      <c r="B836" s="104"/>
    </row>
    <row r="837" spans="1:2" ht="15.75" customHeight="1">
      <c r="A837" s="103"/>
      <c r="B837" s="104"/>
    </row>
    <row r="838" spans="1:2" ht="15.75" customHeight="1">
      <c r="A838" s="103"/>
      <c r="B838" s="104"/>
    </row>
    <row r="839" spans="1:2" ht="15.75" customHeight="1">
      <c r="A839" s="103"/>
      <c r="B839" s="104"/>
    </row>
    <row r="840" spans="1:2" ht="15.75" customHeight="1">
      <c r="A840" s="103"/>
      <c r="B840" s="104"/>
    </row>
    <row r="841" spans="1:2" ht="15.75" customHeight="1">
      <c r="A841" s="103"/>
      <c r="B841" s="104"/>
    </row>
    <row r="842" spans="1:2" ht="15.75" customHeight="1">
      <c r="A842" s="103"/>
      <c r="B842" s="104"/>
    </row>
    <row r="843" spans="1:2" ht="15.75" customHeight="1">
      <c r="A843" s="103"/>
      <c r="B843" s="104"/>
    </row>
    <row r="844" spans="1:2" ht="15.75" customHeight="1">
      <c r="A844" s="103"/>
      <c r="B844" s="104"/>
    </row>
    <row r="845" spans="1:2" ht="15.75" customHeight="1">
      <c r="A845" s="103"/>
      <c r="B845" s="104"/>
    </row>
    <row r="846" spans="1:2" ht="15.75" customHeight="1">
      <c r="A846" s="103"/>
      <c r="B846" s="104"/>
    </row>
    <row r="847" spans="1:2" ht="15.75" customHeight="1">
      <c r="A847" s="103"/>
      <c r="B847" s="104"/>
    </row>
    <row r="848" spans="1:2" ht="15.75" customHeight="1">
      <c r="A848" s="103"/>
      <c r="B848" s="104"/>
    </row>
    <row r="849" spans="1:2" ht="15.75" customHeight="1">
      <c r="A849" s="103"/>
      <c r="B849" s="104"/>
    </row>
    <row r="850" spans="1:2" ht="15.75" customHeight="1">
      <c r="A850" s="103"/>
      <c r="B850" s="104"/>
    </row>
    <row r="851" spans="1:2" ht="15.75" customHeight="1">
      <c r="A851" s="103"/>
      <c r="B851" s="104"/>
    </row>
    <row r="852" spans="1:2" ht="15.75" customHeight="1">
      <c r="A852" s="103"/>
      <c r="B852" s="104"/>
    </row>
    <row r="853" spans="1:2" ht="15.75" customHeight="1">
      <c r="A853" s="103"/>
      <c r="B853" s="104"/>
    </row>
    <row r="854" spans="1:2" ht="15.75" customHeight="1">
      <c r="A854" s="103"/>
      <c r="B854" s="104"/>
    </row>
    <row r="855" spans="1:2" ht="15.75" customHeight="1">
      <c r="A855" s="103"/>
      <c r="B855" s="104"/>
    </row>
    <row r="856" spans="1:2" ht="15.75" customHeight="1">
      <c r="A856" s="103"/>
      <c r="B856" s="104"/>
    </row>
    <row r="857" spans="1:2" ht="15.75" customHeight="1">
      <c r="A857" s="103"/>
      <c r="B857" s="104"/>
    </row>
    <row r="858" spans="1:2" ht="15.75" customHeight="1">
      <c r="A858" s="103"/>
      <c r="B858" s="104"/>
    </row>
    <row r="859" spans="1:2" ht="15.75" customHeight="1">
      <c r="A859" s="103"/>
      <c r="B859" s="104"/>
    </row>
    <row r="860" spans="1:2" ht="15.75" customHeight="1">
      <c r="A860" s="103"/>
      <c r="B860" s="104"/>
    </row>
    <row r="861" spans="1:2" ht="15.75" customHeight="1">
      <c r="A861" s="103"/>
      <c r="B861" s="104"/>
    </row>
    <row r="862" spans="1:2" ht="15.75" customHeight="1">
      <c r="A862" s="103"/>
      <c r="B862" s="104"/>
    </row>
    <row r="863" spans="1:2" ht="15.75" customHeight="1">
      <c r="A863" s="103"/>
      <c r="B863" s="104"/>
    </row>
    <row r="864" spans="1:2" ht="15.75" customHeight="1">
      <c r="A864" s="103"/>
      <c r="B864" s="104"/>
    </row>
    <row r="865" spans="1:2" ht="15.75" customHeight="1">
      <c r="A865" s="103"/>
      <c r="B865" s="104"/>
    </row>
    <row r="866" spans="1:2" ht="15.75" customHeight="1">
      <c r="A866" s="103"/>
      <c r="B866" s="104"/>
    </row>
    <row r="867" spans="1:2" ht="15.75" customHeight="1">
      <c r="A867" s="103"/>
      <c r="B867" s="104"/>
    </row>
    <row r="868" spans="1:2" ht="15.75" customHeight="1">
      <c r="A868" s="103"/>
      <c r="B868" s="104"/>
    </row>
    <row r="869" spans="1:2" ht="15.75" customHeight="1">
      <c r="A869" s="103"/>
      <c r="B869" s="104"/>
    </row>
    <row r="870" spans="1:2" ht="15.75" customHeight="1">
      <c r="A870" s="103"/>
      <c r="B870" s="104"/>
    </row>
    <row r="871" spans="1:2" ht="15.75" customHeight="1">
      <c r="A871" s="103"/>
      <c r="B871" s="104"/>
    </row>
    <row r="872" spans="1:2" ht="15.75" customHeight="1">
      <c r="A872" s="103"/>
      <c r="B872" s="104"/>
    </row>
    <row r="873" spans="1:2" ht="15.75" customHeight="1">
      <c r="A873" s="103"/>
      <c r="B873" s="104"/>
    </row>
    <row r="874" spans="1:2" ht="15.75" customHeight="1">
      <c r="A874" s="103"/>
      <c r="B874" s="104"/>
    </row>
    <row r="875" spans="1:2" ht="15.75" customHeight="1">
      <c r="A875" s="103"/>
      <c r="B875" s="104"/>
    </row>
    <row r="876" spans="1:2" ht="15.75" customHeight="1">
      <c r="A876" s="103"/>
      <c r="B876" s="104"/>
    </row>
    <row r="877" spans="1:2" ht="15.75" customHeight="1">
      <c r="A877" s="103"/>
      <c r="B877" s="104"/>
    </row>
    <row r="878" spans="1:2" ht="15.75" customHeight="1">
      <c r="A878" s="103"/>
      <c r="B878" s="104"/>
    </row>
    <row r="879" spans="1:2" ht="15.75" customHeight="1">
      <c r="A879" s="103"/>
      <c r="B879" s="104"/>
    </row>
    <row r="880" spans="1:2" ht="15.75" customHeight="1">
      <c r="A880" s="103"/>
      <c r="B880" s="104"/>
    </row>
    <row r="881" spans="1:2" ht="15.75" customHeight="1">
      <c r="A881" s="103"/>
      <c r="B881" s="104"/>
    </row>
    <row r="882" spans="1:2" ht="15.75" customHeight="1">
      <c r="A882" s="103"/>
      <c r="B882" s="104"/>
    </row>
    <row r="883" spans="1:2" ht="15.75" customHeight="1">
      <c r="A883" s="103"/>
      <c r="B883" s="104"/>
    </row>
    <row r="884" spans="1:2" ht="15.75" customHeight="1">
      <c r="A884" s="103"/>
      <c r="B884" s="104"/>
    </row>
    <row r="885" spans="1:2" ht="15.75" customHeight="1">
      <c r="A885" s="103"/>
      <c r="B885" s="104"/>
    </row>
    <row r="886" spans="1:2" ht="15.75" customHeight="1">
      <c r="A886" s="103"/>
      <c r="B886" s="104"/>
    </row>
    <row r="887" spans="1:2" ht="15.75" customHeight="1">
      <c r="A887" s="103"/>
      <c r="B887" s="104"/>
    </row>
    <row r="888" spans="1:2" ht="15.75" customHeight="1">
      <c r="A888" s="103"/>
      <c r="B888" s="104"/>
    </row>
    <row r="889" spans="1:2" ht="15.75" customHeight="1">
      <c r="A889" s="103"/>
      <c r="B889" s="104"/>
    </row>
    <row r="890" spans="1:2" ht="15.75" customHeight="1">
      <c r="A890" s="103"/>
      <c r="B890" s="104"/>
    </row>
    <row r="891" spans="1:2" ht="15.75" customHeight="1">
      <c r="A891" s="103"/>
      <c r="B891" s="104"/>
    </row>
    <row r="892" spans="1:2" ht="15.75" customHeight="1">
      <c r="A892" s="103"/>
      <c r="B892" s="104"/>
    </row>
    <row r="893" spans="1:2" ht="15.75" customHeight="1">
      <c r="A893" s="103"/>
      <c r="B893" s="104"/>
    </row>
    <row r="894" spans="1:2" ht="15.75" customHeight="1">
      <c r="A894" s="103"/>
      <c r="B894" s="104"/>
    </row>
    <row r="895" spans="1:2" ht="15.75" customHeight="1">
      <c r="A895" s="103"/>
      <c r="B895" s="104"/>
    </row>
    <row r="896" spans="1:2" ht="15.75" customHeight="1">
      <c r="A896" s="103"/>
      <c r="B896" s="104"/>
    </row>
    <row r="897" spans="1:2" ht="15.75" customHeight="1">
      <c r="A897" s="103"/>
      <c r="B897" s="104"/>
    </row>
    <row r="898" spans="1:2" ht="15.75" customHeight="1">
      <c r="A898" s="103"/>
      <c r="B898" s="104"/>
    </row>
    <row r="899" spans="1:2" ht="15.75" customHeight="1">
      <c r="A899" s="103"/>
      <c r="B899" s="104"/>
    </row>
    <row r="900" spans="1:2" ht="15.75" customHeight="1">
      <c r="A900" s="103"/>
      <c r="B900" s="104"/>
    </row>
    <row r="901" spans="1:2" ht="15.75" customHeight="1">
      <c r="A901" s="103"/>
      <c r="B901" s="104"/>
    </row>
    <row r="902" spans="1:2" ht="15.75" customHeight="1">
      <c r="A902" s="103"/>
      <c r="B902" s="104"/>
    </row>
    <row r="903" spans="1:2" ht="15.75" customHeight="1">
      <c r="A903" s="103"/>
      <c r="B903" s="104"/>
    </row>
    <row r="904" spans="1:2" ht="15.75" customHeight="1">
      <c r="A904" s="103"/>
      <c r="B904" s="104"/>
    </row>
    <row r="905" spans="1:2" ht="15.75" customHeight="1">
      <c r="A905" s="103"/>
      <c r="B905" s="104"/>
    </row>
    <row r="906" spans="1:2" ht="15.75" customHeight="1">
      <c r="A906" s="103"/>
      <c r="B906" s="104"/>
    </row>
    <row r="907" spans="1:2" ht="15.75" customHeight="1">
      <c r="A907" s="103"/>
      <c r="B907" s="104"/>
    </row>
    <row r="908" spans="1:2" ht="15.75" customHeight="1">
      <c r="A908" s="103"/>
      <c r="B908" s="104"/>
    </row>
    <row r="909" spans="1:2" ht="15.75" customHeight="1">
      <c r="A909" s="103"/>
      <c r="B909" s="104"/>
    </row>
    <row r="910" spans="1:2" ht="15.75" customHeight="1">
      <c r="A910" s="103"/>
      <c r="B910" s="104"/>
    </row>
    <row r="911" spans="1:2" ht="15.75" customHeight="1">
      <c r="A911" s="103"/>
      <c r="B911" s="104"/>
    </row>
    <row r="912" spans="1:2" ht="15.75" customHeight="1">
      <c r="A912" s="103"/>
      <c r="B912" s="104"/>
    </row>
    <row r="913" spans="1:2" ht="15.75" customHeight="1">
      <c r="A913" s="103"/>
      <c r="B913" s="104"/>
    </row>
    <row r="914" spans="1:2" ht="15.75" customHeight="1">
      <c r="A914" s="103"/>
      <c r="B914" s="104"/>
    </row>
    <row r="915" spans="1:2" ht="15.75" customHeight="1">
      <c r="A915" s="103"/>
      <c r="B915" s="104"/>
    </row>
    <row r="916" spans="1:2" ht="15.75" customHeight="1">
      <c r="A916" s="103"/>
      <c r="B916" s="104"/>
    </row>
    <row r="917" spans="1:2" ht="15.75" customHeight="1">
      <c r="A917" s="103"/>
      <c r="B917" s="104"/>
    </row>
    <row r="918" spans="1:2" ht="15.75" customHeight="1">
      <c r="A918" s="103"/>
      <c r="B918" s="104"/>
    </row>
    <row r="919" spans="1:2" ht="15.75" customHeight="1">
      <c r="A919" s="103"/>
      <c r="B919" s="104"/>
    </row>
    <row r="920" spans="1:2" ht="15.75" customHeight="1">
      <c r="A920" s="103"/>
      <c r="B920" s="104"/>
    </row>
    <row r="921" spans="1:2" ht="15.75" customHeight="1">
      <c r="A921" s="103"/>
      <c r="B921" s="104"/>
    </row>
    <row r="922" spans="1:2" ht="15.75" customHeight="1">
      <c r="A922" s="103"/>
      <c r="B922" s="104"/>
    </row>
    <row r="923" spans="1:2" ht="15.75" customHeight="1">
      <c r="A923" s="103"/>
      <c r="B923" s="104"/>
    </row>
    <row r="924" spans="1:2" ht="15.75" customHeight="1">
      <c r="A924" s="103"/>
      <c r="B924" s="104"/>
    </row>
    <row r="925" spans="1:2" ht="15.75" customHeight="1">
      <c r="A925" s="103"/>
      <c r="B925" s="104"/>
    </row>
    <row r="926" spans="1:2" ht="15.75" customHeight="1">
      <c r="A926" s="103"/>
      <c r="B926" s="104"/>
    </row>
    <row r="927" spans="1:2" ht="15.75" customHeight="1">
      <c r="A927" s="103"/>
      <c r="B927" s="104"/>
    </row>
    <row r="928" spans="1:2" ht="15.75" customHeight="1">
      <c r="A928" s="103"/>
      <c r="B928" s="104"/>
    </row>
    <row r="929" spans="1:2" ht="15.75" customHeight="1">
      <c r="A929" s="103"/>
      <c r="B929" s="104"/>
    </row>
    <row r="930" spans="1:2" ht="15.75" customHeight="1">
      <c r="A930" s="103"/>
      <c r="B930" s="104"/>
    </row>
    <row r="931" spans="1:2" ht="15.75" customHeight="1">
      <c r="A931" s="103"/>
      <c r="B931" s="104"/>
    </row>
    <row r="932" spans="1:2" ht="15.75" customHeight="1">
      <c r="A932" s="103"/>
      <c r="B932" s="104"/>
    </row>
    <row r="933" spans="1:2" ht="15.75" customHeight="1">
      <c r="A933" s="103"/>
      <c r="B933" s="104"/>
    </row>
    <row r="934" spans="1:2" ht="15.75" customHeight="1">
      <c r="A934" s="103"/>
      <c r="B934" s="104"/>
    </row>
    <row r="935" spans="1:2" ht="15.75" customHeight="1">
      <c r="A935" s="103"/>
      <c r="B935" s="104"/>
    </row>
    <row r="936" spans="1:2" ht="15.75" customHeight="1">
      <c r="A936" s="103"/>
      <c r="B936" s="104"/>
    </row>
    <row r="937" spans="1:2" ht="15.75" customHeight="1">
      <c r="A937" s="103"/>
      <c r="B937" s="104"/>
    </row>
    <row r="938" spans="1:2" ht="15.75" customHeight="1">
      <c r="A938" s="103"/>
      <c r="B938" s="104"/>
    </row>
    <row r="939" spans="1:2" ht="15.75" customHeight="1">
      <c r="A939" s="103"/>
      <c r="B939" s="104"/>
    </row>
    <row r="940" spans="1:2" ht="15.75" customHeight="1">
      <c r="A940" s="103"/>
      <c r="B940" s="104"/>
    </row>
    <row r="941" spans="1:2" ht="15.75" customHeight="1">
      <c r="A941" s="103"/>
      <c r="B941" s="104"/>
    </row>
    <row r="942" spans="1:2" ht="15.75" customHeight="1">
      <c r="A942" s="103"/>
      <c r="B942" s="104"/>
    </row>
    <row r="943" spans="1:2" ht="15.75" customHeight="1">
      <c r="A943" s="103"/>
      <c r="B943" s="104"/>
    </row>
    <row r="944" spans="1:2" ht="15.75" customHeight="1">
      <c r="A944" s="103"/>
      <c r="B944" s="104"/>
    </row>
    <row r="945" spans="1:2" ht="15.75" customHeight="1">
      <c r="A945" s="103"/>
      <c r="B945" s="104"/>
    </row>
    <row r="946" spans="1:2" ht="15.75" customHeight="1">
      <c r="A946" s="103"/>
      <c r="B946" s="104"/>
    </row>
    <row r="947" spans="1:2" ht="15.75" customHeight="1">
      <c r="A947" s="103"/>
      <c r="B947" s="104"/>
    </row>
    <row r="948" spans="1:2" ht="15.75" customHeight="1">
      <c r="A948" s="103"/>
      <c r="B948" s="104"/>
    </row>
    <row r="949" spans="1:2" ht="15.75" customHeight="1">
      <c r="A949" s="103"/>
      <c r="B949" s="104"/>
    </row>
    <row r="950" spans="1:2" ht="15.75" customHeight="1">
      <c r="A950" s="103"/>
      <c r="B950" s="104"/>
    </row>
    <row r="951" spans="1:2" ht="15.75" customHeight="1">
      <c r="A951" s="103"/>
      <c r="B951" s="104"/>
    </row>
    <row r="952" spans="1:2" ht="15.75" customHeight="1">
      <c r="A952" s="103"/>
      <c r="B952" s="104"/>
    </row>
    <row r="953" spans="1:2" ht="15.75" customHeight="1">
      <c r="A953" s="103"/>
      <c r="B953" s="104"/>
    </row>
    <row r="954" spans="1:2" ht="15.75" customHeight="1">
      <c r="A954" s="103"/>
      <c r="B954" s="104"/>
    </row>
    <row r="955" spans="1:2" ht="15.75" customHeight="1">
      <c r="A955" s="103"/>
      <c r="B955" s="104"/>
    </row>
    <row r="956" spans="1:2" ht="15.75" customHeight="1">
      <c r="A956" s="103"/>
      <c r="B956" s="104"/>
    </row>
    <row r="957" spans="1:2" ht="15.75" customHeight="1">
      <c r="A957" s="103"/>
      <c r="B957" s="104"/>
    </row>
    <row r="958" spans="1:2" ht="15.75" customHeight="1">
      <c r="A958" s="103"/>
      <c r="B958" s="104"/>
    </row>
    <row r="959" spans="1:2" ht="15.75" customHeight="1">
      <c r="A959" s="103"/>
      <c r="B959" s="104"/>
    </row>
    <row r="960" spans="1:2" ht="15.75" customHeight="1">
      <c r="A960" s="103"/>
      <c r="B960" s="104"/>
    </row>
    <row r="961" spans="1:2" ht="15.75" customHeight="1">
      <c r="A961" s="103"/>
      <c r="B961" s="104"/>
    </row>
    <row r="962" spans="1:2" ht="15.75" customHeight="1">
      <c r="A962" s="102"/>
    </row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4月20日～5月19</vt:lpstr>
      <vt:lpstr>6月20日～7月19</vt:lpstr>
      <vt:lpstr>7月20日～8月19</vt:lpstr>
      <vt:lpstr>9月20日～10月19</vt:lpstr>
      <vt:lpstr>11月20日～12月19</vt:lpstr>
      <vt:lpstr>12月20日～01月19 (2)</vt:lpstr>
      <vt:lpstr>21.02.20-21.03.19</vt:lpstr>
      <vt:lpstr>6月22日～7月20日</vt:lpstr>
      <vt:lpstr>7月21日～8月24日</vt:lpstr>
      <vt:lpstr>8月25日～9月22日</vt:lpstr>
      <vt:lpstr>09月23日～10月20日</vt:lpstr>
      <vt:lpstr>10月20日～11月19日</vt:lpstr>
      <vt:lpstr>1月20日～2月19日</vt:lpstr>
      <vt:lpstr>5月20日～6月19</vt:lpstr>
      <vt:lpstr>21.03.20-21.04.19</vt:lpstr>
      <vt:lpstr>21.04.20-21.05.19 </vt:lpstr>
      <vt:lpstr>21.08.20-21.09.19</vt:lpstr>
      <vt:lpstr>21.09.20-21.10.19</vt:lpstr>
      <vt:lpstr>21.10.20-21.11.19</vt:lpstr>
      <vt:lpstr>21.11.20-21.12.19</vt:lpstr>
      <vt:lpstr>21.12.20-22.01.19</vt:lpstr>
      <vt:lpstr>21.05.20-21.06.19</vt:lpstr>
      <vt:lpstr>21.06.20-21.07.19</vt:lpstr>
      <vt:lpstr>21.07.20-21.08.19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Van Huy</dc:creator>
  <cp:lastModifiedBy>Phan Van Huy</cp:lastModifiedBy>
  <dcterms:created xsi:type="dcterms:W3CDTF">2022-12-05T07:39:52Z</dcterms:created>
  <dcterms:modified xsi:type="dcterms:W3CDTF">2022-12-15T07:35:36Z</dcterms:modified>
</cp:coreProperties>
</file>