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net\Downloads\"/>
    </mc:Choice>
  </mc:AlternateContent>
  <xr:revisionPtr revIDLastSave="0" documentId="13_ncr:1_{EC371654-F039-47AC-A847-2E0F52E6C66D}" xr6:coauthVersionLast="47" xr6:coauthVersionMax="47" xr10:uidLastSave="{00000000-0000-0000-0000-000000000000}"/>
  <bookViews>
    <workbookView xWindow="-108" yWindow="-108" windowWidth="23256" windowHeight="13896" firstSheet="14" activeTab="19" xr2:uid="{12D3C602-5F84-4D76-A2AE-BAC259C9595F}"/>
  </bookViews>
  <sheets>
    <sheet name="Portada" sheetId="40" r:id="rId1"/>
    <sheet name="Ingreso" sheetId="53" r:id="rId2"/>
    <sheet name="A" sheetId="22" r:id="rId3"/>
    <sheet name="B" sheetId="42" r:id="rId4"/>
    <sheet name="C" sheetId="43" r:id="rId5"/>
    <sheet name="D" sheetId="44" r:id="rId6"/>
    <sheet name="E" sheetId="45" r:id="rId7"/>
    <sheet name="F" sheetId="46" r:id="rId8"/>
    <sheet name="G" sheetId="47" r:id="rId9"/>
    <sheet name="H" sheetId="48" r:id="rId10"/>
    <sheet name="I" sheetId="49" r:id="rId11"/>
    <sheet name="J" sheetId="50" r:id="rId12"/>
    <sheet name="K" sheetId="51" r:id="rId13"/>
    <sheet name="L" sheetId="52" r:id="rId14"/>
    <sheet name="Dieciseisavos" sheetId="17" r:id="rId15"/>
    <sheet name="Octavos" sheetId="54" r:id="rId16"/>
    <sheet name="Cuartos" sheetId="18" r:id="rId17"/>
    <sheet name="Semifinales" sheetId="19" r:id="rId18"/>
    <sheet name="FINAL" sheetId="34" r:id="rId19"/>
    <sheet name="RESUMEN" sheetId="55" r:id="rId20"/>
    <sheet name="Extra" sheetId="37" r:id="rId21"/>
    <sheet name="UTC" sheetId="39" r:id="rId22"/>
    <sheet name="Copyright" sheetId="33" r:id="rId23"/>
    <sheet name="Recursos" sheetId="35" r:id="rId24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55" l="1"/>
  <c r="B48" i="55"/>
  <c r="A6" i="55"/>
  <c r="D6" i="55"/>
  <c r="A7" i="55"/>
  <c r="D7" i="55"/>
  <c r="A8" i="55"/>
  <c r="D8" i="55"/>
  <c r="A9" i="55"/>
  <c r="D9" i="55"/>
  <c r="A10" i="55"/>
  <c r="D10" i="55"/>
  <c r="A11" i="55"/>
  <c r="D11" i="55"/>
  <c r="A12" i="55"/>
  <c r="D12" i="55"/>
  <c r="A13" i="55"/>
  <c r="D13" i="55"/>
  <c r="A14" i="55"/>
  <c r="D14" i="55"/>
  <c r="A15" i="55"/>
  <c r="D15" i="55"/>
  <c r="A16" i="55"/>
  <c r="D16" i="55"/>
  <c r="A17" i="55"/>
  <c r="D17" i="55"/>
  <c r="A18" i="55"/>
  <c r="D18" i="55"/>
  <c r="A19" i="55"/>
  <c r="D19" i="55"/>
  <c r="A20" i="55"/>
  <c r="D20" i="55"/>
  <c r="A21" i="55"/>
  <c r="D21" i="55"/>
  <c r="A24" i="55"/>
  <c r="D24" i="55"/>
  <c r="A25" i="55"/>
  <c r="D25" i="55"/>
  <c r="A26" i="55"/>
  <c r="D26" i="55"/>
  <c r="A27" i="55"/>
  <c r="D27" i="55"/>
  <c r="A28" i="55"/>
  <c r="D28" i="55"/>
  <c r="A29" i="55"/>
  <c r="D29" i="55"/>
  <c r="A30" i="55"/>
  <c r="D30" i="55"/>
  <c r="A31" i="55"/>
  <c r="D31" i="55"/>
  <c r="A34" i="55"/>
  <c r="D34" i="55"/>
  <c r="A35" i="55"/>
  <c r="D35" i="55"/>
  <c r="A36" i="55"/>
  <c r="D36" i="55"/>
  <c r="A37" i="55"/>
  <c r="D37" i="55"/>
  <c r="A40" i="55"/>
  <c r="D40" i="55"/>
  <c r="A41" i="55"/>
  <c r="D41" i="55"/>
  <c r="A44" i="55"/>
  <c r="D44" i="55"/>
  <c r="A45" i="55"/>
  <c r="D45" i="55"/>
  <c r="AL25" i="48"/>
  <c r="AL20" i="48"/>
  <c r="AL15" i="48"/>
  <c r="AL10" i="48"/>
  <c r="AK25" i="48"/>
  <c r="AK20" i="48"/>
  <c r="AK15" i="48"/>
  <c r="AK10" i="48"/>
  <c r="XFD1" i="40"/>
  <c r="Q2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V6" i="34"/>
  <c r="V6" i="19"/>
  <c r="T6" i="18"/>
  <c r="T6" i="54"/>
  <c r="C8" i="22"/>
  <c r="P15" i="34"/>
  <c r="F45" i="55" s="1"/>
  <c r="P8" i="34"/>
  <c r="F44" i="55" s="1"/>
  <c r="P12" i="19"/>
  <c r="F41" i="55" s="1"/>
  <c r="P8" i="19"/>
  <c r="F40" i="55" s="1"/>
  <c r="P20" i="18"/>
  <c r="F37" i="55" s="1"/>
  <c r="P16" i="18"/>
  <c r="F36" i="55" s="1"/>
  <c r="P12" i="18"/>
  <c r="F35" i="55" s="1"/>
  <c r="P8" i="18"/>
  <c r="F34" i="55" s="1"/>
  <c r="P36" i="54"/>
  <c r="F31" i="55" s="1"/>
  <c r="P32" i="54"/>
  <c r="F30" i="55" s="1"/>
  <c r="P28" i="54"/>
  <c r="F29" i="55" s="1"/>
  <c r="P24" i="54"/>
  <c r="F28" i="55" s="1"/>
  <c r="P20" i="54"/>
  <c r="F27" i="55" s="1"/>
  <c r="P16" i="54"/>
  <c r="F26" i="55" s="1"/>
  <c r="P12" i="54"/>
  <c r="F25" i="55" s="1"/>
  <c r="P8" i="54"/>
  <c r="F24" i="55" s="1"/>
  <c r="P68" i="17"/>
  <c r="F21" i="55" s="1"/>
  <c r="P64" i="17"/>
  <c r="F20" i="55" s="1"/>
  <c r="P60" i="17"/>
  <c r="F19" i="55" s="1"/>
  <c r="P56" i="17"/>
  <c r="F18" i="55" s="1"/>
  <c r="P52" i="17"/>
  <c r="F17" i="55" s="1"/>
  <c r="P48" i="17"/>
  <c r="F16" i="55" s="1"/>
  <c r="P44" i="17"/>
  <c r="F15" i="55" s="1"/>
  <c r="P40" i="17"/>
  <c r="F14" i="55" s="1"/>
  <c r="P36" i="17"/>
  <c r="F13" i="55" s="1"/>
  <c r="P32" i="17"/>
  <c r="F12" i="55" s="1"/>
  <c r="P28" i="17"/>
  <c r="F11" i="55" s="1"/>
  <c r="P24" i="17"/>
  <c r="F10" i="55" s="1"/>
  <c r="P20" i="17"/>
  <c r="F9" i="55" s="1"/>
  <c r="P16" i="17"/>
  <c r="F8" i="55" s="1"/>
  <c r="P12" i="17"/>
  <c r="F7" i="55" s="1"/>
  <c r="P8" i="17"/>
  <c r="F6" i="55" s="1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L10" i="47"/>
  <c r="AK25" i="47"/>
  <c r="AK20" i="47"/>
  <c r="AK15" i="47"/>
  <c r="AK10" i="47"/>
  <c r="AU29" i="52"/>
  <c r="AT29" i="52"/>
  <c r="AU28" i="52"/>
  <c r="AT28" i="52"/>
  <c r="AU25" i="52"/>
  <c r="AT25" i="52"/>
  <c r="AU24" i="52"/>
  <c r="AT24" i="52"/>
  <c r="AU21" i="52"/>
  <c r="AT21" i="52"/>
  <c r="AU17" i="52"/>
  <c r="AT17" i="52"/>
  <c r="AU13" i="49"/>
  <c r="AT13" i="49"/>
  <c r="AU12" i="49"/>
  <c r="AT12" i="49"/>
  <c r="AU9" i="49"/>
  <c r="AT9" i="49"/>
  <c r="AU8" i="49"/>
  <c r="AT8" i="49"/>
  <c r="AO6" i="49"/>
  <c r="AU29" i="48"/>
  <c r="AT29" i="48"/>
  <c r="AU28" i="48"/>
  <c r="AT28" i="48"/>
  <c r="AU25" i="48"/>
  <c r="AT25" i="48"/>
  <c r="AS25" i="48"/>
  <c r="AU24" i="48"/>
  <c r="AT24" i="48"/>
  <c r="AS24" i="48"/>
  <c r="AU21" i="48"/>
  <c r="AT21" i="48"/>
  <c r="AU20" i="48"/>
  <c r="AT20" i="48"/>
  <c r="AU17" i="48"/>
  <c r="AT17" i="48"/>
  <c r="AU16" i="48"/>
  <c r="AT16" i="48"/>
  <c r="AU13" i="48"/>
  <c r="AT13" i="48"/>
  <c r="AU12" i="48"/>
  <c r="AT12" i="48"/>
  <c r="AU9" i="48"/>
  <c r="AT9" i="48"/>
  <c r="AU8" i="48"/>
  <c r="AT8" i="48"/>
  <c r="AU29" i="47"/>
  <c r="AT29" i="47"/>
  <c r="AU28" i="47"/>
  <c r="AT28" i="47"/>
  <c r="AU25" i="47"/>
  <c r="AT25" i="47"/>
  <c r="AU24" i="47"/>
  <c r="AT24" i="47"/>
  <c r="AU21" i="47"/>
  <c r="AT21" i="47"/>
  <c r="AU20" i="47"/>
  <c r="AT20" i="47"/>
  <c r="AU17" i="47"/>
  <c r="AT17" i="47"/>
  <c r="AU16" i="47"/>
  <c r="AT16" i="47"/>
  <c r="AU13" i="47"/>
  <c r="AT13" i="47"/>
  <c r="AU12" i="47"/>
  <c r="AT12" i="47"/>
  <c r="AU17" i="44"/>
  <c r="AU24" i="42"/>
  <c r="AT24" i="42"/>
  <c r="AU21" i="42"/>
  <c r="AT21" i="42"/>
  <c r="AS21" i="42"/>
  <c r="AU20" i="42"/>
  <c r="AT20" i="42"/>
  <c r="AS20" i="42"/>
  <c r="AU17" i="42"/>
  <c r="AT17" i="42"/>
  <c r="AU16" i="42"/>
  <c r="AT16" i="42"/>
  <c r="AU13" i="42"/>
  <c r="AT13" i="42"/>
  <c r="AU12" i="42"/>
  <c r="AT12" i="42"/>
  <c r="AU9" i="42"/>
  <c r="AT9" i="42"/>
  <c r="L36" i="54"/>
  <c r="G36" i="54"/>
  <c r="L32" i="54"/>
  <c r="G32" i="54"/>
  <c r="L28" i="54"/>
  <c r="G28" i="54"/>
  <c r="L24" i="54"/>
  <c r="G24" i="54"/>
  <c r="L20" i="54"/>
  <c r="G20" i="54"/>
  <c r="L16" i="54"/>
  <c r="G16" i="54"/>
  <c r="L12" i="54"/>
  <c r="G12" i="54"/>
  <c r="L8" i="54"/>
  <c r="G8" i="54"/>
  <c r="N16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AS25" i="52" s="1"/>
  <c r="N20" i="52"/>
  <c r="AS21" i="52" s="1"/>
  <c r="N16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AS13" i="49" s="1"/>
  <c r="N8" i="49"/>
  <c r="N28" i="48"/>
  <c r="AS28" i="48" s="1"/>
  <c r="N24" i="48"/>
  <c r="N20" i="48"/>
  <c r="N16" i="48"/>
  <c r="N12" i="48"/>
  <c r="AS12" i="48" s="1"/>
  <c r="N8" i="48"/>
  <c r="N28" i="47"/>
  <c r="AS28" i="47" s="1"/>
  <c r="N24" i="47"/>
  <c r="N20" i="47"/>
  <c r="AS21" i="47" s="1"/>
  <c r="N16" i="47"/>
  <c r="N12" i="47"/>
  <c r="AS13" i="47" s="1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AS13" i="42" s="1"/>
  <c r="N8" i="42"/>
  <c r="F28" i="52"/>
  <c r="AS29" i="52" s="1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AS8" i="49" s="1"/>
  <c r="F28" i="48"/>
  <c r="F24" i="48"/>
  <c r="F20" i="48"/>
  <c r="AS21" i="48" s="1"/>
  <c r="F16" i="48"/>
  <c r="F12" i="48"/>
  <c r="F8" i="48"/>
  <c r="F28" i="47"/>
  <c r="F24" i="47"/>
  <c r="F20" i="47"/>
  <c r="F16" i="47"/>
  <c r="AS16" i="47" s="1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AS24" i="52" l="1"/>
  <c r="AS28" i="52"/>
  <c r="AS17" i="52"/>
  <c r="AS12" i="49"/>
  <c r="AS9" i="49"/>
  <c r="AS29" i="48"/>
  <c r="AS20" i="48"/>
  <c r="AS17" i="48"/>
  <c r="AS13" i="48"/>
  <c r="AS16" i="48"/>
  <c r="AS9" i="48"/>
  <c r="AS8" i="48"/>
  <c r="AS29" i="47"/>
  <c r="AS25" i="47"/>
  <c r="AS24" i="47"/>
  <c r="AS20" i="47"/>
  <c r="AS17" i="47"/>
  <c r="AS24" i="42"/>
  <c r="AS17" i="42"/>
  <c r="AS16" i="42"/>
  <c r="AS12" i="42"/>
  <c r="AL25" i="47"/>
  <c r="AL20" i="47"/>
  <c r="AL15" i="47"/>
  <c r="AK10" i="42"/>
  <c r="AL25" i="42"/>
  <c r="AL20" i="42"/>
  <c r="AL15" i="42"/>
  <c r="AL10" i="42"/>
  <c r="AK25" i="42"/>
  <c r="AK20" i="42"/>
  <c r="AM20" i="42" s="1"/>
  <c r="AK15" i="42"/>
  <c r="AU16" i="52"/>
  <c r="AT16" i="52"/>
  <c r="AV16" i="52" s="1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S25" i="46"/>
  <c r="AU24" i="46"/>
  <c r="AT24" i="46"/>
  <c r="AV24" i="46" s="1"/>
  <c r="AS24" i="46"/>
  <c r="AU21" i="46"/>
  <c r="AT21" i="46"/>
  <c r="AS21" i="46"/>
  <c r="AU20" i="46"/>
  <c r="AV20" i="46" s="1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V28" i="45" s="1"/>
  <c r="AS28" i="45"/>
  <c r="AU25" i="45"/>
  <c r="AT25" i="45"/>
  <c r="AS25" i="45"/>
  <c r="AU24" i="45"/>
  <c r="AT24" i="45"/>
  <c r="AS24" i="45"/>
  <c r="AU21" i="45"/>
  <c r="AT21" i="45"/>
  <c r="AS21" i="45"/>
  <c r="AU20" i="45"/>
  <c r="AT20" i="45"/>
  <c r="AV20" i="45" s="1"/>
  <c r="AS20" i="45"/>
  <c r="AU17" i="45"/>
  <c r="AT17" i="45"/>
  <c r="AS17" i="45"/>
  <c r="AU16" i="45"/>
  <c r="AV16" i="45" s="1"/>
  <c r="AT16" i="45"/>
  <c r="AS16" i="45"/>
  <c r="AU13" i="45"/>
  <c r="AT13" i="45"/>
  <c r="AS13" i="45"/>
  <c r="AU12" i="45"/>
  <c r="AT12" i="45"/>
  <c r="AV12" i="45" s="1"/>
  <c r="AS12" i="45"/>
  <c r="AU9" i="45"/>
  <c r="AT9" i="45"/>
  <c r="AS9" i="45"/>
  <c r="AU8" i="45"/>
  <c r="AT8" i="45"/>
  <c r="AS8" i="45"/>
  <c r="AO6" i="45"/>
  <c r="AU29" i="44"/>
  <c r="AV29" i="44" s="1"/>
  <c r="AT29" i="44"/>
  <c r="AS29" i="44"/>
  <c r="AU28" i="44"/>
  <c r="AT28" i="44"/>
  <c r="AS28" i="44"/>
  <c r="AU25" i="44"/>
  <c r="AT25" i="44"/>
  <c r="AS25" i="44"/>
  <c r="AU24" i="44"/>
  <c r="AT24" i="44"/>
  <c r="AV24" i="44" s="1"/>
  <c r="AS24" i="44"/>
  <c r="AU21" i="44"/>
  <c r="AT21" i="44"/>
  <c r="AS21" i="44"/>
  <c r="AU20" i="44"/>
  <c r="AV20" i="44" s="1"/>
  <c r="AT20" i="44"/>
  <c r="AS20" i="44"/>
  <c r="AT17" i="44"/>
  <c r="AS17" i="44"/>
  <c r="AU16" i="44"/>
  <c r="AU24" i="43"/>
  <c r="AT24" i="43"/>
  <c r="AS24" i="43"/>
  <c r="AU21" i="43"/>
  <c r="AT21" i="43"/>
  <c r="AS21" i="43"/>
  <c r="AU20" i="43"/>
  <c r="AT20" i="43"/>
  <c r="AV20" i="43" s="1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V8" i="43" s="1"/>
  <c r="AS8" i="43"/>
  <c r="AO6" i="43"/>
  <c r="AU29" i="42"/>
  <c r="AT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L15" i="52"/>
  <c r="AM15" i="52" s="1"/>
  <c r="AL10" i="52"/>
  <c r="AK25" i="52"/>
  <c r="AK20" i="52"/>
  <c r="AK15" i="52"/>
  <c r="AK10" i="52"/>
  <c r="AL25" i="51"/>
  <c r="AL20" i="51"/>
  <c r="AL15" i="51"/>
  <c r="AL10" i="51"/>
  <c r="AK25" i="51"/>
  <c r="AM25" i="51" s="1"/>
  <c r="AK20" i="51"/>
  <c r="AK15" i="51"/>
  <c r="AM15" i="51" s="1"/>
  <c r="AK10" i="51"/>
  <c r="AL25" i="50"/>
  <c r="AM25" i="50" s="1"/>
  <c r="AL15" i="50"/>
  <c r="AM15" i="50" s="1"/>
  <c r="AL10" i="50"/>
  <c r="AK20" i="50"/>
  <c r="AM20" i="50" s="1"/>
  <c r="AK10" i="50"/>
  <c r="AM10" i="50" s="1"/>
  <c r="AL20" i="49"/>
  <c r="AL10" i="49"/>
  <c r="AK20" i="49"/>
  <c r="AM20" i="49" s="1"/>
  <c r="AL20" i="46"/>
  <c r="AL10" i="46"/>
  <c r="AK20" i="46"/>
  <c r="AK10" i="46"/>
  <c r="AL20" i="45"/>
  <c r="AL15" i="45"/>
  <c r="AK25" i="45"/>
  <c r="AK10" i="45"/>
  <c r="AL25" i="44"/>
  <c r="AL10" i="44"/>
  <c r="AM10" i="44" s="1"/>
  <c r="AK15" i="44"/>
  <c r="AK25" i="44"/>
  <c r="AL20" i="43"/>
  <c r="AL10" i="43"/>
  <c r="AK20" i="43"/>
  <c r="AK10" i="43"/>
  <c r="AL20" i="52"/>
  <c r="AL20" i="50"/>
  <c r="AK25" i="50"/>
  <c r="AK15" i="50"/>
  <c r="AL25" i="49"/>
  <c r="AL15" i="49"/>
  <c r="AK25" i="49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K20" i="44"/>
  <c r="AM20" i="44" s="1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V16" i="44" s="1"/>
  <c r="AS16" i="44"/>
  <c r="AU13" i="44"/>
  <c r="AT13" i="44"/>
  <c r="AS13" i="44"/>
  <c r="AU12" i="44"/>
  <c r="AT12" i="44"/>
  <c r="AV12" i="44" s="1"/>
  <c r="AS12" i="44"/>
  <c r="AU9" i="44"/>
  <c r="AT9" i="44"/>
  <c r="AV9" i="44" s="1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D64" i="17"/>
  <c r="C8" i="34"/>
  <c r="B44" i="55" s="1"/>
  <c r="C12" i="18"/>
  <c r="B35" i="55" s="1"/>
  <c r="C24" i="54"/>
  <c r="B28" i="55" s="1"/>
  <c r="C56" i="17"/>
  <c r="B18" i="55" s="1"/>
  <c r="C36" i="17"/>
  <c r="B13" i="55" s="1"/>
  <c r="C16" i="17"/>
  <c r="B8" i="55" s="1"/>
  <c r="C16" i="18"/>
  <c r="B36" i="55" s="1"/>
  <c r="C28" i="54"/>
  <c r="B29" i="55" s="1"/>
  <c r="C8" i="54"/>
  <c r="B24" i="55" s="1"/>
  <c r="C64" i="17"/>
  <c r="B20" i="55" s="1"/>
  <c r="C44" i="17"/>
  <c r="B15" i="55" s="1"/>
  <c r="C24" i="17"/>
  <c r="B10" i="55" s="1"/>
  <c r="D8" i="34"/>
  <c r="D12" i="18"/>
  <c r="D28" i="54"/>
  <c r="D8" i="54"/>
  <c r="D60" i="17"/>
  <c r="D36" i="17"/>
  <c r="D16" i="17"/>
  <c r="D16" i="18"/>
  <c r="D12" i="19"/>
  <c r="D8" i="18"/>
  <c r="C20" i="54"/>
  <c r="B27" i="55" s="1"/>
  <c r="C52" i="17"/>
  <c r="B17" i="55" s="1"/>
  <c r="D32" i="17"/>
  <c r="C12" i="19"/>
  <c r="B41" i="55" s="1"/>
  <c r="D32" i="54"/>
  <c r="D12" i="54"/>
  <c r="C68" i="17"/>
  <c r="B21" i="55" s="1"/>
  <c r="D44" i="17"/>
  <c r="D24" i="17"/>
  <c r="D8" i="19"/>
  <c r="C8" i="19"/>
  <c r="B40" i="55" s="1"/>
  <c r="C32" i="54"/>
  <c r="B30" i="55" s="1"/>
  <c r="C12" i="54"/>
  <c r="B25" i="55" s="1"/>
  <c r="D20" i="18"/>
  <c r="D36" i="54"/>
  <c r="D16" i="54"/>
  <c r="D48" i="17"/>
  <c r="D28" i="17"/>
  <c r="C12" i="17"/>
  <c r="B7" i="55" s="1"/>
  <c r="C20" i="18"/>
  <c r="B37" i="55" s="1"/>
  <c r="C36" i="54"/>
  <c r="B31" i="55" s="1"/>
  <c r="C16" i="54"/>
  <c r="B26" i="55" s="1"/>
  <c r="C60" i="17"/>
  <c r="B19" i="55" s="1"/>
  <c r="C40" i="17"/>
  <c r="B14" i="55" s="1"/>
  <c r="C20" i="17"/>
  <c r="B9" i="55" s="1"/>
  <c r="D8" i="17"/>
  <c r="C8" i="17"/>
  <c r="B6" i="55" s="1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V29" i="52"/>
  <c r="AV17" i="52"/>
  <c r="AV28" i="52"/>
  <c r="AV24" i="52"/>
  <c r="AV25" i="52"/>
  <c r="AV21" i="52"/>
  <c r="AV9" i="49"/>
  <c r="AV8" i="49"/>
  <c r="AM10" i="49"/>
  <c r="AV13" i="49"/>
  <c r="AV12" i="49"/>
  <c r="AV25" i="48"/>
  <c r="AV17" i="48"/>
  <c r="AV16" i="48"/>
  <c r="AV13" i="48"/>
  <c r="AV9" i="48"/>
  <c r="AV8" i="48"/>
  <c r="AV12" i="48"/>
  <c r="AM15" i="48"/>
  <c r="AV29" i="48"/>
  <c r="AV28" i="48"/>
  <c r="AM25" i="48"/>
  <c r="AV24" i="48"/>
  <c r="AV21" i="48"/>
  <c r="AV20" i="48"/>
  <c r="AM20" i="48"/>
  <c r="AM10" i="48"/>
  <c r="AV16" i="47"/>
  <c r="AM25" i="47"/>
  <c r="AV20" i="47"/>
  <c r="AV21" i="47"/>
  <c r="AV12" i="47"/>
  <c r="AV13" i="47"/>
  <c r="AM10" i="47"/>
  <c r="AV29" i="47"/>
  <c r="AV28" i="47"/>
  <c r="AV25" i="47"/>
  <c r="AV24" i="47"/>
  <c r="AV17" i="47"/>
  <c r="AV9" i="46"/>
  <c r="AV8" i="46"/>
  <c r="AV25" i="46"/>
  <c r="AV9" i="45"/>
  <c r="AV8" i="45"/>
  <c r="AV24" i="45"/>
  <c r="AV13" i="45"/>
  <c r="AV25" i="45"/>
  <c r="AV17" i="44"/>
  <c r="AV25" i="44"/>
  <c r="AM25" i="44"/>
  <c r="AV28" i="44"/>
  <c r="AV12" i="43"/>
  <c r="AV29" i="43"/>
  <c r="AV16" i="43"/>
  <c r="AV28" i="43"/>
  <c r="AV21" i="43"/>
  <c r="AV24" i="43"/>
  <c r="AV28" i="42"/>
  <c r="AV24" i="42"/>
  <c r="AV29" i="42"/>
  <c r="AV25" i="42"/>
  <c r="AV20" i="42"/>
  <c r="AV8" i="42"/>
  <c r="AV21" i="42"/>
  <c r="AV16" i="42"/>
  <c r="AM25" i="42"/>
  <c r="AV13" i="42"/>
  <c r="AV17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M10" i="52" l="1"/>
  <c r="AM25" i="52"/>
  <c r="AM20" i="51"/>
  <c r="AM25" i="49"/>
  <c r="AM15" i="49"/>
  <c r="AV21" i="46"/>
  <c r="AV29" i="45"/>
  <c r="AV21" i="45"/>
  <c r="AV17" i="45"/>
  <c r="AV21" i="44"/>
  <c r="AM15" i="44"/>
  <c r="AV13" i="44"/>
  <c r="AV17" i="43"/>
  <c r="AV13" i="43"/>
  <c r="AV9" i="43"/>
  <c r="AM10" i="42"/>
  <c r="AM15" i="42"/>
  <c r="AV25" i="50"/>
  <c r="AV21" i="50"/>
  <c r="AV25" i="49"/>
  <c r="AV16" i="49"/>
  <c r="AV9" i="47"/>
  <c r="AV8" i="47"/>
  <c r="AM20" i="52"/>
  <c r="AV13" i="52"/>
  <c r="AV9" i="52"/>
  <c r="AV8" i="52"/>
  <c r="AV20" i="52"/>
  <c r="AV12" i="52"/>
  <c r="AV20" i="51"/>
  <c r="AV16" i="51"/>
  <c r="AV13" i="51"/>
  <c r="AV9" i="51"/>
  <c r="AV8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N15" i="42" s="1"/>
  <c r="AO15" i="42" s="1"/>
  <c r="AG15" i="42"/>
  <c r="AJ15" i="42"/>
  <c r="AI15" i="42"/>
  <c r="AI10" i="42"/>
  <c r="AJ10" i="42"/>
  <c r="AH10" i="42"/>
  <c r="AG10" i="42"/>
  <c r="AI25" i="42"/>
  <c r="AH25" i="42"/>
  <c r="AN25" i="42" s="1"/>
  <c r="AO25" i="42" s="1"/>
  <c r="AJ25" i="42"/>
  <c r="AG25" i="42"/>
  <c r="AJ20" i="42"/>
  <c r="AH20" i="42"/>
  <c r="AI20" i="42"/>
  <c r="AG20" i="42"/>
  <c r="AL8" i="17"/>
  <c r="AM10" i="51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N20" i="51" s="1"/>
  <c r="AO20" i="51" s="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N10" i="49" s="1"/>
  <c r="AO10" i="49" s="1"/>
  <c r="AG10" i="49"/>
  <c r="AJ10" i="49"/>
  <c r="AG15" i="49"/>
  <c r="AI15" i="49"/>
  <c r="AH15" i="49"/>
  <c r="AN15" i="49" s="1"/>
  <c r="AO15" i="49" s="1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N15" i="48" s="1"/>
  <c r="AO15" i="48" s="1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N15" i="47" s="1"/>
  <c r="AO15" i="47" s="1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N10" i="45" s="1"/>
  <c r="AO10" i="45" s="1"/>
  <c r="AG10" i="45"/>
  <c r="AH15" i="45"/>
  <c r="AG15" i="45"/>
  <c r="AJ15" i="45"/>
  <c r="AI15" i="45"/>
  <c r="AJ15" i="44"/>
  <c r="AI15" i="44"/>
  <c r="AH15" i="44"/>
  <c r="AN15" i="44" s="1"/>
  <c r="AO15" i="44" s="1"/>
  <c r="AG15" i="44"/>
  <c r="AJ10" i="44"/>
  <c r="AI10" i="44"/>
  <c r="AH10" i="44"/>
  <c r="AG10" i="44"/>
  <c r="AG25" i="44"/>
  <c r="AJ25" i="44"/>
  <c r="AI25" i="44"/>
  <c r="AH25" i="44"/>
  <c r="AN25" i="44" s="1"/>
  <c r="AO25" i="44" s="1"/>
  <c r="AI20" i="44"/>
  <c r="AG20" i="44"/>
  <c r="AJ20" i="44"/>
  <c r="AH20" i="44"/>
  <c r="AN20" i="44" s="1"/>
  <c r="AO20" i="44" s="1"/>
  <c r="AJ25" i="43"/>
  <c r="AI25" i="43"/>
  <c r="AH25" i="43"/>
  <c r="AN25" i="43" s="1"/>
  <c r="AO25" i="43" s="1"/>
  <c r="AG25" i="43"/>
  <c r="AJ20" i="43"/>
  <c r="AI20" i="43"/>
  <c r="AH20" i="43"/>
  <c r="AG20" i="43"/>
  <c r="AJ15" i="43"/>
  <c r="AI15" i="43"/>
  <c r="AH15" i="43"/>
  <c r="AN15" i="43" s="1"/>
  <c r="AO15" i="43" s="1"/>
  <c r="AG15" i="43"/>
  <c r="AJ10" i="43"/>
  <c r="AI10" i="43"/>
  <c r="AH10" i="43"/>
  <c r="AN10" i="43" s="1"/>
  <c r="AO10" i="43" s="1"/>
  <c r="AG10" i="43"/>
  <c r="D12" i="17"/>
  <c r="D24" i="54"/>
  <c r="D56" i="17"/>
  <c r="D40" i="17"/>
  <c r="D20" i="17"/>
  <c r="C8" i="18"/>
  <c r="B34" i="55" s="1"/>
  <c r="D20" i="54"/>
  <c r="D68" i="17"/>
  <c r="C48" i="17"/>
  <c r="B16" i="55" s="1"/>
  <c r="C28" i="17"/>
  <c r="B11" i="55" s="1"/>
  <c r="D52" i="17"/>
  <c r="C32" i="17"/>
  <c r="B12" i="55" s="1"/>
  <c r="D15" i="34"/>
  <c r="C15" i="34"/>
  <c r="B45" i="55" s="1"/>
  <c r="E110" i="53"/>
  <c r="D12" i="49"/>
  <c r="C12" i="49"/>
  <c r="D108" i="53"/>
  <c r="E164" i="53"/>
  <c r="D162" i="53"/>
  <c r="D20" i="42"/>
  <c r="C20" i="42"/>
  <c r="D204" i="53"/>
  <c r="D16" i="45"/>
  <c r="E206" i="53"/>
  <c r="C16" i="45"/>
  <c r="D20" i="49"/>
  <c r="C20" i="49"/>
  <c r="E260" i="53"/>
  <c r="D258" i="53"/>
  <c r="D276" i="53"/>
  <c r="C16" i="52"/>
  <c r="D16" i="52"/>
  <c r="E278" i="53"/>
  <c r="D360" i="53"/>
  <c r="D28" i="44"/>
  <c r="C28" i="44"/>
  <c r="E362" i="53"/>
  <c r="D126" i="53"/>
  <c r="E128" i="53"/>
  <c r="D8" i="51"/>
  <c r="C8" i="51"/>
  <c r="C12" i="52"/>
  <c r="D12" i="52"/>
  <c r="E140" i="53"/>
  <c r="D138" i="53"/>
  <c r="D12" i="51"/>
  <c r="D144" i="53"/>
  <c r="C12" i="51"/>
  <c r="E146" i="53"/>
  <c r="D150" i="53"/>
  <c r="E152" i="53"/>
  <c r="C16" i="22"/>
  <c r="D16" i="22"/>
  <c r="D20" i="22"/>
  <c r="D168" i="53"/>
  <c r="C20" i="22"/>
  <c r="E170" i="53"/>
  <c r="E218" i="53"/>
  <c r="C20" i="46"/>
  <c r="D20" i="46"/>
  <c r="D216" i="53"/>
  <c r="D16" i="47"/>
  <c r="C16" i="47"/>
  <c r="E230" i="53"/>
  <c r="D228" i="53"/>
  <c r="D246" i="53"/>
  <c r="E248" i="53"/>
  <c r="D16" i="50"/>
  <c r="C16" i="50"/>
  <c r="C24" i="42"/>
  <c r="E296" i="53"/>
  <c r="D294" i="53"/>
  <c r="D24" i="42"/>
  <c r="D120" i="53"/>
  <c r="E122" i="53"/>
  <c r="D12" i="50"/>
  <c r="C12" i="50"/>
  <c r="C16" i="42"/>
  <c r="E158" i="53"/>
  <c r="D16" i="42"/>
  <c r="D156" i="53"/>
  <c r="D174" i="53"/>
  <c r="D16" i="44"/>
  <c r="E176" i="53"/>
  <c r="C16" i="44"/>
  <c r="D28" i="42"/>
  <c r="D300" i="53"/>
  <c r="C28" i="42"/>
  <c r="E302" i="53"/>
  <c r="C16" i="46"/>
  <c r="D16" i="46"/>
  <c r="E200" i="53"/>
  <c r="D198" i="53"/>
  <c r="C20" i="48"/>
  <c r="E236" i="53"/>
  <c r="D20" i="48"/>
  <c r="D234" i="53"/>
  <c r="E308" i="53"/>
  <c r="D24" i="43"/>
  <c r="D306" i="53"/>
  <c r="C24" i="43"/>
  <c r="D16" i="48"/>
  <c r="D222" i="53"/>
  <c r="E224" i="53"/>
  <c r="C16" i="48"/>
  <c r="E290" i="53"/>
  <c r="C20" i="51"/>
  <c r="D20" i="51"/>
  <c r="D288" i="53"/>
  <c r="E344" i="53"/>
  <c r="D24" i="46"/>
  <c r="C24" i="46"/>
  <c r="D342" i="53"/>
  <c r="C20" i="52"/>
  <c r="E284" i="53"/>
  <c r="D20" i="52"/>
  <c r="D282" i="53"/>
  <c r="D24" i="22"/>
  <c r="D318" i="53"/>
  <c r="E320" i="53"/>
  <c r="C24" i="22"/>
  <c r="D180" i="53"/>
  <c r="D16" i="43"/>
  <c r="E182" i="53"/>
  <c r="C16" i="43"/>
  <c r="D20" i="47"/>
  <c r="D240" i="53"/>
  <c r="E242" i="53"/>
  <c r="C20" i="47"/>
  <c r="D20" i="50"/>
  <c r="C20" i="50"/>
  <c r="D264" i="53"/>
  <c r="E266" i="53"/>
  <c r="C24" i="45"/>
  <c r="D330" i="53"/>
  <c r="E332" i="53"/>
  <c r="D24" i="45"/>
  <c r="E350" i="53"/>
  <c r="D28" i="46"/>
  <c r="D348" i="53"/>
  <c r="C28" i="46"/>
  <c r="E326" i="53"/>
  <c r="C28" i="22"/>
  <c r="D324" i="53"/>
  <c r="D28" i="22"/>
  <c r="C8" i="50"/>
  <c r="E116" i="53"/>
  <c r="D114" i="53"/>
  <c r="D8" i="50"/>
  <c r="D252" i="53"/>
  <c r="E254" i="53"/>
  <c r="D16" i="49"/>
  <c r="C16" i="49"/>
  <c r="E272" i="53"/>
  <c r="D270" i="53"/>
  <c r="C16" i="51"/>
  <c r="D16" i="51"/>
  <c r="C28" i="45"/>
  <c r="D28" i="45"/>
  <c r="D336" i="53"/>
  <c r="E338" i="53"/>
  <c r="E356" i="53"/>
  <c r="D24" i="44"/>
  <c r="D354" i="53"/>
  <c r="C24" i="44"/>
  <c r="E134" i="53"/>
  <c r="D8" i="52"/>
  <c r="C8" i="52"/>
  <c r="D132" i="53"/>
  <c r="C28" i="43"/>
  <c r="D28" i="43"/>
  <c r="D312" i="53"/>
  <c r="E314" i="53"/>
  <c r="D6" i="53"/>
  <c r="E8" i="53"/>
  <c r="D210" i="53"/>
  <c r="C20" i="45"/>
  <c r="E212" i="53"/>
  <c r="D20" i="45"/>
  <c r="E194" i="53"/>
  <c r="D192" i="53"/>
  <c r="C20" i="44"/>
  <c r="D20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L15" i="34"/>
  <c r="G15" i="34"/>
  <c r="V13" i="34" s="1"/>
  <c r="L8" i="34"/>
  <c r="G8" i="34"/>
  <c r="E16" i="34" l="1"/>
  <c r="E23" i="34"/>
  <c r="T7" i="34"/>
  <c r="R7" i="34"/>
  <c r="AN20" i="52"/>
  <c r="AO20" i="52" s="1"/>
  <c r="AN25" i="52"/>
  <c r="AO25" i="52" s="1"/>
  <c r="AN15" i="52"/>
  <c r="AO15" i="52" s="1"/>
  <c r="AN10" i="52"/>
  <c r="AO10" i="52" s="1"/>
  <c r="AD25" i="52" s="1"/>
  <c r="AN25" i="51"/>
  <c r="AO25" i="51" s="1"/>
  <c r="AN10" i="51"/>
  <c r="AO10" i="51" s="1"/>
  <c r="AN15" i="51"/>
  <c r="AO15" i="51" s="1"/>
  <c r="AN20" i="50"/>
  <c r="AO20" i="50" s="1"/>
  <c r="AN25" i="50"/>
  <c r="AO25" i="50" s="1"/>
  <c r="AN15" i="50"/>
  <c r="AO15" i="50" s="1"/>
  <c r="AN10" i="50"/>
  <c r="AO10" i="50" s="1"/>
  <c r="AD10" i="50" s="1"/>
  <c r="AN20" i="49"/>
  <c r="AO20" i="49" s="1"/>
  <c r="AN25" i="49"/>
  <c r="AO25" i="49" s="1"/>
  <c r="AD15" i="49" s="1"/>
  <c r="AN25" i="48"/>
  <c r="AO25" i="48" s="1"/>
  <c r="AN20" i="48"/>
  <c r="AO20" i="48" s="1"/>
  <c r="AN10" i="48"/>
  <c r="AO10" i="48" s="1"/>
  <c r="AD20" i="48"/>
  <c r="AN20" i="47"/>
  <c r="AO20" i="47" s="1"/>
  <c r="AN25" i="47"/>
  <c r="AO25" i="47" s="1"/>
  <c r="AN10" i="47"/>
  <c r="AO10" i="47" s="1"/>
  <c r="AN25" i="46"/>
  <c r="AO25" i="46" s="1"/>
  <c r="AN20" i="46"/>
  <c r="AO20" i="46" s="1"/>
  <c r="AN10" i="46"/>
  <c r="AO10" i="46" s="1"/>
  <c r="AN15" i="46"/>
  <c r="AO15" i="46" s="1"/>
  <c r="AN25" i="45"/>
  <c r="AO25" i="45" s="1"/>
  <c r="AN20" i="45"/>
  <c r="AO20" i="45" s="1"/>
  <c r="AN15" i="45"/>
  <c r="AO15" i="45" s="1"/>
  <c r="AD15" i="45" s="1"/>
  <c r="AN10" i="44"/>
  <c r="AO10" i="44" s="1"/>
  <c r="AD10" i="44" s="1"/>
  <c r="AD25" i="44"/>
  <c r="AN20" i="43"/>
  <c r="AO20" i="43" s="1"/>
  <c r="AD10" i="43"/>
  <c r="AD20" i="43"/>
  <c r="AD15" i="43"/>
  <c r="AD25" i="43"/>
  <c r="AN10" i="42"/>
  <c r="AO10" i="42" s="1"/>
  <c r="AN20" i="42"/>
  <c r="AO20" i="42" s="1"/>
  <c r="AD15" i="42" s="1"/>
  <c r="AD25" i="42"/>
  <c r="AN15" i="22"/>
  <c r="AO15" i="22" s="1"/>
  <c r="AN25" i="22"/>
  <c r="AO25" i="22" s="1"/>
  <c r="AN20" i="22"/>
  <c r="AO20" i="22" s="1"/>
  <c r="AN10" i="22"/>
  <c r="AO10" i="22" s="1"/>
  <c r="AD10" i="52"/>
  <c r="AD20" i="52"/>
  <c r="AD20" i="44"/>
  <c r="AD15" i="44"/>
  <c r="AP6" i="52"/>
  <c r="AP6" i="48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D15" i="52" l="1"/>
  <c r="AZ10" i="52" s="1"/>
  <c r="AX10" i="52" s="1"/>
  <c r="AD15" i="51"/>
  <c r="AD20" i="51"/>
  <c r="AD25" i="51"/>
  <c r="AD10" i="51"/>
  <c r="AP6" i="51"/>
  <c r="AD25" i="50"/>
  <c r="AD20" i="50"/>
  <c r="AD15" i="50"/>
  <c r="AD10" i="49"/>
  <c r="AD20" i="49"/>
  <c r="AD25" i="49"/>
  <c r="AD10" i="48"/>
  <c r="AD25" i="48"/>
  <c r="AD15" i="48"/>
  <c r="AZ15" i="48" s="1"/>
  <c r="AD15" i="47"/>
  <c r="AD10" i="47"/>
  <c r="AD25" i="47"/>
  <c r="AD20" i="47"/>
  <c r="AD15" i="46"/>
  <c r="AD10" i="46"/>
  <c r="AD20" i="46"/>
  <c r="AD25" i="46"/>
  <c r="AP6" i="45"/>
  <c r="AD25" i="45"/>
  <c r="AD20" i="45"/>
  <c r="AD10" i="45"/>
  <c r="AZ25" i="45" s="1"/>
  <c r="AP6" i="44"/>
  <c r="AZ10" i="44" s="1"/>
  <c r="AX10" i="44" s="1"/>
  <c r="AP6" i="43"/>
  <c r="AD10" i="42"/>
  <c r="AD20" i="42"/>
  <c r="AZ15" i="52"/>
  <c r="AY15" i="52" s="1"/>
  <c r="AZ20" i="48"/>
  <c r="AY20" i="48" s="1"/>
  <c r="AP6" i="42"/>
  <c r="AP6" i="50"/>
  <c r="AP6" i="47"/>
  <c r="AP6" i="49"/>
  <c r="AP6" i="46"/>
  <c r="AZ10" i="48"/>
  <c r="AY10" i="48" s="1"/>
  <c r="AZ20" i="43"/>
  <c r="AY20" i="43" s="1"/>
  <c r="AZ10" i="43"/>
  <c r="AY10" i="43" s="1"/>
  <c r="AZ15" i="43"/>
  <c r="AY15" i="43" s="1"/>
  <c r="AZ25" i="43"/>
  <c r="AY25" i="43" s="1"/>
  <c r="AP6" i="22"/>
  <c r="AZ20" i="52" l="1"/>
  <c r="AY20" i="52" s="1"/>
  <c r="AZ25" i="52"/>
  <c r="AX25" i="52" s="1"/>
  <c r="AY10" i="52"/>
  <c r="AX15" i="52"/>
  <c r="AZ10" i="51"/>
  <c r="AX10" i="51" s="1"/>
  <c r="AZ15" i="51"/>
  <c r="AY15" i="51" s="1"/>
  <c r="AZ25" i="51"/>
  <c r="AY25" i="51" s="1"/>
  <c r="AZ20" i="51"/>
  <c r="AY20" i="51" s="1"/>
  <c r="AX15" i="48"/>
  <c r="AY15" i="48"/>
  <c r="AX10" i="48"/>
  <c r="AX20" i="48"/>
  <c r="AZ25" i="48"/>
  <c r="AZ10" i="45"/>
  <c r="AX10" i="45" s="1"/>
  <c r="AX25" i="45"/>
  <c r="AY25" i="45"/>
  <c r="AZ20" i="45"/>
  <c r="AZ15" i="45"/>
  <c r="AZ20" i="44"/>
  <c r="AX20" i="44" s="1"/>
  <c r="AZ15" i="44"/>
  <c r="AY15" i="44" s="1"/>
  <c r="AY10" i="44"/>
  <c r="AZ25" i="44"/>
  <c r="AY25" i="44" s="1"/>
  <c r="AX20" i="43"/>
  <c r="AY20" i="44"/>
  <c r="AX15" i="44"/>
  <c r="AX25" i="44"/>
  <c r="AX25" i="43"/>
  <c r="AX15" i="43"/>
  <c r="AX10" i="43"/>
  <c r="AZ10" i="42"/>
  <c r="AY10" i="42" s="1"/>
  <c r="AZ15" i="42"/>
  <c r="AX15" i="42" s="1"/>
  <c r="AZ25" i="42"/>
  <c r="AY25" i="42" s="1"/>
  <c r="AZ20" i="42"/>
  <c r="AY20" i="42" s="1"/>
  <c r="AZ25" i="50"/>
  <c r="AX25" i="50" s="1"/>
  <c r="AZ20" i="50"/>
  <c r="AX20" i="50" s="1"/>
  <c r="AZ15" i="50"/>
  <c r="AY15" i="50" s="1"/>
  <c r="AZ10" i="50"/>
  <c r="AX10" i="50" s="1"/>
  <c r="AZ10" i="47"/>
  <c r="AX10" i="47" s="1"/>
  <c r="AZ25" i="47"/>
  <c r="AY25" i="47" s="1"/>
  <c r="AZ20" i="47"/>
  <c r="AY20" i="47" s="1"/>
  <c r="AZ15" i="47"/>
  <c r="AY15" i="47" s="1"/>
  <c r="AZ10" i="49"/>
  <c r="AX10" i="49" s="1"/>
  <c r="AZ15" i="49"/>
  <c r="AX15" i="49" s="1"/>
  <c r="AZ20" i="49"/>
  <c r="AY20" i="49" s="1"/>
  <c r="AZ25" i="49"/>
  <c r="AX25" i="49" s="1"/>
  <c r="AZ25" i="46"/>
  <c r="AY25" i="46" s="1"/>
  <c r="AZ15" i="46"/>
  <c r="AY15" i="46" s="1"/>
  <c r="AZ20" i="46"/>
  <c r="AY20" i="46" s="1"/>
  <c r="AZ10" i="46"/>
  <c r="AX10" i="46" s="1"/>
  <c r="AW10" i="43"/>
  <c r="AW20" i="43"/>
  <c r="AW25" i="43"/>
  <c r="AW15" i="43"/>
  <c r="AD15" i="22"/>
  <c r="AD10" i="22"/>
  <c r="AD20" i="22"/>
  <c r="AD25" i="22"/>
  <c r="AX20" i="51" l="1"/>
  <c r="AX20" i="52"/>
  <c r="AX6" i="52" s="1"/>
  <c r="AY25" i="52"/>
  <c r="AX25" i="51"/>
  <c r="AX15" i="51"/>
  <c r="AY10" i="51"/>
  <c r="AW20" i="51" s="1"/>
  <c r="AX15" i="50"/>
  <c r="AX6" i="50" s="1"/>
  <c r="AY20" i="50"/>
  <c r="AY10" i="50"/>
  <c r="AY25" i="50"/>
  <c r="AW15" i="50" s="1"/>
  <c r="AY25" i="49"/>
  <c r="AY15" i="49"/>
  <c r="AY10" i="49"/>
  <c r="AX20" i="49"/>
  <c r="AX6" i="49" s="1"/>
  <c r="AY25" i="48"/>
  <c r="AX25" i="48"/>
  <c r="AX6" i="48" s="1"/>
  <c r="AX15" i="47"/>
  <c r="AX20" i="47"/>
  <c r="AX25" i="47"/>
  <c r="AY10" i="47"/>
  <c r="AW15" i="47" s="1"/>
  <c r="AX20" i="46"/>
  <c r="AY10" i="46"/>
  <c r="AW20" i="46" s="1"/>
  <c r="AX25" i="46"/>
  <c r="AX15" i="46"/>
  <c r="AY10" i="45"/>
  <c r="AY15" i="45"/>
  <c r="AX15" i="45"/>
  <c r="AX20" i="45"/>
  <c r="AY20" i="45"/>
  <c r="AW20" i="44"/>
  <c r="AW10" i="44"/>
  <c r="AX6" i="44"/>
  <c r="BD25" i="44" s="1"/>
  <c r="AW15" i="44"/>
  <c r="AW25" i="44"/>
  <c r="AX6" i="43"/>
  <c r="BD25" i="43" s="1"/>
  <c r="AX25" i="42"/>
  <c r="AX20" i="42"/>
  <c r="AX10" i="42"/>
  <c r="AY15" i="42"/>
  <c r="AW20" i="42" s="1"/>
  <c r="AZ10" i="22"/>
  <c r="AZ20" i="22"/>
  <c r="AZ15" i="22"/>
  <c r="AZ25" i="22"/>
  <c r="AW15" i="51" l="1"/>
  <c r="AX6" i="51"/>
  <c r="AW15" i="52"/>
  <c r="AW25" i="52"/>
  <c r="AW20" i="52"/>
  <c r="AW10" i="52"/>
  <c r="AW10" i="51"/>
  <c r="AW25" i="51"/>
  <c r="AW20" i="49"/>
  <c r="AW20" i="50"/>
  <c r="AW10" i="50"/>
  <c r="AW25" i="50"/>
  <c r="AW15" i="49"/>
  <c r="AW25" i="49"/>
  <c r="AW10" i="49"/>
  <c r="AW10" i="48"/>
  <c r="AW15" i="48"/>
  <c r="AW25" i="48"/>
  <c r="AW20" i="48"/>
  <c r="AX6" i="47"/>
  <c r="AX6" i="46"/>
  <c r="AW10" i="47"/>
  <c r="AW25" i="47"/>
  <c r="AW20" i="47"/>
  <c r="AW25" i="46"/>
  <c r="AW10" i="46"/>
  <c r="AW15" i="46"/>
  <c r="AW20" i="45"/>
  <c r="AX6" i="45"/>
  <c r="AW15" i="45"/>
  <c r="AW25" i="45"/>
  <c r="AW10" i="45"/>
  <c r="BD10" i="44"/>
  <c r="BC10" i="44" s="1"/>
  <c r="BD20" i="44"/>
  <c r="BB20" i="44" s="1"/>
  <c r="BD15" i="44"/>
  <c r="BB15" i="44" s="1"/>
  <c r="BD15" i="43"/>
  <c r="BB15" i="43" s="1"/>
  <c r="BD10" i="43"/>
  <c r="BB10" i="43" s="1"/>
  <c r="BD20" i="43"/>
  <c r="BC20" i="43" s="1"/>
  <c r="AW15" i="42"/>
  <c r="AW10" i="42"/>
  <c r="AW25" i="42"/>
  <c r="AX6" i="42"/>
  <c r="BD25" i="42" s="1"/>
  <c r="BB25" i="44"/>
  <c r="BC25" i="44"/>
  <c r="BB25" i="43"/>
  <c r="BC25" i="43"/>
  <c r="AX10" i="22"/>
  <c r="AY10" i="22"/>
  <c r="AY20" i="22"/>
  <c r="AX20" i="22"/>
  <c r="AX15" i="22"/>
  <c r="AY15" i="22"/>
  <c r="AY25" i="22"/>
  <c r="AX25" i="22"/>
  <c r="BD25" i="51" l="1"/>
  <c r="BB25" i="51" s="1"/>
  <c r="BD10" i="51"/>
  <c r="BC10" i="51" s="1"/>
  <c r="BD20" i="51"/>
  <c r="BC20" i="51" s="1"/>
  <c r="BD15" i="51"/>
  <c r="BB15" i="51" s="1"/>
  <c r="BD20" i="52"/>
  <c r="BC20" i="52" s="1"/>
  <c r="BD25" i="52"/>
  <c r="BD10" i="52"/>
  <c r="BD15" i="52"/>
  <c r="BD25" i="50"/>
  <c r="BB25" i="50" s="1"/>
  <c r="BD10" i="50"/>
  <c r="BC10" i="50" s="1"/>
  <c r="BD15" i="50"/>
  <c r="BB15" i="50" s="1"/>
  <c r="BD10" i="49"/>
  <c r="BB10" i="49" s="1"/>
  <c r="BD20" i="50"/>
  <c r="BC20" i="50" s="1"/>
  <c r="BD15" i="49"/>
  <c r="BC15" i="49" s="1"/>
  <c r="BD20" i="49"/>
  <c r="BC20" i="49" s="1"/>
  <c r="BD25" i="49"/>
  <c r="BC25" i="49" s="1"/>
  <c r="BD25" i="48"/>
  <c r="BB25" i="48" s="1"/>
  <c r="BD20" i="47"/>
  <c r="BB20" i="47" s="1"/>
  <c r="BD20" i="48"/>
  <c r="BD10" i="48"/>
  <c r="BD15" i="48"/>
  <c r="BD15" i="47"/>
  <c r="BB15" i="47" s="1"/>
  <c r="BD25" i="47"/>
  <c r="BC25" i="47" s="1"/>
  <c r="BD10" i="47"/>
  <c r="BB10" i="47" s="1"/>
  <c r="BD15" i="46"/>
  <c r="BC15" i="46" s="1"/>
  <c r="BD25" i="46"/>
  <c r="BC25" i="46" s="1"/>
  <c r="BD20" i="46"/>
  <c r="BB20" i="46" s="1"/>
  <c r="BD10" i="46"/>
  <c r="BC10" i="46" s="1"/>
  <c r="BD15" i="45"/>
  <c r="BD10" i="45"/>
  <c r="BD25" i="45"/>
  <c r="BD20" i="45"/>
  <c r="BB10" i="44"/>
  <c r="BA25" i="44" s="1"/>
  <c r="BC20" i="44"/>
  <c r="BC15" i="44"/>
  <c r="BC15" i="43"/>
  <c r="BC10" i="43"/>
  <c r="BB20" i="43"/>
  <c r="BA20" i="43" s="1"/>
  <c r="BD15" i="42"/>
  <c r="BC15" i="42" s="1"/>
  <c r="BD10" i="42"/>
  <c r="BC10" i="42" s="1"/>
  <c r="BD20" i="42"/>
  <c r="BC20" i="42" s="1"/>
  <c r="BB25" i="42"/>
  <c r="BC25" i="42"/>
  <c r="AW25" i="22"/>
  <c r="AX6" i="22"/>
  <c r="AW10" i="22"/>
  <c r="AW20" i="22"/>
  <c r="AW15" i="22"/>
  <c r="BC25" i="51" l="1"/>
  <c r="BB10" i="51"/>
  <c r="BB20" i="51"/>
  <c r="BA25" i="51" s="1"/>
  <c r="BC15" i="51"/>
  <c r="BB20" i="52"/>
  <c r="BC15" i="52"/>
  <c r="BB15" i="52"/>
  <c r="BB10" i="52"/>
  <c r="BC10" i="52"/>
  <c r="BB25" i="52"/>
  <c r="BC25" i="52"/>
  <c r="BB10" i="50"/>
  <c r="BC25" i="50"/>
  <c r="BB15" i="49"/>
  <c r="BC15" i="50"/>
  <c r="BB20" i="50"/>
  <c r="BC10" i="49"/>
  <c r="BB15" i="46"/>
  <c r="BB25" i="49"/>
  <c r="BB20" i="49"/>
  <c r="BC15" i="47"/>
  <c r="BC25" i="48"/>
  <c r="BC20" i="47"/>
  <c r="BB25" i="46"/>
  <c r="BC15" i="48"/>
  <c r="BB15" i="48"/>
  <c r="BB20" i="48"/>
  <c r="BC20" i="48"/>
  <c r="BB25" i="47"/>
  <c r="BA25" i="47" s="1"/>
  <c r="BC10" i="47"/>
  <c r="BB10" i="48"/>
  <c r="BC10" i="48"/>
  <c r="BB10" i="46"/>
  <c r="BA10" i="44"/>
  <c r="BB6" i="44"/>
  <c r="BE15" i="44" s="1"/>
  <c r="BC20" i="46"/>
  <c r="BA20" i="44"/>
  <c r="BA15" i="44"/>
  <c r="BC20" i="45"/>
  <c r="BB20" i="45"/>
  <c r="BC25" i="45"/>
  <c r="BB25" i="45"/>
  <c r="BB10" i="45"/>
  <c r="BC10" i="45"/>
  <c r="BB15" i="45"/>
  <c r="BC15" i="45"/>
  <c r="BB6" i="43"/>
  <c r="BE10" i="43" s="1"/>
  <c r="BA10" i="43"/>
  <c r="BA25" i="43"/>
  <c r="BA15" i="43"/>
  <c r="BB20" i="42"/>
  <c r="BB10" i="42"/>
  <c r="BB15" i="42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B6" i="51" l="1"/>
  <c r="BE25" i="51" s="1"/>
  <c r="BA15" i="51"/>
  <c r="BA20" i="51"/>
  <c r="BA10" i="51"/>
  <c r="BE20" i="51"/>
  <c r="BE10" i="51"/>
  <c r="BE15" i="51"/>
  <c r="BA25" i="52"/>
  <c r="BA10" i="52"/>
  <c r="BA20" i="52"/>
  <c r="BB6" i="52"/>
  <c r="BA15" i="52"/>
  <c r="BA10" i="49"/>
  <c r="BB6" i="50"/>
  <c r="BE25" i="50" s="1"/>
  <c r="BA20" i="50"/>
  <c r="BA25" i="50"/>
  <c r="BA15" i="50"/>
  <c r="BA10" i="50"/>
  <c r="BA10" i="47"/>
  <c r="BA15" i="49"/>
  <c r="BB6" i="47"/>
  <c r="BE15" i="47" s="1"/>
  <c r="BA25" i="49"/>
  <c r="BA20" i="49"/>
  <c r="BB6" i="49"/>
  <c r="BE15" i="49" s="1"/>
  <c r="BA10" i="46"/>
  <c r="BA20" i="47"/>
  <c r="BA15" i="48"/>
  <c r="BA15" i="47"/>
  <c r="BB6" i="48"/>
  <c r="BA10" i="48"/>
  <c r="BA25" i="48"/>
  <c r="BA25" i="46"/>
  <c r="BA20" i="46"/>
  <c r="BA15" i="46"/>
  <c r="BB6" i="46"/>
  <c r="BE15" i="46" s="1"/>
  <c r="BG15" i="46" s="1"/>
  <c r="BE20" i="44"/>
  <c r="BE25" i="44"/>
  <c r="BG25" i="44" s="1"/>
  <c r="BA20" i="48"/>
  <c r="BE10" i="44"/>
  <c r="BE25" i="43"/>
  <c r="BG25" i="43" s="1"/>
  <c r="BE20" i="43"/>
  <c r="BE15" i="43"/>
  <c r="BA15" i="45"/>
  <c r="BB6" i="45"/>
  <c r="BA10" i="45"/>
  <c r="BA25" i="45"/>
  <c r="BA20" i="45"/>
  <c r="BA20" i="42"/>
  <c r="BB6" i="42"/>
  <c r="BE10" i="42" s="1"/>
  <c r="BA15" i="42"/>
  <c r="BA25" i="42"/>
  <c r="BA10" i="42"/>
  <c r="BG10" i="43"/>
  <c r="BG25" i="51"/>
  <c r="BG15" i="51"/>
  <c r="BG10" i="51"/>
  <c r="BG15" i="44"/>
  <c r="BE10" i="49"/>
  <c r="BB25" i="22"/>
  <c r="BC25" i="22"/>
  <c r="BC15" i="22"/>
  <c r="BB15" i="22"/>
  <c r="BB10" i="22"/>
  <c r="BC10" i="22"/>
  <c r="BB20" i="22"/>
  <c r="BC20" i="22"/>
  <c r="BF25" i="51" l="1"/>
  <c r="AP25" i="51" s="1"/>
  <c r="BE10" i="47"/>
  <c r="BF20" i="51"/>
  <c r="AP20" i="51" s="1"/>
  <c r="BG20" i="51"/>
  <c r="BH10" i="51" s="1"/>
  <c r="BF10" i="51"/>
  <c r="AP10" i="51" s="1"/>
  <c r="BF15" i="51"/>
  <c r="AP15" i="51" s="1"/>
  <c r="BE20" i="52"/>
  <c r="BE15" i="52"/>
  <c r="BE10" i="52"/>
  <c r="BE25" i="52"/>
  <c r="BE20" i="47"/>
  <c r="BG20" i="47" s="1"/>
  <c r="BE25" i="47"/>
  <c r="BE20" i="50"/>
  <c r="BE15" i="50"/>
  <c r="BE10" i="50"/>
  <c r="BG10" i="50" s="1"/>
  <c r="BE25" i="49"/>
  <c r="BG25" i="49" s="1"/>
  <c r="BE20" i="49"/>
  <c r="BG20" i="49" s="1"/>
  <c r="BF15" i="44"/>
  <c r="AP15" i="44" s="1"/>
  <c r="BF20" i="44"/>
  <c r="AP20" i="44" s="1"/>
  <c r="BE10" i="46"/>
  <c r="BG10" i="46" s="1"/>
  <c r="BE25" i="46"/>
  <c r="BG25" i="46" s="1"/>
  <c r="BG20" i="44"/>
  <c r="BE20" i="46"/>
  <c r="BF25" i="44"/>
  <c r="AP25" i="44" s="1"/>
  <c r="BG10" i="44"/>
  <c r="BF10" i="44"/>
  <c r="AP10" i="44" s="1"/>
  <c r="BE20" i="48"/>
  <c r="BE25" i="48"/>
  <c r="BE10" i="48"/>
  <c r="BE15" i="48"/>
  <c r="BF10" i="43"/>
  <c r="AP10" i="43" s="1"/>
  <c r="BF25" i="43"/>
  <c r="AP25" i="43" s="1"/>
  <c r="BG15" i="43"/>
  <c r="BF15" i="43"/>
  <c r="AP15" i="43" s="1"/>
  <c r="BF20" i="43"/>
  <c r="AP20" i="43" s="1"/>
  <c r="BG20" i="43"/>
  <c r="BE20" i="45"/>
  <c r="BE15" i="45"/>
  <c r="BE10" i="45"/>
  <c r="BE25" i="45"/>
  <c r="BE20" i="42"/>
  <c r="BG20" i="42" s="1"/>
  <c r="BE25" i="42"/>
  <c r="BG25" i="42" s="1"/>
  <c r="BE15" i="42"/>
  <c r="BG15" i="42" s="1"/>
  <c r="BG10" i="42"/>
  <c r="BG10" i="47"/>
  <c r="BG15" i="47"/>
  <c r="BG15" i="49"/>
  <c r="BG10" i="49"/>
  <c r="BG25" i="50"/>
  <c r="BA20" i="22"/>
  <c r="BA25" i="22"/>
  <c r="BB6" i="22"/>
  <c r="BA10" i="22"/>
  <c r="BA15" i="22"/>
  <c r="BF25" i="47" l="1"/>
  <c r="AP25" i="47" s="1"/>
  <c r="BH20" i="51"/>
  <c r="BH15" i="51"/>
  <c r="AE10" i="51"/>
  <c r="V15" i="51" s="1"/>
  <c r="BH25" i="51"/>
  <c r="AE20" i="51"/>
  <c r="AE25" i="51"/>
  <c r="AE15" i="51"/>
  <c r="BF20" i="47"/>
  <c r="AP20" i="47" s="1"/>
  <c r="BF15" i="47"/>
  <c r="AP15" i="47" s="1"/>
  <c r="BG25" i="47"/>
  <c r="BH25" i="47" s="1"/>
  <c r="BF15" i="50"/>
  <c r="AP15" i="50" s="1"/>
  <c r="BF20" i="50"/>
  <c r="AP20" i="50" s="1"/>
  <c r="BF25" i="50"/>
  <c r="AP25" i="50" s="1"/>
  <c r="BF10" i="47"/>
  <c r="AP10" i="47" s="1"/>
  <c r="BG15" i="50"/>
  <c r="BG20" i="50"/>
  <c r="BF10" i="52"/>
  <c r="AP10" i="52" s="1"/>
  <c r="BG10" i="52"/>
  <c r="BF10" i="50"/>
  <c r="AP10" i="50" s="1"/>
  <c r="BF15" i="52"/>
  <c r="AP15" i="52" s="1"/>
  <c r="BG15" i="52"/>
  <c r="BF25" i="52"/>
  <c r="AP25" i="52" s="1"/>
  <c r="BG25" i="52"/>
  <c r="BG20" i="52"/>
  <c r="BF20" i="52"/>
  <c r="AP20" i="52" s="1"/>
  <c r="BF15" i="49"/>
  <c r="AP15" i="49" s="1"/>
  <c r="BF25" i="49"/>
  <c r="AP25" i="49" s="1"/>
  <c r="BF20" i="49"/>
  <c r="AP20" i="49" s="1"/>
  <c r="BF10" i="49"/>
  <c r="AP10" i="49" s="1"/>
  <c r="BF15" i="46"/>
  <c r="AP15" i="46" s="1"/>
  <c r="BF25" i="46"/>
  <c r="AP25" i="46" s="1"/>
  <c r="BF10" i="46"/>
  <c r="AP10" i="46" s="1"/>
  <c r="AE20" i="44"/>
  <c r="BH15" i="44"/>
  <c r="AE25" i="44"/>
  <c r="BH25" i="44"/>
  <c r="BH10" i="44"/>
  <c r="BG20" i="46"/>
  <c r="BH25" i="46" s="1"/>
  <c r="BF20" i="46"/>
  <c r="AP20" i="46" s="1"/>
  <c r="AE15" i="44"/>
  <c r="BH20" i="44"/>
  <c r="BH15" i="43"/>
  <c r="BF15" i="48"/>
  <c r="AP15" i="48" s="1"/>
  <c r="BG15" i="48"/>
  <c r="BF10" i="48"/>
  <c r="AP10" i="48" s="1"/>
  <c r="BG10" i="48"/>
  <c r="BG25" i="48"/>
  <c r="BF25" i="48"/>
  <c r="AP25" i="48" s="1"/>
  <c r="BF20" i="48"/>
  <c r="AP20" i="48" s="1"/>
  <c r="BG20" i="48"/>
  <c r="AE10" i="44"/>
  <c r="R10" i="44" s="1"/>
  <c r="AE20" i="43"/>
  <c r="AE25" i="43"/>
  <c r="AE15" i="43"/>
  <c r="AE10" i="43"/>
  <c r="V10" i="43" s="1"/>
  <c r="BH10" i="43"/>
  <c r="BH20" i="43"/>
  <c r="BH25" i="43"/>
  <c r="BF25" i="45"/>
  <c r="AP25" i="45" s="1"/>
  <c r="BG25" i="45"/>
  <c r="BG10" i="45"/>
  <c r="BF10" i="45"/>
  <c r="AP10" i="45" s="1"/>
  <c r="BG15" i="45"/>
  <c r="BF15" i="45"/>
  <c r="AP15" i="45" s="1"/>
  <c r="BF20" i="45"/>
  <c r="AP20" i="45" s="1"/>
  <c r="BG20" i="45"/>
  <c r="BF15" i="42"/>
  <c r="AP15" i="42" s="1"/>
  <c r="BF20" i="42"/>
  <c r="AP20" i="42" s="1"/>
  <c r="BF25" i="42"/>
  <c r="AP25" i="42" s="1"/>
  <c r="BF10" i="42"/>
  <c r="AP10" i="42" s="1"/>
  <c r="BH10" i="42"/>
  <c r="BH25" i="42"/>
  <c r="BH20" i="42"/>
  <c r="BH15" i="42"/>
  <c r="BH31" i="51"/>
  <c r="R31" i="51" s="1"/>
  <c r="BH10" i="49"/>
  <c r="Y15" i="51"/>
  <c r="BH20" i="49"/>
  <c r="BH25" i="49"/>
  <c r="BH15" i="49"/>
  <c r="BE15" i="22"/>
  <c r="BE20" i="22"/>
  <c r="BE25" i="22"/>
  <c r="BE10" i="22"/>
  <c r="R20" i="51" l="1"/>
  <c r="V20" i="51"/>
  <c r="AE25" i="50"/>
  <c r="AA25" i="51"/>
  <c r="Z10" i="51"/>
  <c r="R10" i="51"/>
  <c r="X15" i="51"/>
  <c r="AA15" i="51"/>
  <c r="Z15" i="51"/>
  <c r="AB15" i="51" s="1"/>
  <c r="BH15" i="50"/>
  <c r="W25" i="51"/>
  <c r="Z20" i="51"/>
  <c r="Y20" i="51"/>
  <c r="AE20" i="50"/>
  <c r="Y25" i="51"/>
  <c r="X25" i="51"/>
  <c r="AA20" i="51"/>
  <c r="R15" i="51"/>
  <c r="W15" i="51"/>
  <c r="V25" i="51"/>
  <c r="BH10" i="50"/>
  <c r="W20" i="51"/>
  <c r="Z25" i="51"/>
  <c r="AA10" i="51"/>
  <c r="BH25" i="50"/>
  <c r="BH20" i="50"/>
  <c r="BH10" i="47"/>
  <c r="AE15" i="47"/>
  <c r="Y10" i="51"/>
  <c r="R25" i="51"/>
  <c r="X10" i="51"/>
  <c r="W10" i="51"/>
  <c r="X20" i="51"/>
  <c r="V10" i="51"/>
  <c r="AE20" i="47"/>
  <c r="AE10" i="47"/>
  <c r="BH20" i="47"/>
  <c r="BH15" i="47"/>
  <c r="AE20" i="52"/>
  <c r="BH20" i="52"/>
  <c r="AE25" i="47"/>
  <c r="AE15" i="50"/>
  <c r="AE10" i="50"/>
  <c r="BH25" i="52"/>
  <c r="AE25" i="52"/>
  <c r="BH15" i="52"/>
  <c r="AE15" i="52"/>
  <c r="BH10" i="52"/>
  <c r="AE10" i="52"/>
  <c r="BH20" i="46"/>
  <c r="AE15" i="49"/>
  <c r="AE25" i="49"/>
  <c r="AE20" i="49"/>
  <c r="AE10" i="49"/>
  <c r="AE15" i="46"/>
  <c r="BH20" i="48"/>
  <c r="AE20" i="48"/>
  <c r="Z25" i="44"/>
  <c r="BH31" i="44"/>
  <c r="R31" i="44" s="1"/>
  <c r="Z15" i="44"/>
  <c r="V20" i="44"/>
  <c r="AE25" i="46"/>
  <c r="R20" i="44"/>
  <c r="Z20" i="44"/>
  <c r="AD25" i="17" s="1"/>
  <c r="BH10" i="46"/>
  <c r="AE20" i="46"/>
  <c r="AE10" i="46"/>
  <c r="BH15" i="46"/>
  <c r="Z10" i="44"/>
  <c r="W10" i="44"/>
  <c r="Y10" i="44"/>
  <c r="AE25" i="48"/>
  <c r="R15" i="44"/>
  <c r="W15" i="44"/>
  <c r="V15" i="44"/>
  <c r="AE10" i="48"/>
  <c r="AA25" i="44"/>
  <c r="X25" i="44"/>
  <c r="AE15" i="48"/>
  <c r="X20" i="44"/>
  <c r="Y20" i="44"/>
  <c r="Y25" i="44"/>
  <c r="AA15" i="44"/>
  <c r="AA20" i="44"/>
  <c r="Y15" i="44"/>
  <c r="BH25" i="48"/>
  <c r="BH10" i="48"/>
  <c r="R25" i="44"/>
  <c r="BH15" i="48"/>
  <c r="W25" i="44"/>
  <c r="X10" i="44"/>
  <c r="W20" i="44"/>
  <c r="V10" i="44"/>
  <c r="X15" i="44"/>
  <c r="V25" i="44"/>
  <c r="AA10" i="44"/>
  <c r="AA10" i="43"/>
  <c r="Z10" i="43"/>
  <c r="AA20" i="43"/>
  <c r="Y25" i="43"/>
  <c r="X10" i="43"/>
  <c r="AA25" i="43"/>
  <c r="V15" i="43"/>
  <c r="Y10" i="43"/>
  <c r="V20" i="43"/>
  <c r="X15" i="43"/>
  <c r="Z15" i="43"/>
  <c r="R10" i="43"/>
  <c r="R15" i="43"/>
  <c r="X20" i="43"/>
  <c r="W10" i="43"/>
  <c r="R20" i="43"/>
  <c r="Z20" i="43"/>
  <c r="AD20" i="17" s="1"/>
  <c r="Y15" i="43"/>
  <c r="W20" i="43"/>
  <c r="BH31" i="43"/>
  <c r="R31" i="43" s="1"/>
  <c r="R25" i="43"/>
  <c r="Z25" i="43"/>
  <c r="X25" i="43"/>
  <c r="W25" i="43"/>
  <c r="AA15" i="43"/>
  <c r="V25" i="43"/>
  <c r="W15" i="43"/>
  <c r="Y20" i="43"/>
  <c r="BH20" i="45"/>
  <c r="AE20" i="45"/>
  <c r="AE15" i="45"/>
  <c r="BH15" i="45"/>
  <c r="AE10" i="45"/>
  <c r="BH10" i="45"/>
  <c r="BH25" i="45"/>
  <c r="AE25" i="45"/>
  <c r="AE25" i="42"/>
  <c r="AE20" i="42"/>
  <c r="AE15" i="42"/>
  <c r="AE10" i="42"/>
  <c r="X20" i="42" s="1"/>
  <c r="BH31" i="42"/>
  <c r="R31" i="42" s="1"/>
  <c r="AQ15" i="43"/>
  <c r="AQ10" i="43"/>
  <c r="AQ20" i="43"/>
  <c r="AD7" i="35" s="1"/>
  <c r="AD60" i="17"/>
  <c r="AQ20" i="51"/>
  <c r="AQ10" i="51"/>
  <c r="J89" i="35" s="1"/>
  <c r="F68" i="17" s="1"/>
  <c r="AQ15" i="51"/>
  <c r="J85" i="35" s="1"/>
  <c r="AQ10" i="44"/>
  <c r="J83" i="35" s="1"/>
  <c r="F44" i="17" s="1"/>
  <c r="AQ20" i="44"/>
  <c r="AQ15" i="44"/>
  <c r="J87" i="35" s="1"/>
  <c r="F60" i="17" s="1"/>
  <c r="C19" i="55" s="1"/>
  <c r="BH31" i="49"/>
  <c r="R31" i="49" s="1"/>
  <c r="R14" i="3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AB10" i="51" l="1"/>
  <c r="C21" i="55"/>
  <c r="R68" i="17"/>
  <c r="K97" i="35" s="1"/>
  <c r="N36" i="54" s="1"/>
  <c r="R36" i="54" s="1"/>
  <c r="K101" i="35" s="1"/>
  <c r="N20" i="18" s="1"/>
  <c r="E37" i="55" s="1"/>
  <c r="AC10" i="51"/>
  <c r="AB20" i="51"/>
  <c r="AC60" i="17" s="1"/>
  <c r="AB25" i="51"/>
  <c r="C15" i="55"/>
  <c r="R44" i="17"/>
  <c r="J95" i="35" s="1"/>
  <c r="F28" i="54" s="1"/>
  <c r="AC15" i="51"/>
  <c r="AC25" i="51"/>
  <c r="R15" i="50"/>
  <c r="BH31" i="47"/>
  <c r="R31" i="47" s="1"/>
  <c r="BH31" i="50"/>
  <c r="R31" i="50" s="1"/>
  <c r="Z15" i="50"/>
  <c r="Y20" i="47"/>
  <c r="Y10" i="50"/>
  <c r="AQ25" i="51"/>
  <c r="X10" i="50"/>
  <c r="AC20" i="51"/>
  <c r="AB60" i="17" s="1"/>
  <c r="W10" i="50"/>
  <c r="V10" i="50"/>
  <c r="R10" i="50"/>
  <c r="Z10" i="47"/>
  <c r="W15" i="47"/>
  <c r="AA25" i="47"/>
  <c r="AA15" i="47"/>
  <c r="W25" i="47"/>
  <c r="AA20" i="47"/>
  <c r="Z20" i="50"/>
  <c r="AD55" i="17" s="1"/>
  <c r="Y10" i="47"/>
  <c r="V15" i="47"/>
  <c r="R25" i="47"/>
  <c r="X10" i="47"/>
  <c r="Z25" i="47"/>
  <c r="W10" i="47"/>
  <c r="X20" i="47"/>
  <c r="V10" i="47"/>
  <c r="R15" i="47"/>
  <c r="R10" i="47"/>
  <c r="AA10" i="47"/>
  <c r="Y15" i="47"/>
  <c r="V25" i="47"/>
  <c r="Z15" i="47"/>
  <c r="X15" i="47"/>
  <c r="Y25" i="50"/>
  <c r="V20" i="47"/>
  <c r="W20" i="47"/>
  <c r="R20" i="47"/>
  <c r="X25" i="47"/>
  <c r="Y25" i="47"/>
  <c r="Z20" i="47"/>
  <c r="Z10" i="50"/>
  <c r="V15" i="50"/>
  <c r="Y20" i="50"/>
  <c r="W20" i="50"/>
  <c r="X15" i="50"/>
  <c r="Y15" i="50"/>
  <c r="V20" i="50"/>
  <c r="Z25" i="50"/>
  <c r="AA25" i="50"/>
  <c r="W15" i="50"/>
  <c r="X25" i="50"/>
  <c r="R25" i="50"/>
  <c r="AA20" i="50"/>
  <c r="V25" i="50"/>
  <c r="W25" i="50"/>
  <c r="AA10" i="50"/>
  <c r="X25" i="49"/>
  <c r="R20" i="50"/>
  <c r="X20" i="50"/>
  <c r="AA15" i="50"/>
  <c r="F52" i="17"/>
  <c r="Z10" i="52"/>
  <c r="AA10" i="52"/>
  <c r="W25" i="52"/>
  <c r="AA15" i="52"/>
  <c r="Y25" i="52"/>
  <c r="R20" i="52"/>
  <c r="Z25" i="52"/>
  <c r="V25" i="52"/>
  <c r="R10" i="52"/>
  <c r="X25" i="52"/>
  <c r="AA25" i="52"/>
  <c r="X15" i="52"/>
  <c r="X10" i="52"/>
  <c r="Y10" i="52"/>
  <c r="AA20" i="52"/>
  <c r="Z15" i="52"/>
  <c r="X20" i="52"/>
  <c r="W20" i="52"/>
  <c r="Y15" i="52"/>
  <c r="R25" i="52"/>
  <c r="Y20" i="52"/>
  <c r="R15" i="52"/>
  <c r="V15" i="52"/>
  <c r="V20" i="52"/>
  <c r="Z20" i="52"/>
  <c r="W15" i="52"/>
  <c r="V10" i="52"/>
  <c r="W10" i="52"/>
  <c r="BH31" i="52"/>
  <c r="R31" i="52" s="1"/>
  <c r="X15" i="49"/>
  <c r="Z15" i="49"/>
  <c r="V10" i="49"/>
  <c r="Y15" i="49"/>
  <c r="Z10" i="49"/>
  <c r="W15" i="49"/>
  <c r="R10" i="49"/>
  <c r="AA15" i="49"/>
  <c r="W10" i="49"/>
  <c r="R15" i="49"/>
  <c r="AA10" i="49"/>
  <c r="V20" i="49"/>
  <c r="R20" i="49"/>
  <c r="Z25" i="49"/>
  <c r="W20" i="49"/>
  <c r="W25" i="49"/>
  <c r="Y20" i="49"/>
  <c r="Y25" i="49"/>
  <c r="AB10" i="43"/>
  <c r="AA20" i="49"/>
  <c r="V25" i="49"/>
  <c r="R25" i="49"/>
  <c r="V15" i="49"/>
  <c r="X20" i="49"/>
  <c r="AA25" i="49"/>
  <c r="Y25" i="46"/>
  <c r="X10" i="49"/>
  <c r="Z20" i="49"/>
  <c r="Y10" i="49"/>
  <c r="AB15" i="44"/>
  <c r="Y25" i="48"/>
  <c r="W15" i="46"/>
  <c r="R25" i="46"/>
  <c r="AB20" i="44"/>
  <c r="AC25" i="17" s="1"/>
  <c r="BH31" i="46"/>
  <c r="R31" i="46" s="1"/>
  <c r="W25" i="46"/>
  <c r="Y20" i="46"/>
  <c r="AC25" i="43"/>
  <c r="AB25" i="44"/>
  <c r="AA20" i="46"/>
  <c r="W20" i="46"/>
  <c r="Y15" i="46"/>
  <c r="R15" i="46"/>
  <c r="X15" i="46"/>
  <c r="V15" i="46"/>
  <c r="X25" i="46"/>
  <c r="AA10" i="46"/>
  <c r="V20" i="46"/>
  <c r="Z10" i="46"/>
  <c r="V25" i="46"/>
  <c r="Y10" i="46"/>
  <c r="AA15" i="46"/>
  <c r="X10" i="46"/>
  <c r="AB10" i="44"/>
  <c r="Z20" i="46"/>
  <c r="W10" i="46"/>
  <c r="Z15" i="46"/>
  <c r="V10" i="46"/>
  <c r="X20" i="46"/>
  <c r="AA25" i="46"/>
  <c r="R20" i="46"/>
  <c r="Z25" i="46"/>
  <c r="R10" i="46"/>
  <c r="AC10" i="44"/>
  <c r="AQ25" i="44"/>
  <c r="AC20" i="44"/>
  <c r="AB25" i="17" s="1"/>
  <c r="AC25" i="44"/>
  <c r="R20" i="48"/>
  <c r="Z20" i="48"/>
  <c r="V20" i="48"/>
  <c r="V15" i="48"/>
  <c r="W15" i="48"/>
  <c r="X25" i="48"/>
  <c r="X15" i="48"/>
  <c r="V25" i="48"/>
  <c r="R25" i="48"/>
  <c r="Z15" i="48"/>
  <c r="R10" i="48"/>
  <c r="V10" i="48"/>
  <c r="AA15" i="48"/>
  <c r="W10" i="48"/>
  <c r="W25" i="48"/>
  <c r="X10" i="48"/>
  <c r="AA20" i="48"/>
  <c r="Z25" i="48"/>
  <c r="X20" i="48"/>
  <c r="W20" i="48"/>
  <c r="Y10" i="48"/>
  <c r="R15" i="48"/>
  <c r="Y15" i="48"/>
  <c r="Y20" i="48"/>
  <c r="AA25" i="48"/>
  <c r="Z10" i="48"/>
  <c r="AA10" i="48"/>
  <c r="AC15" i="44"/>
  <c r="BH31" i="48"/>
  <c r="R31" i="48" s="1"/>
  <c r="AC10" i="43"/>
  <c r="AB25" i="43"/>
  <c r="AC20" i="43"/>
  <c r="AB20" i="17" s="1"/>
  <c r="AQ25" i="43"/>
  <c r="AB15" i="43"/>
  <c r="AB20" i="43"/>
  <c r="AC20" i="17" s="1"/>
  <c r="AC15" i="43"/>
  <c r="Z20" i="42"/>
  <c r="AD15" i="17" s="1"/>
  <c r="BH31" i="45"/>
  <c r="R31" i="45" s="1"/>
  <c r="AA10" i="45"/>
  <c r="X25" i="45"/>
  <c r="AA15" i="45"/>
  <c r="W15" i="45"/>
  <c r="Z25" i="45"/>
  <c r="R10" i="45"/>
  <c r="AA25" i="45"/>
  <c r="Y10" i="45"/>
  <c r="R15" i="45"/>
  <c r="V25" i="45"/>
  <c r="Z15" i="45"/>
  <c r="Y25" i="45"/>
  <c r="W20" i="45"/>
  <c r="Z20" i="45"/>
  <c r="Y15" i="45"/>
  <c r="R20" i="45"/>
  <c r="V20" i="45"/>
  <c r="X15" i="45"/>
  <c r="AA20" i="45"/>
  <c r="W10" i="45"/>
  <c r="W25" i="45"/>
  <c r="Z10" i="45"/>
  <c r="X20" i="45"/>
  <c r="V15" i="45"/>
  <c r="R25" i="45"/>
  <c r="Y20" i="45"/>
  <c r="V10" i="45"/>
  <c r="X10" i="45"/>
  <c r="W20" i="42"/>
  <c r="AC20" i="42" s="1"/>
  <c r="Y10" i="42"/>
  <c r="R20" i="42"/>
  <c r="AA20" i="42"/>
  <c r="V20" i="42"/>
  <c r="V10" i="42"/>
  <c r="Z25" i="42"/>
  <c r="W10" i="42"/>
  <c r="Y25" i="42"/>
  <c r="V25" i="42"/>
  <c r="R25" i="42"/>
  <c r="AA25" i="42"/>
  <c r="AA10" i="42"/>
  <c r="W15" i="42"/>
  <c r="R15" i="42"/>
  <c r="X15" i="42"/>
  <c r="R10" i="42"/>
  <c r="AA15" i="42"/>
  <c r="W25" i="42"/>
  <c r="Z15" i="42"/>
  <c r="V15" i="42"/>
  <c r="Y15" i="42"/>
  <c r="Z10" i="42"/>
  <c r="X25" i="42"/>
  <c r="Y20" i="42"/>
  <c r="X10" i="42"/>
  <c r="AQ15" i="46"/>
  <c r="AQ20" i="46"/>
  <c r="AD10" i="35" s="1"/>
  <c r="AQ10" i="46"/>
  <c r="AQ15" i="42"/>
  <c r="AQ20" i="42"/>
  <c r="AD6" i="35" s="1"/>
  <c r="AQ10" i="42"/>
  <c r="K77" i="35"/>
  <c r="J75" i="35"/>
  <c r="AA20" i="17"/>
  <c r="E68" i="17"/>
  <c r="E60" i="17"/>
  <c r="AA60" i="17"/>
  <c r="AD15" i="35"/>
  <c r="AA25" i="17"/>
  <c r="AD8" i="35"/>
  <c r="AQ20" i="47"/>
  <c r="AQ15" i="47"/>
  <c r="K87" i="35" s="1"/>
  <c r="AQ10" i="47"/>
  <c r="J82" i="35" s="1"/>
  <c r="F40" i="17" s="1"/>
  <c r="AQ10" i="50"/>
  <c r="J88" i="35" s="1"/>
  <c r="AQ20" i="50"/>
  <c r="AQ15" i="50"/>
  <c r="K84" i="35" s="1"/>
  <c r="N48" i="17" s="1"/>
  <c r="E16" i="55" s="1"/>
  <c r="AQ10" i="49"/>
  <c r="J79" i="35" s="1"/>
  <c r="AQ15" i="49"/>
  <c r="K78" i="35" s="1"/>
  <c r="AQ20" i="49"/>
  <c r="E44" i="17"/>
  <c r="BH20" i="22"/>
  <c r="AE20" i="22"/>
  <c r="AE25" i="22"/>
  <c r="BH25" i="22"/>
  <c r="AE10" i="22"/>
  <c r="BH10" i="22"/>
  <c r="BH15" i="22"/>
  <c r="AE15" i="22"/>
  <c r="O20" i="18"/>
  <c r="R20" i="18"/>
  <c r="K103" i="35" s="1"/>
  <c r="N12" i="19" s="1"/>
  <c r="E41" i="55" s="1"/>
  <c r="C29" i="55" l="1"/>
  <c r="E28" i="54"/>
  <c r="E31" i="55"/>
  <c r="O36" i="54"/>
  <c r="AC20" i="52"/>
  <c r="AB65" i="17" s="1"/>
  <c r="AC10" i="50"/>
  <c r="AC10" i="47"/>
  <c r="AC25" i="49"/>
  <c r="C17" i="55"/>
  <c r="R52" i="17"/>
  <c r="J94" i="35" s="1"/>
  <c r="F24" i="54" s="1"/>
  <c r="R24" i="54" s="1"/>
  <c r="J99" i="35" s="1"/>
  <c r="F12" i="18" s="1"/>
  <c r="R12" i="18" s="1"/>
  <c r="K102" i="35" s="1"/>
  <c r="C14" i="55"/>
  <c r="R40" i="17"/>
  <c r="K95" i="35" s="1"/>
  <c r="N28" i="54" s="1"/>
  <c r="R28" i="54" s="1"/>
  <c r="K99" i="35" s="1"/>
  <c r="N12" i="18" s="1"/>
  <c r="AB15" i="50"/>
  <c r="AC20" i="50"/>
  <c r="AB55" i="17" s="1"/>
  <c r="AC25" i="50"/>
  <c r="AB20" i="50"/>
  <c r="AB10" i="47"/>
  <c r="AC15" i="47"/>
  <c r="AB15" i="47"/>
  <c r="AQ25" i="47"/>
  <c r="AB20" i="47"/>
  <c r="AC40" i="17" s="1"/>
  <c r="AB25" i="47"/>
  <c r="AC25" i="47"/>
  <c r="AC15" i="50"/>
  <c r="AB10" i="50"/>
  <c r="AC20" i="47"/>
  <c r="AB40" i="17" s="1"/>
  <c r="AQ25" i="50"/>
  <c r="AD40" i="17"/>
  <c r="AB25" i="50"/>
  <c r="AC10" i="49"/>
  <c r="F28" i="17"/>
  <c r="F64" i="17"/>
  <c r="N60" i="17"/>
  <c r="N24" i="17"/>
  <c r="E10" i="55" s="1"/>
  <c r="F12" i="17"/>
  <c r="N20" i="17"/>
  <c r="E9" i="55" s="1"/>
  <c r="AB15" i="52"/>
  <c r="E52" i="17"/>
  <c r="AQ15" i="52"/>
  <c r="K85" i="35" s="1"/>
  <c r="AQ20" i="52"/>
  <c r="AQ25" i="52"/>
  <c r="AQ10" i="52"/>
  <c r="J81" i="35" s="1"/>
  <c r="F36" i="17" s="1"/>
  <c r="AC15" i="52"/>
  <c r="AB20" i="52"/>
  <c r="AC65" i="17" s="1"/>
  <c r="AD65" i="17"/>
  <c r="AB25" i="52"/>
  <c r="AC10" i="52"/>
  <c r="AC15" i="49"/>
  <c r="AC25" i="52"/>
  <c r="AB10" i="52"/>
  <c r="AB10" i="49"/>
  <c r="AB15" i="49"/>
  <c r="AQ25" i="49"/>
  <c r="AB20" i="49"/>
  <c r="AC50" i="17" s="1"/>
  <c r="AB25" i="49"/>
  <c r="AC20" i="49"/>
  <c r="AB50" i="17" s="1"/>
  <c r="AD50" i="17"/>
  <c r="AC15" i="46"/>
  <c r="AC15" i="45"/>
  <c r="AB25" i="46"/>
  <c r="AC25" i="46"/>
  <c r="AC20" i="46"/>
  <c r="AB35" i="17" s="1"/>
  <c r="AB10" i="46"/>
  <c r="AE25" i="17"/>
  <c r="AC10" i="46"/>
  <c r="AQ25" i="46"/>
  <c r="AB15" i="46"/>
  <c r="AC20" i="48"/>
  <c r="AB45" i="17" s="1"/>
  <c r="AB20" i="46"/>
  <c r="AC35" i="17" s="1"/>
  <c r="AD35" i="17"/>
  <c r="AC10" i="48"/>
  <c r="AQ20" i="48"/>
  <c r="AQ25" i="48"/>
  <c r="AQ15" i="48"/>
  <c r="K88" i="35" s="1"/>
  <c r="AQ10" i="48"/>
  <c r="J84" i="35" s="1"/>
  <c r="AB10" i="48"/>
  <c r="AB15" i="48"/>
  <c r="AC15" i="48"/>
  <c r="AB25" i="48"/>
  <c r="AB20" i="48"/>
  <c r="AC45" i="17" s="1"/>
  <c r="AD45" i="17"/>
  <c r="AC25" i="48"/>
  <c r="AB15" i="45"/>
  <c r="AB10" i="45"/>
  <c r="AC25" i="45"/>
  <c r="AC20" i="45"/>
  <c r="AB30" i="17" s="1"/>
  <c r="AB20" i="42"/>
  <c r="AC15" i="17" s="1"/>
  <c r="AQ10" i="45"/>
  <c r="J76" i="35" s="1"/>
  <c r="AQ15" i="45"/>
  <c r="J78" i="35" s="1"/>
  <c r="AQ20" i="45"/>
  <c r="AQ25" i="45"/>
  <c r="AB25" i="45"/>
  <c r="AC10" i="45"/>
  <c r="AB20" i="45"/>
  <c r="AC30" i="17" s="1"/>
  <c r="AD30" i="17"/>
  <c r="AC10" i="42"/>
  <c r="AC25" i="42"/>
  <c r="AB15" i="42"/>
  <c r="AQ25" i="42"/>
  <c r="AC15" i="42"/>
  <c r="AB10" i="42"/>
  <c r="AB25" i="42"/>
  <c r="AE60" i="17"/>
  <c r="AE20" i="17"/>
  <c r="K75" i="35"/>
  <c r="AA35" i="17"/>
  <c r="J77" i="35"/>
  <c r="K74" i="35"/>
  <c r="J86" i="35"/>
  <c r="AB15" i="17"/>
  <c r="AA15" i="17"/>
  <c r="AC55" i="17"/>
  <c r="AA40" i="17"/>
  <c r="AD11" i="35"/>
  <c r="AA55" i="17"/>
  <c r="AD14" i="35"/>
  <c r="AA50" i="17"/>
  <c r="AD13" i="35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R12" i="19"/>
  <c r="K105" i="35" s="1"/>
  <c r="N15" i="34" s="1"/>
  <c r="E45" i="55" l="1"/>
  <c r="N8" i="19"/>
  <c r="E35" i="55"/>
  <c r="O12" i="18"/>
  <c r="C35" i="55"/>
  <c r="E12" i="18"/>
  <c r="E29" i="55"/>
  <c r="O28" i="54"/>
  <c r="C28" i="55"/>
  <c r="E24" i="54"/>
  <c r="C20" i="55"/>
  <c r="R64" i="17"/>
  <c r="J96" i="35" s="1"/>
  <c r="F32" i="54" s="1"/>
  <c r="R32" i="54" s="1"/>
  <c r="J101" i="35" s="1"/>
  <c r="F20" i="18" s="1"/>
  <c r="E19" i="55"/>
  <c r="R60" i="17"/>
  <c r="K96" i="35" s="1"/>
  <c r="N32" i="54" s="1"/>
  <c r="C13" i="55"/>
  <c r="R36" i="17"/>
  <c r="K93" i="35" s="1"/>
  <c r="C11" i="55"/>
  <c r="R28" i="17"/>
  <c r="K91" i="35" s="1"/>
  <c r="N12" i="54" s="1"/>
  <c r="R12" i="54" s="1"/>
  <c r="J98" i="35" s="1"/>
  <c r="F8" i="18" s="1"/>
  <c r="C7" i="55"/>
  <c r="R12" i="17"/>
  <c r="J92" i="35" s="1"/>
  <c r="F16" i="54" s="1"/>
  <c r="R16" i="54" s="1"/>
  <c r="J100" i="35" s="1"/>
  <c r="F16" i="18" s="1"/>
  <c r="R16" i="18" s="1"/>
  <c r="J103" i="35" s="1"/>
  <c r="O20" i="17"/>
  <c r="F16" i="17"/>
  <c r="N52" i="17"/>
  <c r="E17" i="55" s="1"/>
  <c r="E12" i="17"/>
  <c r="O24" i="17"/>
  <c r="F56" i="17"/>
  <c r="C18" i="55" s="1"/>
  <c r="N8" i="17"/>
  <c r="E6" i="55" s="1"/>
  <c r="O60" i="17"/>
  <c r="F20" i="17"/>
  <c r="F48" i="17"/>
  <c r="E64" i="17"/>
  <c r="N12" i="17"/>
  <c r="E7" i="55" s="1"/>
  <c r="N64" i="17"/>
  <c r="E20" i="55" s="1"/>
  <c r="E36" i="17"/>
  <c r="F24" i="17"/>
  <c r="E28" i="17"/>
  <c r="AD16" i="35"/>
  <c r="AA65" i="17"/>
  <c r="AE65" i="17" s="1"/>
  <c r="AE50" i="17"/>
  <c r="AD12" i="35"/>
  <c r="AA45" i="17"/>
  <c r="AE45" i="17" s="1"/>
  <c r="AA30" i="17"/>
  <c r="AE30" i="17" s="1"/>
  <c r="AD9" i="35"/>
  <c r="AE40" i="17"/>
  <c r="AE55" i="17"/>
  <c r="AE35" i="17"/>
  <c r="AE15" i="17"/>
  <c r="AD10" i="17"/>
  <c r="AC10" i="22"/>
  <c r="AC20" i="22"/>
  <c r="AB15" i="22"/>
  <c r="AB10" i="22"/>
  <c r="AB20" i="22"/>
  <c r="AQ15" i="22"/>
  <c r="AQ20" i="22"/>
  <c r="AD5" i="35" s="1"/>
  <c r="AQ25" i="22"/>
  <c r="AQ10" i="22"/>
  <c r="AB25" i="22"/>
  <c r="AC15" i="22"/>
  <c r="AC25" i="22"/>
  <c r="O15" i="34"/>
  <c r="E40" i="55" l="1"/>
  <c r="T8" i="19"/>
  <c r="J104" i="35" s="1"/>
  <c r="O8" i="19"/>
  <c r="F12" i="19"/>
  <c r="C34" i="55"/>
  <c r="E8" i="18"/>
  <c r="C37" i="55"/>
  <c r="E20" i="18"/>
  <c r="C36" i="55"/>
  <c r="E16" i="18"/>
  <c r="C26" i="55"/>
  <c r="E16" i="54"/>
  <c r="E25" i="55"/>
  <c r="O12" i="54"/>
  <c r="N20" i="54"/>
  <c r="E30" i="55"/>
  <c r="O32" i="54"/>
  <c r="C30" i="55"/>
  <c r="E32" i="54"/>
  <c r="C16" i="55"/>
  <c r="R48" i="17"/>
  <c r="K94" i="35" s="1"/>
  <c r="N24" i="54" s="1"/>
  <c r="C10" i="55"/>
  <c r="R24" i="17"/>
  <c r="K92" i="35" s="1"/>
  <c r="N16" i="54" s="1"/>
  <c r="E26" i="55" s="1"/>
  <c r="C9" i="55"/>
  <c r="R20" i="17"/>
  <c r="K90" i="35" s="1"/>
  <c r="N8" i="54" s="1"/>
  <c r="R8" i="54" s="1"/>
  <c r="K98" i="35" s="1"/>
  <c r="N8" i="18" s="1"/>
  <c r="R8" i="18" s="1"/>
  <c r="J102" i="35" s="1"/>
  <c r="F8" i="19" s="1"/>
  <c r="R8" i="19" s="1"/>
  <c r="J105" i="35" s="1"/>
  <c r="F15" i="34" s="1"/>
  <c r="C8" i="55"/>
  <c r="R16" i="17"/>
  <c r="J91" i="35" s="1"/>
  <c r="F12" i="54" s="1"/>
  <c r="E48" i="17"/>
  <c r="E20" i="17"/>
  <c r="O8" i="17"/>
  <c r="O64" i="17"/>
  <c r="O12" i="17"/>
  <c r="E16" i="17"/>
  <c r="E56" i="17"/>
  <c r="E24" i="17"/>
  <c r="O52" i="17"/>
  <c r="AB10" i="17"/>
  <c r="AC10" i="17"/>
  <c r="AA10" i="17"/>
  <c r="J74" i="35"/>
  <c r="F8" i="17" s="1"/>
  <c r="R8" i="17" s="1"/>
  <c r="J90" i="35" s="1"/>
  <c r="F8" i="54" s="1"/>
  <c r="C24" i="55" s="1"/>
  <c r="O48" i="17"/>
  <c r="E40" i="17"/>
  <c r="J80" i="35"/>
  <c r="C45" i="55" l="1"/>
  <c r="E15" i="34"/>
  <c r="C41" i="55"/>
  <c r="T12" i="19"/>
  <c r="K104" i="35" s="1"/>
  <c r="F8" i="34"/>
  <c r="E8" i="34" s="1"/>
  <c r="C40" i="55"/>
  <c r="E8" i="19"/>
  <c r="E12" i="19"/>
  <c r="E34" i="55"/>
  <c r="O8" i="18"/>
  <c r="E27" i="55"/>
  <c r="R20" i="54"/>
  <c r="K100" i="35" s="1"/>
  <c r="N16" i="18" s="1"/>
  <c r="E8" i="54"/>
  <c r="E28" i="55"/>
  <c r="O24" i="54"/>
  <c r="O20" i="54"/>
  <c r="C25" i="55"/>
  <c r="E12" i="54"/>
  <c r="E24" i="55"/>
  <c r="O8" i="54"/>
  <c r="E8" i="17"/>
  <c r="C6" i="55"/>
  <c r="F32" i="17"/>
  <c r="AE10" i="17"/>
  <c r="O16" i="54"/>
  <c r="B51" i="55" l="1"/>
  <c r="C44" i="55"/>
  <c r="N8" i="34"/>
  <c r="E36" i="55"/>
  <c r="O16" i="18"/>
  <c r="C12" i="55"/>
  <c r="R32" i="17"/>
  <c r="J93" i="35" s="1"/>
  <c r="E32" i="17"/>
  <c r="Z10" i="17"/>
  <c r="Z30" i="17"/>
  <c r="Z25" i="17"/>
  <c r="Z45" i="17"/>
  <c r="Z60" i="17"/>
  <c r="Z55" i="17"/>
  <c r="Z35" i="17"/>
  <c r="Z20" i="17"/>
  <c r="Z15" i="17"/>
  <c r="Z50" i="17"/>
  <c r="Z40" i="17"/>
  <c r="Z65" i="17"/>
  <c r="E44" i="55" l="1"/>
  <c r="B50" i="55"/>
  <c r="O8" i="34"/>
  <c r="F20" i="54"/>
  <c r="C27" i="55" s="1"/>
  <c r="X50" i="17"/>
  <c r="X60" i="17"/>
  <c r="X40" i="17"/>
  <c r="X30" i="17"/>
  <c r="X55" i="17"/>
  <c r="X35" i="17"/>
  <c r="X20" i="17"/>
  <c r="X65" i="17"/>
  <c r="X45" i="17"/>
  <c r="X25" i="17"/>
  <c r="X15" i="17"/>
  <c r="X10" i="17"/>
  <c r="U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E20" i="54" l="1"/>
  <c r="AG35" i="17"/>
  <c r="AG15" i="17"/>
  <c r="AG20" i="17"/>
  <c r="AG40" i="17"/>
  <c r="AG55" i="17"/>
  <c r="AG65" i="17"/>
  <c r="AG30" i="17"/>
  <c r="AG25" i="17"/>
  <c r="AG10" i="17"/>
  <c r="AG50" i="17"/>
  <c r="AG45" i="17"/>
  <c r="AG60" i="17"/>
  <c r="AD2" i="35"/>
  <c r="AJ5" i="35" l="1"/>
  <c r="AJ6" i="35"/>
  <c r="AJ7" i="35"/>
  <c r="AJ8" i="35"/>
  <c r="AJ4" i="35"/>
  <c r="AJ9" i="35"/>
  <c r="AJ3" i="35"/>
  <c r="AJ2" i="35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AD3" i="35" l="1"/>
  <c r="K79" i="35" s="1"/>
  <c r="N28" i="17" s="1"/>
  <c r="E11" i="55" s="1"/>
  <c r="AL6" i="17"/>
  <c r="O28" i="17" l="1"/>
  <c r="K89" i="35"/>
  <c r="N68" i="17" s="1"/>
  <c r="K86" i="35"/>
  <c r="N56" i="17" s="1"/>
  <c r="R56" i="17" s="1"/>
  <c r="J97" i="35" s="1"/>
  <c r="F36" i="54" s="1"/>
  <c r="K81" i="35"/>
  <c r="N36" i="17" s="1"/>
  <c r="K83" i="35"/>
  <c r="N44" i="17" s="1"/>
  <c r="K82" i="35"/>
  <c r="N40" i="17" s="1"/>
  <c r="K76" i="35"/>
  <c r="N16" i="17" s="1"/>
  <c r="K80" i="35"/>
  <c r="N32" i="17" s="1"/>
  <c r="C31" i="55" l="1"/>
  <c r="E36" i="54"/>
  <c r="E14" i="55"/>
  <c r="O40" i="17"/>
  <c r="E12" i="55"/>
  <c r="O32" i="17"/>
  <c r="E8" i="55"/>
  <c r="O16" i="17"/>
  <c r="E15" i="55"/>
  <c r="O44" i="17"/>
  <c r="E13" i="55"/>
  <c r="O36" i="17"/>
  <c r="E18" i="55"/>
  <c r="O56" i="17"/>
  <c r="E21" i="55"/>
  <c r="O68" i="17"/>
</calcChain>
</file>

<file path=xl/sharedStrings.xml><?xml version="1.0" encoding="utf-8"?>
<sst xmlns="http://schemas.openxmlformats.org/spreadsheetml/2006/main" count="6281" uniqueCount="968">
  <si>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</si>
  <si>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</si>
  <si>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</si>
  <si>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</si>
  <si>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</si>
  <si>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</si>
  <si>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</si>
  <si>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</si>
  <si>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</si>
  <si>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</si>
  <si>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</si>
  <si>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</si>
  <si>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</si>
  <si>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</si>
  <si>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</si>
  <si>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</si>
  <si>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</si>
  <si>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</si>
  <si>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</si>
  <si>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</si>
  <si>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</si>
  <si>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</si>
  <si>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</si>
  <si>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</si>
  <si>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</si>
  <si>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</si>
  <si>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</si>
  <si>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</si>
  <si>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</si>
  <si>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</si>
  <si>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</si>
  <si>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</si>
  <si>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</si>
  <si>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</si>
  <si>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</si>
  <si>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</si>
  <si>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</si>
  <si>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</si>
  <si>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</si>
  <si>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</si>
  <si>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</si>
  <si>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</si>
  <si>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</si>
  <si>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</si>
  <si>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</si>
  <si>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</si>
  <si>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</si>
  <si>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</si>
  <si>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</si>
  <si>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</si>
  <si>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</si>
  <si>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</si>
  <si>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</si>
  <si>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</si>
  <si>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</si>
  <si>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</si>
  <si>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</si>
  <si>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</si>
  <si>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</si>
  <si>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</si>
  <si>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</si>
  <si>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</si>
  <si>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</si>
  <si>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</si>
  <si>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</si>
  <si>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</si>
  <si>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</si>
  <si>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</si>
  <si>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</si>
  <si>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</si>
  <si>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</si>
  <si>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</si>
  <si>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</si>
  <si>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</si>
  <si>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</si>
  <si>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</si>
  <si>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</si>
  <si>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</si>
  <si>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</si>
  <si>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</si>
  <si>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</si>
  <si>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</si>
  <si>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</si>
  <si>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</si>
  <si>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</si>
  <si>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</si>
  <si>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</si>
  <si>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</si>
  <si>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</si>
  <si>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</si>
  <si>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</si>
  <si>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</si>
  <si>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</si>
  <si>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</si>
  <si>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</si>
  <si>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</si>
  <si>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</si>
  <si>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</si>
  <si>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</si>
  <si>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</si>
  <si>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</si>
  <si>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</si>
  <si>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</si>
  <si>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</si>
  <si>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</si>
  <si>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</si>
  <si>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</si>
  <si>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</si>
  <si>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</si>
  <si>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</si>
  <si>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</si>
  <si>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</si>
  <si>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</si>
  <si>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</si>
  <si>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</si>
  <si>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</si>
  <si>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</si>
  <si>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</si>
  <si>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</si>
  <si>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</si>
  <si>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</si>
  <si>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</si>
  <si>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</si>
  <si>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</si>
  <si>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</si>
  <si>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</si>
  <si>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</si>
  <si>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</si>
  <si>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</si>
  <si>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</si>
  <si>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</si>
  <si>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</si>
  <si>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</si>
  <si>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</si>
  <si>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</si>
  <si>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</si>
  <si>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</si>
  <si>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</si>
  <si>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</si>
  <si>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</si>
  <si>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</si>
  <si>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</si>
  <si>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</si>
  <si>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</si>
  <si>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</si>
  <si>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</si>
  <si>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</si>
  <si>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</si>
  <si>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</si>
  <si>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</si>
  <si>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</si>
  <si>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</si>
  <si>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</si>
  <si>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</si>
  <si>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</si>
  <si>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</si>
  <si>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</si>
  <si>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</si>
  <si>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</si>
  <si>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</si>
  <si>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</si>
  <si>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</si>
  <si>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</si>
  <si>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</si>
  <si>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</si>
  <si>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</si>
  <si>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</si>
  <si>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</si>
  <si>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</si>
  <si>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</si>
  <si>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</si>
  <si>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</si>
  <si>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</si>
  <si>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</si>
  <si>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</si>
  <si>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</si>
  <si>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</si>
  <si>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</si>
  <si>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</si>
  <si>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</si>
  <si>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</si>
  <si>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</si>
  <si>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</si>
  <si>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</si>
  <si>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</si>
  <si>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</si>
  <si>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</si>
  <si>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</si>
  <si>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</si>
  <si>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</si>
  <si>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</si>
  <si>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</si>
  <si>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</si>
  <si>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</si>
  <si>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</si>
  <si>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</si>
  <si>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</si>
  <si>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</si>
  <si>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</si>
  <si>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</si>
  <si>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</si>
  <si>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</si>
  <si>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</si>
  <si>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</si>
  <si>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</si>
  <si>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</si>
  <si>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</si>
  <si>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</si>
  <si>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</si>
  <si>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</si>
  <si>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</si>
  <si>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</si>
  <si>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</si>
  <si>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</si>
  <si>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</si>
  <si>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</si>
  <si>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</si>
  <si>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</si>
  <si>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</si>
  <si>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</si>
  <si>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</si>
  <si>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</si>
  <si>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</si>
  <si>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</si>
  <si>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</si>
  <si>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</si>
  <si>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</si>
  <si>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</si>
  <si>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</si>
  <si>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</si>
  <si>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</si>
  <si>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</si>
  <si>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</si>
  <si>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</si>
  <si>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</si>
  <si>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</si>
  <si>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</si>
  <si>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</si>
  <si>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</si>
  <si>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</si>
  <si>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</si>
  <si>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</si>
  <si>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</si>
  <si>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</si>
  <si>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</si>
  <si>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</si>
  <si>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</si>
  <si>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</si>
  <si>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</si>
  <si>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</si>
  <si>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</si>
  <si>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</si>
  <si>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</si>
  <si>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</si>
  <si>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</si>
  <si>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</si>
  <si>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</si>
  <si>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</si>
  <si>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</si>
  <si>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</si>
  <si>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</si>
  <si>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</si>
  <si>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</si>
  <si>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</si>
  <si>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</si>
  <si>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</si>
  <si>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</si>
  <si>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</si>
  <si>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</si>
  <si>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</si>
  <si>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</si>
  <si>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</si>
  <si>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</si>
  <si>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</si>
  <si>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</si>
  <si>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</si>
  <si>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</si>
  <si>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</si>
  <si>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</si>
  <si>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</si>
  <si>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</si>
  <si>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</si>
  <si>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</si>
  <si>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</si>
  <si>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</si>
  <si>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</si>
  <si>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</si>
  <si>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</si>
  <si>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</si>
  <si>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</si>
  <si>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</si>
  <si>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</si>
  <si>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</si>
  <si>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</si>
  <si>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</si>
  <si>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</si>
  <si>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</si>
  <si>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</si>
  <si>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</si>
  <si>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</si>
  <si>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</si>
  <si>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</si>
  <si>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</si>
  <si>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</si>
  <si>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</si>
  <si>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</si>
  <si>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</si>
  <si>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</si>
  <si>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</si>
  <si>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</si>
  <si>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</si>
  <si>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</si>
  <si>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</si>
  <si>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</si>
  <si>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</si>
  <si>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</si>
  <si>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</si>
  <si>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</si>
  <si>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</si>
  <si>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</si>
  <si>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</si>
  <si>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</si>
  <si>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</si>
  <si>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</si>
  <si>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</si>
  <si>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</si>
  <si>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</si>
  <si>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</si>
  <si>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</si>
  <si>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</si>
  <si>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</si>
  <si>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</si>
  <si>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</si>
  <si>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</si>
  <si>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</si>
  <si>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</si>
  <si>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</si>
  <si>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</si>
  <si>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</si>
  <si>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</si>
  <si>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</si>
  <si>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</si>
  <si>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</si>
  <si>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</si>
  <si>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</si>
  <si>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</si>
  <si>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</si>
  <si>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</si>
  <si>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</si>
  <si>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</si>
  <si>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</si>
  <si>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</si>
  <si>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</si>
  <si>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</si>
  <si>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</si>
  <si>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</si>
  <si>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</si>
  <si>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</si>
  <si>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</si>
  <si>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</si>
  <si>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</si>
  <si>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</si>
  <si>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</si>
  <si>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</si>
  <si>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</si>
  <si>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</si>
  <si>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</si>
  <si>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</si>
  <si>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</si>
  <si>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</si>
  <si>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</si>
  <si>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</si>
  <si>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</si>
  <si>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</si>
  <si>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</si>
  <si>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</si>
  <si>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</si>
  <si>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</si>
  <si>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</si>
  <si>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</si>
  <si>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</si>
  <si>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</si>
  <si>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</si>
  <si>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</si>
  <si>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</si>
  <si>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</si>
  <si>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</si>
  <si>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</si>
  <si>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</si>
  <si>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</si>
  <si>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</si>
  <si>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</si>
  <si>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</si>
  <si>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</si>
  <si>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</si>
  <si>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</si>
  <si>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</si>
  <si>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</si>
  <si>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</si>
  <si>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</si>
  <si>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</si>
  <si>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</si>
  <si>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</si>
  <si>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</si>
  <si>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</si>
  <si>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</si>
  <si>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</si>
  <si>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</si>
  <si>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</si>
  <si>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</si>
  <si>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</si>
  <si>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</si>
  <si>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</si>
  <si>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</si>
  <si>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</si>
  <si>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</si>
  <si>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</si>
  <si>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</si>
  <si>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</si>
  <si>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</si>
  <si>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</si>
  <si>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</si>
  <si>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</si>
  <si>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</si>
  <si>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</si>
  <si>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</si>
  <si>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</si>
  <si>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</si>
  <si>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</si>
  <si>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</si>
  <si>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</si>
  <si>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</si>
  <si>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</si>
  <si>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</si>
  <si>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</si>
  <si>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</si>
  <si>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</si>
  <si>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</si>
  <si>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</si>
  <si>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</si>
  <si>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</si>
  <si>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</si>
  <si>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</si>
  <si>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</si>
  <si>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</si>
  <si>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</si>
  <si>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</si>
  <si>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</si>
  <si>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</si>
  <si>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</si>
  <si>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</si>
  <si>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</si>
  <si>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</si>
  <si>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</si>
  <si>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</si>
  <si>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</si>
  <si>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</si>
  <si>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</si>
  <si>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</si>
  <si>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</si>
  <si>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</si>
  <si>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</si>
  <si>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</si>
  <si>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</si>
  <si>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</si>
  <si>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</si>
  <si>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</si>
  <si>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</si>
  <si>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</si>
  <si>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</si>
  <si>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</si>
  <si>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</si>
  <si>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</si>
  <si>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</si>
  <si>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</si>
  <si>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</si>
  <si>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</si>
  <si>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</si>
  <si>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</si>
  <si>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</si>
  <si>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</si>
  <si>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</si>
  <si>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</si>
  <si>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</si>
  <si>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</si>
  <si>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</si>
  <si>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</si>
  <si>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</si>
  <si>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</si>
  <si>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</si>
  <si>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</si>
  <si>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</si>
  <si>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</si>
  <si>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</si>
  <si>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</si>
  <si>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</si>
  <si>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</si>
  <si>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</si>
  <si>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</si>
  <si>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</si>
  <si>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</si>
  <si>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</si>
  <si>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</si>
  <si>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</si>
  <si>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</si>
  <si>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</si>
  <si>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</si>
  <si>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</si>
  <si>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</si>
  <si>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</si>
  <si>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</si>
  <si>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</si>
  <si>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</si>
  <si>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</si>
  <si>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</si>
  <si>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</si>
  <si>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</si>
  <si>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</si>
  <si>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</si>
  <si>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</si>
  <si>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</si>
  <si>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</si>
  <si>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</si>
  <si>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</si>
  <si>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</si>
  <si>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</si>
  <si>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</si>
  <si>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</si>
  <si>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</si>
  <si>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</si>
  <si>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</si>
  <si>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</si>
  <si>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</si>
  <si>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</si>
  <si>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</si>
  <si>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</si>
  <si>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</si>
  <si>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</si>
  <si>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</si>
  <si>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</si>
  <si>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</si>
  <si>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</si>
  <si>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</si>
  <si>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</si>
  <si>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</si>
  <si>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</si>
  <si>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</si>
  <si>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</si>
  <si>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</si>
  <si>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</si>
  <si>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</si>
  <si>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</si>
  <si>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</si>
  <si>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</si>
  <si>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</si>
  <si>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</si>
  <si>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</si>
  <si>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</si>
  <si>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</si>
  <si>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</si>
  <si>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</si>
  <si>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</si>
  <si>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</si>
  <si>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</si>
  <si>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</si>
  <si>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</si>
  <si>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</si>
  <si>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</si>
  <si>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</si>
  <si>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</si>
  <si>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</si>
  <si>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</si>
  <si>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</si>
  <si>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</si>
  <si>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</si>
  <si>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</si>
  <si>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</si>
  <si>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</si>
  <si>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</si>
  <si>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</si>
  <si>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</si>
  <si>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</si>
  <si>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</si>
  <si>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</si>
  <si>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</si>
  <si>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</si>
  <si>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</si>
  <si>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</si>
  <si>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</si>
  <si>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</si>
  <si>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</si>
  <si>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</si>
  <si>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</si>
  <si>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</si>
  <si>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</si>
  <si>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</si>
  <si>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</si>
  <si>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</si>
  <si>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</si>
  <si>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</si>
  <si>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</si>
  <si>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</si>
  <si>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</si>
  <si>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</si>
  <si>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</si>
  <si>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</si>
  <si>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</si>
  <si>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</si>
  <si>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</si>
  <si>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</si>
  <si>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</si>
  <si>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</si>
  <si>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</si>
  <si>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</si>
  <si>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</si>
  <si>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</si>
  <si>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</si>
  <si>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</si>
  <si>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</si>
  <si>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</si>
  <si>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</si>
  <si>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</si>
  <si>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</si>
  <si>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</si>
  <si>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</si>
  <si>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</si>
  <si>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</si>
  <si>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</si>
  <si>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</si>
  <si>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</si>
  <si>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</si>
  <si>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</si>
  <si>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</si>
  <si>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</si>
  <si>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</si>
  <si>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</si>
  <si>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</si>
  <si>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</si>
  <si>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</si>
  <si>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</si>
  <si>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</si>
  <si>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</si>
  <si>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</si>
  <si>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</si>
  <si>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</si>
  <si>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</si>
  <si>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</si>
  <si>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</si>
  <si>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</si>
  <si>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</si>
  <si>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</si>
  <si>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</si>
  <si>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</si>
  <si>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</si>
  <si>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</si>
  <si>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</si>
  <si>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</si>
  <si>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</si>
  <si>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</si>
  <si>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</si>
  <si>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</si>
  <si>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</si>
  <si>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</si>
  <si>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</si>
  <si>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</si>
  <si>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</si>
  <si>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</si>
  <si>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</si>
  <si>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</si>
  <si>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</si>
  <si>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</si>
  <si>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</si>
  <si>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</si>
  <si>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</si>
  <si>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</si>
  <si>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</si>
  <si>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</si>
  <si>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</si>
  <si>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</si>
  <si>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</si>
  <si>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</si>
  <si>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</si>
  <si>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</si>
  <si>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</si>
  <si>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</si>
  <si>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</si>
  <si>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</si>
  <si>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</si>
  <si>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</si>
  <si>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</si>
  <si>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</si>
  <si>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</si>
  <si>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</si>
  <si>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</si>
  <si>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</si>
  <si>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</si>
  <si>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</si>
  <si>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</si>
  <si>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</si>
  <si>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</si>
  <si>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</si>
  <si>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</si>
  <si>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</si>
  <si>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</si>
  <si>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</si>
  <si>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</si>
  <si>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</si>
  <si>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</si>
  <si>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</si>
  <si>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</si>
  <si>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</si>
  <si>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</si>
  <si>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</si>
  <si>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</si>
  <si>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</si>
  <si>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</si>
  <si>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</si>
  <si>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</si>
  <si>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</si>
  <si>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</si>
  <si>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</si>
  <si>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</si>
  <si>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</si>
  <si>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</si>
  <si>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</si>
  <si>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</si>
  <si>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</si>
  <si>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</si>
  <si>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</si>
  <si>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</si>
  <si>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</si>
  <si>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</si>
  <si>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</si>
  <si>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</si>
  <si>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</si>
  <si>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</si>
  <si>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</si>
  <si>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</si>
  <si>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</si>
  <si>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</si>
  <si>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</si>
  <si>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</si>
  <si>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</si>
  <si>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</si>
  <si>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</si>
  <si>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</si>
  <si>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</si>
  <si>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</si>
  <si>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</si>
  <si>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</si>
  <si>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</si>
  <si>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</si>
  <si>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</si>
  <si>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</si>
  <si>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</si>
  <si>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</si>
  <si>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</si>
  <si>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</si>
  <si>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</si>
  <si>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</si>
  <si>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</si>
  <si>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</si>
  <si>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</si>
  <si>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</si>
  <si>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</si>
  <si>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</si>
  <si>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</si>
  <si>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</si>
  <si>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</si>
  <si>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</si>
  <si>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</si>
  <si>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</si>
  <si>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</si>
  <si>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</si>
  <si>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</si>
  <si>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</si>
  <si>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</si>
  <si>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</si>
  <si>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</si>
  <si>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</si>
  <si>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</si>
  <si>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</si>
  <si>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</si>
  <si>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</si>
  <si>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</si>
  <si>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</si>
  <si>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</si>
  <si>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</si>
  <si>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</si>
  <si>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</si>
  <si>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</si>
  <si>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</si>
  <si>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</si>
  <si>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</si>
  <si>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</si>
  <si>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</si>
  <si>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</si>
  <si>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</si>
  <si>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</si>
  <si>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</si>
  <si>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</si>
  <si>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</si>
  <si>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</si>
  <si>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</si>
  <si>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</si>
  <si>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</si>
  <si>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</si>
  <si>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</si>
  <si>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</si>
  <si>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</si>
  <si>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</si>
  <si>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</si>
  <si>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</si>
  <si>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</si>
  <si>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</si>
  <si>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</si>
  <si>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</si>
  <si>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</si>
  <si>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</si>
  <si>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</si>
  <si>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</si>
  <si>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</si>
  <si>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</si>
  <si>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</si>
  <si>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</si>
  <si>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</si>
  <si>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</si>
  <si>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</si>
  <si>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</si>
  <si>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</si>
  <si>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</si>
  <si>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</si>
  <si>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</si>
  <si>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</si>
  <si>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</si>
  <si>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</si>
  <si>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</si>
  <si>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</si>
  <si>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</si>
  <si>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</si>
  <si>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</si>
  <si>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</si>
  <si>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</si>
  <si>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</si>
  <si>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</si>
  <si>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</si>
  <si>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</si>
  <si>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</si>
  <si>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</si>
  <si>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</si>
  <si>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</si>
  <si>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</si>
  <si>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</si>
  <si>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</si>
  <si>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</si>
  <si>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</si>
  <si>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</si>
  <si>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</si>
  <si>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</si>
  <si>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</si>
  <si>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</si>
  <si>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</si>
  <si>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</si>
  <si>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</si>
  <si>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</si>
  <si>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</si>
  <si>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</si>
  <si>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</si>
  <si>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</si>
  <si>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</si>
  <si>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</si>
  <si>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</si>
  <si>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</si>
  <si>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</si>
  <si>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</si>
  <si>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</si>
  <si>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</si>
  <si>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</si>
  <si>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</si>
  <si>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</si>
  <si>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</si>
  <si>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</si>
  <si>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</si>
  <si>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</si>
  <si>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</si>
  <si>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</si>
  <si>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</si>
  <si>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</si>
  <si>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</si>
  <si>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</si>
  <si>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</si>
  <si>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</si>
  <si>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</si>
  <si>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</si>
  <si>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</si>
  <si>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</si>
  <si>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</si>
  <si>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</si>
  <si>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</si>
  <si>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</si>
  <si>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</si>
  <si>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</si>
  <si>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</si>
  <si>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</si>
  <si>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</si>
  <si>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</si>
  <si>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</si>
  <si>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</si>
  <si>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</si>
  <si>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</si>
  <si>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</si>
  <si>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</si>
  <si>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</si>
  <si>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</si>
  <si>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</si>
  <si>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</si>
  <si>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</si>
  <si>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</si>
  <si>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</si>
  <si>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</si>
  <si>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</si>
  <si>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</si>
  <si>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</si>
  <si>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</si>
  <si>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</si>
  <si>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</si>
  <si>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</si>
  <si>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</si>
  <si>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</si>
  <si>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</si>
  <si>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</si>
  <si>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</si>
  <si>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</si>
  <si>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</si>
  <si>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</si>
  <si>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</si>
  <si>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</si>
  <si>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</si>
  <si>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</si>
  <si>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</si>
  <si>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</si>
  <si>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</si>
  <si>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</si>
  <si>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</si>
  <si>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</si>
  <si>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</si>
  <si>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</si>
  <si>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</si>
  <si>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</si>
  <si>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</si>
  <si>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</si>
  <si>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</si>
  <si>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</si>
  <si>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</si>
  <si>
    <t>RESUMEN DE ELIMINATORIAS</t>
  </si>
  <si>
    <t>FASE</t>
  </si>
  <si>
    <t>RESULTADO</t>
  </si>
  <si>
    <t>DIECISEISAVOS DE FINAL</t>
  </si>
  <si>
    <t>OCTAVOS DE FINAL</t>
  </si>
  <si>
    <t>CUARTOS DE FINAL</t>
  </si>
  <si>
    <t>FINAL Y TERCER PUESTO</t>
  </si>
  <si>
    <t>RESULTADOS FINALES</t>
  </si>
  <si>
    <t>🥇 CAMPEÓN:</t>
  </si>
  <si>
    <t>🥈 SUBCAMPEÓN:</t>
  </si>
  <si>
    <t>🥉 TERCER PUESTO:</t>
  </si>
  <si>
    <t>4️⃣ CUARTO PUESTO:</t>
  </si>
  <si>
    <t>⚽ GOLEADOR: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</si>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</sst>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9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6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0" fontId="77" fillId="17" borderId="54" xfId="0" applyFont="1" applyFill="1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16" fontId="0" fillId="3" borderId="54" xfId="0" applyNumberFormat="1" applyFill="1" applyBorder="1" applyAlignment="1">
      <alignment vertical="center"/>
    </xf>
    <xf numFmtId="0" fontId="0" fillId="3" borderId="54" xfId="0" applyFill="1" applyBorder="1" applyAlignment="1">
      <alignment horizontal="center" vertical="center"/>
    </xf>
    <xf numFmtId="0" fontId="0" fillId="15" borderId="54" xfId="0" applyFill="1" applyBorder="1" applyAlignment="1">
      <alignment vertical="center"/>
    </xf>
    <xf numFmtId="16" fontId="0" fillId="15" borderId="54" xfId="0" applyNumberFormat="1" applyFill="1" applyBorder="1" applyAlignment="1">
      <alignment vertical="center"/>
    </xf>
    <xf numFmtId="0" fontId="0" fillId="15" borderId="54" xfId="0" applyFill="1" applyBorder="1" applyAlignment="1">
      <alignment horizontal="center" vertical="center"/>
    </xf>
    <xf numFmtId="0" fontId="0" fillId="20" borderId="54" xfId="0" applyFill="1" applyBorder="1" applyAlignment="1">
      <alignment vertical="center"/>
    </xf>
    <xf numFmtId="16" fontId="0" fillId="20" borderId="54" xfId="0" applyNumberFormat="1" applyFill="1" applyBorder="1" applyAlignment="1">
      <alignment vertical="center"/>
    </xf>
    <xf numFmtId="0" fontId="0" fillId="20" borderId="54" xfId="0" applyFill="1" applyBorder="1" applyAlignment="1">
      <alignment horizontal="center" vertical="center"/>
    </xf>
    <xf numFmtId="0" fontId="0" fillId="22" borderId="54" xfId="0" applyFill="1" applyBorder="1" applyAlignment="1">
      <alignment vertical="center"/>
    </xf>
    <xf numFmtId="16" fontId="0" fillId="22" borderId="54" xfId="0" applyNumberFormat="1" applyFill="1" applyBorder="1" applyAlignment="1">
      <alignment vertical="center"/>
    </xf>
    <xf numFmtId="0" fontId="0" fillId="22" borderId="54" xfId="0" applyFill="1" applyBorder="1" applyAlignment="1">
      <alignment horizontal="center" vertical="center"/>
    </xf>
    <xf numFmtId="0" fontId="0" fillId="24" borderId="54" xfId="0" applyFill="1" applyBorder="1" applyAlignment="1">
      <alignment vertical="center"/>
    </xf>
    <xf numFmtId="16" fontId="0" fillId="24" borderId="54" xfId="0" applyNumberFormat="1" applyFill="1" applyBorder="1" applyAlignment="1">
      <alignment vertical="center"/>
    </xf>
    <xf numFmtId="0" fontId="0" fillId="24" borderId="54" xfId="0" applyFill="1" applyBorder="1" applyAlignment="1">
      <alignment horizontal="center" vertical="center"/>
    </xf>
    <xf numFmtId="0" fontId="0" fillId="26" borderId="54" xfId="0" applyFill="1" applyBorder="1" applyAlignment="1">
      <alignment vertical="center"/>
    </xf>
    <xf numFmtId="16" fontId="0" fillId="26" borderId="54" xfId="0" applyNumberFormat="1" applyFill="1" applyBorder="1" applyAlignment="1">
      <alignment vertical="center"/>
    </xf>
    <xf numFmtId="0" fontId="0" fillId="26" borderId="54" xfId="0" applyFill="1" applyBorder="1" applyAlignment="1">
      <alignment horizontal="center" vertical="center"/>
    </xf>
    <xf numFmtId="0" fontId="4" fillId="28" borderId="54" xfId="0" applyFont="1" applyFill="1" applyBorder="1" applyAlignment="1">
      <alignment vertical="center"/>
    </xf>
    <xf numFmtId="0" fontId="4" fillId="28" borderId="54" xfId="0" applyFont="1" applyFill="1" applyBorder="1" applyAlignment="1">
      <alignment horizontal="center" vertical="center"/>
    </xf>
    <xf numFmtId="0" fontId="4" fillId="29" borderId="54" xfId="0" applyFont="1" applyFill="1" applyBorder="1" applyAlignment="1">
      <alignment vertical="center"/>
    </xf>
    <xf numFmtId="0" fontId="4" fillId="29" borderId="54" xfId="0" applyFont="1" applyFill="1" applyBorder="1" applyAlignment="1">
      <alignment horizontal="center" vertical="center"/>
    </xf>
    <xf numFmtId="0" fontId="4" fillId="30" borderId="54" xfId="0" applyFont="1" applyFill="1" applyBorder="1" applyAlignment="1">
      <alignment vertical="center"/>
    </xf>
    <xf numFmtId="0" fontId="4" fillId="30" borderId="54" xfId="0" applyFont="1" applyFill="1" applyBorder="1" applyAlignment="1">
      <alignment horizontal="center" vertical="center"/>
    </xf>
    <xf numFmtId="0" fontId="4" fillId="31" borderId="54" xfId="0" applyFont="1" applyFill="1" applyBorder="1" applyAlignment="1">
      <alignment vertical="center"/>
    </xf>
    <xf numFmtId="0" fontId="4" fillId="31" borderId="54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0" fillId="7" borderId="0" xfId="0" applyFill="1" applyAlignment="1">
      <alignment horizontal="center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24" fillId="6" borderId="17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13" fillId="7" borderId="3" xfId="0" applyFont="1" applyFill="1" applyBorder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165" fontId="54" fillId="6" borderId="6" xfId="0" applyNumberFormat="1" applyFont="1" applyFill="1" applyBorder="1" applyAlignment="1">
      <alignment horizontal="left" vertical="top"/>
    </xf>
    <xf numFmtId="2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45" fillId="12" borderId="8" xfId="0" applyFont="1" applyFill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6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0" borderId="3" xfId="0" applyFont="1" applyBorder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7" fillId="7" borderId="0" xfId="0" applyFont="1" applyFill="1" applyAlignment="1">
      <alignment horizont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0" fillId="7" borderId="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71" fillId="0" borderId="5" xfId="0" applyFont="1" applyBorder="1" applyAlignment="1">
      <alignment horizontal="right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72" fillId="0" borderId="0" xfId="0" applyFont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77" fillId="27" borderId="54" xfId="0" applyFont="1" applyFill="1" applyBorder="1" applyAlignment="1">
      <alignment horizontal="center" vertical="center"/>
    </xf>
    <xf numFmtId="0" fontId="76" fillId="16" borderId="0" xfId="0" applyFont="1" applyFill="1" applyAlignment="1">
      <alignment horizontal="center" vertical="center"/>
    </xf>
    <xf numFmtId="0" fontId="77" fillId="18" borderId="54" xfId="0" applyFont="1" applyFill="1" applyBorder="1" applyAlignment="1">
      <alignment horizontal="center" vertical="center"/>
    </xf>
    <xf numFmtId="0" fontId="77" fillId="19" borderId="54" xfId="0" applyFont="1" applyFill="1" applyBorder="1" applyAlignment="1">
      <alignment horizontal="center" vertical="center"/>
    </xf>
    <xf numFmtId="0" fontId="77" fillId="21" borderId="54" xfId="0" applyFont="1" applyFill="1" applyBorder="1" applyAlignment="1">
      <alignment horizontal="center" vertical="center"/>
    </xf>
    <xf numFmtId="0" fontId="77" fillId="23" borderId="54" xfId="0" applyFont="1" applyFill="1" applyBorder="1" applyAlignment="1">
      <alignment horizontal="center" vertical="center"/>
    </xf>
    <xf numFmtId="0" fontId="77" fillId="25" borderId="54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  <xf numFmtId="0" fontId="4" fillId="31" borderId="56" xfId="0" applyFont="1" applyFill="1" applyBorder="1" applyAlignment="1">
      <alignment vertical="center"/>
    </xf>
    <xf numFmtId="0" fontId="78" fillId="32" borderId="55" xfId="0" applyFont="1" applyFill="1" applyBorder="1"/>
    <xf numFmtId="0" fontId="78" fillId="32" borderId="54" xfId="0" applyFont="1" applyFill="1" applyBorder="1" applyProtection="1">
      <protection locked="0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6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68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4.png"/><Relationship Id="rId58" Type="http://schemas.openxmlformats.org/officeDocument/2006/relationships/hyperlink" Target="#E!A1"/><Relationship Id="rId5" Type="http://schemas.openxmlformats.org/officeDocument/2006/relationships/image" Target="../media/image8.png"/><Relationship Id="rId61" Type="http://schemas.openxmlformats.org/officeDocument/2006/relationships/hyperlink" Target="#H!A1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hyperlink" Target="#UTC!C3"/><Relationship Id="rId48" Type="http://schemas.openxmlformats.org/officeDocument/2006/relationships/image" Target="../media/image49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1.png"/><Relationship Id="rId51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7.jpeg"/><Relationship Id="rId59" Type="http://schemas.openxmlformats.org/officeDocument/2006/relationships/hyperlink" Target="#'F'!A1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0.png"/><Relationship Id="rId57" Type="http://schemas.openxmlformats.org/officeDocument/2006/relationships/hyperlink" Target="#D!A1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6.png"/><Relationship Id="rId52" Type="http://schemas.openxmlformats.org/officeDocument/2006/relationships/image" Target="../media/image53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4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E!A1"/><Relationship Id="rId9" Type="http://schemas.openxmlformats.org/officeDocument/2006/relationships/image" Target="../media/image5.png"/><Relationship Id="rId14" Type="http://schemas.openxmlformats.org/officeDocument/2006/relationships/hyperlink" Target="#I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7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7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5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9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0.png"/><Relationship Id="rId14" Type="http://schemas.openxmlformats.org/officeDocument/2006/relationships/hyperlink" Target="#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2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3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4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0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9.png"/><Relationship Id="rId19" Type="http://schemas.openxmlformats.org/officeDocument/2006/relationships/image" Target="../media/image47.jpeg"/><Relationship Id="rId4" Type="http://schemas.openxmlformats.org/officeDocument/2006/relationships/hyperlink" Target="#'C'!A1"/><Relationship Id="rId9" Type="http://schemas.openxmlformats.org/officeDocument/2006/relationships/image" Target="../media/image16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2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8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6.png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2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1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5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28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3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6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5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7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0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46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5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7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4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3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2.png"/><Relationship Id="rId14" Type="http://schemas.openxmlformats.org/officeDocument/2006/relationships/hyperlink" Target="#G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3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1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42.png"/><Relationship Id="rId14" Type="http://schemas.openxmlformats.org/officeDocument/2006/relationships/hyperlink" Target="#H!A1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7.emf"/><Relationship Id="rId18" Type="http://schemas.openxmlformats.org/officeDocument/2006/relationships/image" Target="../media/image92.emf"/><Relationship Id="rId26" Type="http://schemas.openxmlformats.org/officeDocument/2006/relationships/image" Target="../media/image100.emf"/><Relationship Id="rId3" Type="http://schemas.openxmlformats.org/officeDocument/2006/relationships/image" Target="../media/image77.emf"/><Relationship Id="rId21" Type="http://schemas.openxmlformats.org/officeDocument/2006/relationships/image" Target="../media/image95.emf"/><Relationship Id="rId34" Type="http://schemas.openxmlformats.org/officeDocument/2006/relationships/image" Target="../media/image104.emf"/><Relationship Id="rId7" Type="http://schemas.openxmlformats.org/officeDocument/2006/relationships/image" Target="../media/image81.emf"/><Relationship Id="rId12" Type="http://schemas.openxmlformats.org/officeDocument/2006/relationships/image" Target="../media/image86.emf"/><Relationship Id="rId17" Type="http://schemas.openxmlformats.org/officeDocument/2006/relationships/image" Target="../media/image91.emf"/><Relationship Id="rId25" Type="http://schemas.openxmlformats.org/officeDocument/2006/relationships/image" Target="../media/image99.emf"/><Relationship Id="rId33" Type="http://schemas.openxmlformats.org/officeDocument/2006/relationships/image" Target="../media/image103.emf"/><Relationship Id="rId2" Type="http://schemas.openxmlformats.org/officeDocument/2006/relationships/image" Target="../media/image76.emf"/><Relationship Id="rId16" Type="http://schemas.openxmlformats.org/officeDocument/2006/relationships/image" Target="../media/image90.emf"/><Relationship Id="rId20" Type="http://schemas.openxmlformats.org/officeDocument/2006/relationships/image" Target="../media/image94.emf"/><Relationship Id="rId29" Type="http://schemas.openxmlformats.org/officeDocument/2006/relationships/image" Target="../media/image46.png"/><Relationship Id="rId1" Type="http://schemas.openxmlformats.org/officeDocument/2006/relationships/image" Target="../media/image75.emf"/><Relationship Id="rId6" Type="http://schemas.openxmlformats.org/officeDocument/2006/relationships/image" Target="../media/image80.emf"/><Relationship Id="rId11" Type="http://schemas.openxmlformats.org/officeDocument/2006/relationships/image" Target="../media/image85.emf"/><Relationship Id="rId24" Type="http://schemas.openxmlformats.org/officeDocument/2006/relationships/image" Target="../media/image98.emf"/><Relationship Id="rId32" Type="http://schemas.openxmlformats.org/officeDocument/2006/relationships/image" Target="../media/image102.emf"/><Relationship Id="rId5" Type="http://schemas.openxmlformats.org/officeDocument/2006/relationships/image" Target="../media/image79.emf"/><Relationship Id="rId15" Type="http://schemas.openxmlformats.org/officeDocument/2006/relationships/image" Target="../media/image89.emf"/><Relationship Id="rId23" Type="http://schemas.openxmlformats.org/officeDocument/2006/relationships/image" Target="../media/image97.emf"/><Relationship Id="rId28" Type="http://schemas.openxmlformats.org/officeDocument/2006/relationships/hyperlink" Target="#UTC!C3"/><Relationship Id="rId36" Type="http://schemas.openxmlformats.org/officeDocument/2006/relationships/image" Target="../media/image106.emf"/><Relationship Id="rId10" Type="http://schemas.openxmlformats.org/officeDocument/2006/relationships/image" Target="../media/image84.emf"/><Relationship Id="rId19" Type="http://schemas.openxmlformats.org/officeDocument/2006/relationships/image" Target="../media/image93.emf"/><Relationship Id="rId31" Type="http://schemas.openxmlformats.org/officeDocument/2006/relationships/image" Target="../media/image47.jpeg"/><Relationship Id="rId4" Type="http://schemas.openxmlformats.org/officeDocument/2006/relationships/image" Target="../media/image78.emf"/><Relationship Id="rId9" Type="http://schemas.openxmlformats.org/officeDocument/2006/relationships/image" Target="../media/image83.emf"/><Relationship Id="rId14" Type="http://schemas.openxmlformats.org/officeDocument/2006/relationships/image" Target="../media/image88.emf"/><Relationship Id="rId22" Type="http://schemas.openxmlformats.org/officeDocument/2006/relationships/image" Target="../media/image96.emf"/><Relationship Id="rId27" Type="http://schemas.openxmlformats.org/officeDocument/2006/relationships/image" Target="../media/image101.emf"/><Relationship Id="rId30" Type="http://schemas.openxmlformats.org/officeDocument/2006/relationships/hyperlink" Target="http://clasesexcel.com/" TargetMode="External"/><Relationship Id="rId35" Type="http://schemas.openxmlformats.org/officeDocument/2006/relationships/image" Target="../media/image105.emf"/><Relationship Id="rId8" Type="http://schemas.openxmlformats.org/officeDocument/2006/relationships/image" Target="../media/image82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6.emf"/><Relationship Id="rId13" Type="http://schemas.openxmlformats.org/officeDocument/2006/relationships/image" Target="../media/image150.emf"/><Relationship Id="rId18" Type="http://schemas.openxmlformats.org/officeDocument/2006/relationships/image" Target="../media/image46.png"/><Relationship Id="rId3" Type="http://schemas.openxmlformats.org/officeDocument/2006/relationships/image" Target="../media/image141.emf"/><Relationship Id="rId7" Type="http://schemas.openxmlformats.org/officeDocument/2006/relationships/image" Target="../media/image145.emf"/><Relationship Id="rId12" Type="http://schemas.openxmlformats.org/officeDocument/2006/relationships/image" Target="../media/image149.emf"/><Relationship Id="rId17" Type="http://schemas.openxmlformats.org/officeDocument/2006/relationships/hyperlink" Target="#UTC!C3"/><Relationship Id="rId2" Type="http://schemas.openxmlformats.org/officeDocument/2006/relationships/image" Target="../media/image140.emf"/><Relationship Id="rId16" Type="http://schemas.openxmlformats.org/officeDocument/2006/relationships/image" Target="../media/image153.emf"/><Relationship Id="rId20" Type="http://schemas.openxmlformats.org/officeDocument/2006/relationships/image" Target="../media/image47.jpeg"/><Relationship Id="rId1" Type="http://schemas.openxmlformats.org/officeDocument/2006/relationships/image" Target="../media/image139.emf"/><Relationship Id="rId6" Type="http://schemas.openxmlformats.org/officeDocument/2006/relationships/image" Target="../media/image144.emf"/><Relationship Id="rId11" Type="http://schemas.openxmlformats.org/officeDocument/2006/relationships/image" Target="../media/image79.emf"/><Relationship Id="rId5" Type="http://schemas.openxmlformats.org/officeDocument/2006/relationships/image" Target="../media/image143.emf"/><Relationship Id="rId15" Type="http://schemas.openxmlformats.org/officeDocument/2006/relationships/image" Target="../media/image152.emf"/><Relationship Id="rId10" Type="http://schemas.openxmlformats.org/officeDocument/2006/relationships/image" Target="../media/image148.emf"/><Relationship Id="rId19" Type="http://schemas.openxmlformats.org/officeDocument/2006/relationships/hyperlink" Target="http://clasesexcel.com/" TargetMode="External"/><Relationship Id="rId4" Type="http://schemas.openxmlformats.org/officeDocument/2006/relationships/image" Target="../media/image142.emf"/><Relationship Id="rId9" Type="http://schemas.openxmlformats.org/officeDocument/2006/relationships/image" Target="../media/image147.emf"/><Relationship Id="rId14" Type="http://schemas.openxmlformats.org/officeDocument/2006/relationships/image" Target="../media/image151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6.emf"/><Relationship Id="rId3" Type="http://schemas.openxmlformats.org/officeDocument/2006/relationships/image" Target="../media/image171.emf"/><Relationship Id="rId7" Type="http://schemas.openxmlformats.org/officeDocument/2006/relationships/image" Target="../media/image175.emf"/><Relationship Id="rId12" Type="http://schemas.openxmlformats.org/officeDocument/2006/relationships/image" Target="../media/image47.jpeg"/><Relationship Id="rId2" Type="http://schemas.openxmlformats.org/officeDocument/2006/relationships/image" Target="../media/image170.emf"/><Relationship Id="rId1" Type="http://schemas.openxmlformats.org/officeDocument/2006/relationships/image" Target="../media/image169.emf"/><Relationship Id="rId6" Type="http://schemas.openxmlformats.org/officeDocument/2006/relationships/image" Target="../media/image174.emf"/><Relationship Id="rId11" Type="http://schemas.openxmlformats.org/officeDocument/2006/relationships/hyperlink" Target="http://clasesexcel.com/" TargetMode="External"/><Relationship Id="rId5" Type="http://schemas.openxmlformats.org/officeDocument/2006/relationships/image" Target="../media/image173.emf"/><Relationship Id="rId10" Type="http://schemas.openxmlformats.org/officeDocument/2006/relationships/image" Target="../media/image46.png"/><Relationship Id="rId4" Type="http://schemas.openxmlformats.org/officeDocument/2006/relationships/image" Target="../media/image172.emf"/><Relationship Id="rId9" Type="http://schemas.openxmlformats.org/officeDocument/2006/relationships/hyperlink" Target="#UTC!C3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9.jpeg"/><Relationship Id="rId3" Type="http://schemas.openxmlformats.org/officeDocument/2006/relationships/image" Target="../media/image187.emf"/><Relationship Id="rId7" Type="http://schemas.openxmlformats.org/officeDocument/2006/relationships/hyperlink" Target="http://clasesexcel.com/" TargetMode="External"/><Relationship Id="rId2" Type="http://schemas.openxmlformats.org/officeDocument/2006/relationships/image" Target="../media/image186.emf"/><Relationship Id="rId1" Type="http://schemas.openxmlformats.org/officeDocument/2006/relationships/image" Target="../media/image185.emf"/><Relationship Id="rId6" Type="http://schemas.openxmlformats.org/officeDocument/2006/relationships/image" Target="../media/image46.png"/><Relationship Id="rId5" Type="http://schemas.openxmlformats.org/officeDocument/2006/relationships/hyperlink" Target="#UTC!C3"/><Relationship Id="rId4" Type="http://schemas.openxmlformats.org/officeDocument/2006/relationships/image" Target="../media/image188.emf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jpeg"/><Relationship Id="rId3" Type="http://schemas.openxmlformats.org/officeDocument/2006/relationships/image" Target="../media/image196.emf"/><Relationship Id="rId7" Type="http://schemas.openxmlformats.org/officeDocument/2006/relationships/hyperlink" Target="http://clasesexcel.com/" TargetMode="External"/><Relationship Id="rId2" Type="http://schemas.openxmlformats.org/officeDocument/2006/relationships/image" Target="../media/image195.emf"/><Relationship Id="rId1" Type="http://schemas.openxmlformats.org/officeDocument/2006/relationships/image" Target="../media/image194.emf"/><Relationship Id="rId6" Type="http://schemas.openxmlformats.org/officeDocument/2006/relationships/image" Target="../media/image46.png"/><Relationship Id="rId5" Type="http://schemas.openxmlformats.org/officeDocument/2006/relationships/hyperlink" Target="#UTC!C3"/><Relationship Id="rId10" Type="http://schemas.openxmlformats.org/officeDocument/2006/relationships/image" Target="../media/image199.emf"/><Relationship Id="rId4" Type="http://schemas.openxmlformats.org/officeDocument/2006/relationships/image" Target="../media/image197.emf"/><Relationship Id="rId9" Type="http://schemas.openxmlformats.org/officeDocument/2006/relationships/image" Target="../media/image198.emf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7.png"/><Relationship Id="rId18" Type="http://schemas.openxmlformats.org/officeDocument/2006/relationships/image" Target="../media/image32.png"/><Relationship Id="rId26" Type="http://schemas.openxmlformats.org/officeDocument/2006/relationships/image" Target="../media/image228.png"/><Relationship Id="rId39" Type="http://schemas.openxmlformats.org/officeDocument/2006/relationships/image" Target="../media/image240.png"/><Relationship Id="rId21" Type="http://schemas.openxmlformats.org/officeDocument/2006/relationships/image" Target="../media/image223.png"/><Relationship Id="rId34" Type="http://schemas.openxmlformats.org/officeDocument/2006/relationships/image" Target="../media/image235.png"/><Relationship Id="rId42" Type="http://schemas.openxmlformats.org/officeDocument/2006/relationships/image" Target="../media/image243.png"/><Relationship Id="rId47" Type="http://schemas.openxmlformats.org/officeDocument/2006/relationships/image" Target="../media/image248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212.png"/><Relationship Id="rId2" Type="http://schemas.openxmlformats.org/officeDocument/2006/relationships/image" Target="../media/image207.png"/><Relationship Id="rId16" Type="http://schemas.openxmlformats.org/officeDocument/2006/relationships/image" Target="../media/image219.png"/><Relationship Id="rId29" Type="http://schemas.openxmlformats.org/officeDocument/2006/relationships/image" Target="../media/image231.png"/><Relationship Id="rId11" Type="http://schemas.openxmlformats.org/officeDocument/2006/relationships/image" Target="../media/image215.png"/><Relationship Id="rId24" Type="http://schemas.openxmlformats.org/officeDocument/2006/relationships/image" Target="../media/image226.png"/><Relationship Id="rId32" Type="http://schemas.openxmlformats.org/officeDocument/2006/relationships/image" Target="../media/image233.png"/><Relationship Id="rId37" Type="http://schemas.openxmlformats.org/officeDocument/2006/relationships/image" Target="../media/image238.png"/><Relationship Id="rId40" Type="http://schemas.openxmlformats.org/officeDocument/2006/relationships/image" Target="../media/image241.png"/><Relationship Id="rId45" Type="http://schemas.openxmlformats.org/officeDocument/2006/relationships/image" Target="../media/image246.png"/><Relationship Id="rId53" Type="http://schemas.openxmlformats.org/officeDocument/2006/relationships/image" Target="../media/image3.png"/><Relationship Id="rId5" Type="http://schemas.openxmlformats.org/officeDocument/2006/relationships/image" Target="../media/image210.png"/><Relationship Id="rId10" Type="http://schemas.openxmlformats.org/officeDocument/2006/relationships/image" Target="../media/image214.png"/><Relationship Id="rId19" Type="http://schemas.openxmlformats.org/officeDocument/2006/relationships/image" Target="../media/image221.png"/><Relationship Id="rId31" Type="http://schemas.openxmlformats.org/officeDocument/2006/relationships/image" Target="../media/image232.png"/><Relationship Id="rId44" Type="http://schemas.openxmlformats.org/officeDocument/2006/relationships/image" Target="../media/image245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209.png"/><Relationship Id="rId9" Type="http://schemas.openxmlformats.org/officeDocument/2006/relationships/image" Target="../media/image213.png"/><Relationship Id="rId14" Type="http://schemas.openxmlformats.org/officeDocument/2006/relationships/image" Target="../media/image21.png"/><Relationship Id="rId22" Type="http://schemas.openxmlformats.org/officeDocument/2006/relationships/image" Target="../media/image224.png"/><Relationship Id="rId27" Type="http://schemas.openxmlformats.org/officeDocument/2006/relationships/image" Target="../media/image229.png"/><Relationship Id="rId30" Type="http://schemas.openxmlformats.org/officeDocument/2006/relationships/image" Target="../media/image33.png"/><Relationship Id="rId35" Type="http://schemas.openxmlformats.org/officeDocument/2006/relationships/image" Target="../media/image236.png"/><Relationship Id="rId43" Type="http://schemas.openxmlformats.org/officeDocument/2006/relationships/image" Target="../media/image244.png"/><Relationship Id="rId48" Type="http://schemas.openxmlformats.org/officeDocument/2006/relationships/image" Target="../media/image249.png"/><Relationship Id="rId8" Type="http://schemas.openxmlformats.org/officeDocument/2006/relationships/image" Target="../media/image26.png"/><Relationship Id="rId51" Type="http://schemas.openxmlformats.org/officeDocument/2006/relationships/image" Target="../media/image47.jpeg"/><Relationship Id="rId3" Type="http://schemas.openxmlformats.org/officeDocument/2006/relationships/image" Target="../media/image208.png"/><Relationship Id="rId12" Type="http://schemas.openxmlformats.org/officeDocument/2006/relationships/image" Target="../media/image216.png"/><Relationship Id="rId17" Type="http://schemas.openxmlformats.org/officeDocument/2006/relationships/image" Target="../media/image220.png"/><Relationship Id="rId25" Type="http://schemas.openxmlformats.org/officeDocument/2006/relationships/image" Target="../media/image227.png"/><Relationship Id="rId33" Type="http://schemas.openxmlformats.org/officeDocument/2006/relationships/image" Target="../media/image234.png"/><Relationship Id="rId38" Type="http://schemas.openxmlformats.org/officeDocument/2006/relationships/image" Target="../media/image239.png"/><Relationship Id="rId46" Type="http://schemas.openxmlformats.org/officeDocument/2006/relationships/image" Target="../media/image247.png"/><Relationship Id="rId20" Type="http://schemas.openxmlformats.org/officeDocument/2006/relationships/image" Target="../media/image222.png"/><Relationship Id="rId41" Type="http://schemas.openxmlformats.org/officeDocument/2006/relationships/image" Target="../media/image242.png"/><Relationship Id="rId1" Type="http://schemas.openxmlformats.org/officeDocument/2006/relationships/image" Target="../media/image206.png"/><Relationship Id="rId6" Type="http://schemas.openxmlformats.org/officeDocument/2006/relationships/image" Target="../media/image211.png"/><Relationship Id="rId15" Type="http://schemas.openxmlformats.org/officeDocument/2006/relationships/image" Target="../media/image218.png"/><Relationship Id="rId23" Type="http://schemas.openxmlformats.org/officeDocument/2006/relationships/image" Target="../media/image225.png"/><Relationship Id="rId28" Type="http://schemas.openxmlformats.org/officeDocument/2006/relationships/image" Target="../media/image230.png"/><Relationship Id="rId36" Type="http://schemas.openxmlformats.org/officeDocument/2006/relationships/image" Target="../media/image237.png"/><Relationship Id="rId49" Type="http://schemas.openxmlformats.org/officeDocument/2006/relationships/image" Target="../media/image250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6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251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252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22.png"/><Relationship Id="rId26" Type="http://schemas.openxmlformats.org/officeDocument/2006/relationships/image" Target="../media/image40.png"/><Relationship Id="rId39" Type="http://schemas.openxmlformats.org/officeDocument/2006/relationships/image" Target="../media/image9.png"/><Relationship Id="rId21" Type="http://schemas.openxmlformats.org/officeDocument/2006/relationships/image" Target="../media/image15.png"/><Relationship Id="rId34" Type="http://schemas.openxmlformats.org/officeDocument/2006/relationships/image" Target="../media/image4.png"/><Relationship Id="rId42" Type="http://schemas.openxmlformats.org/officeDocument/2006/relationships/image" Target="../media/image5.png"/><Relationship Id="rId47" Type="http://schemas.openxmlformats.org/officeDocument/2006/relationships/image" Target="../media/image44.png"/><Relationship Id="rId7" Type="http://schemas.openxmlformats.org/officeDocument/2006/relationships/image" Target="../media/image49.png"/><Relationship Id="rId2" Type="http://schemas.openxmlformats.org/officeDocument/2006/relationships/image" Target="../media/image36.png"/><Relationship Id="rId16" Type="http://schemas.openxmlformats.org/officeDocument/2006/relationships/image" Target="../media/image41.png"/><Relationship Id="rId29" Type="http://schemas.openxmlformats.org/officeDocument/2006/relationships/image" Target="../media/image20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10.png"/><Relationship Id="rId24" Type="http://schemas.openxmlformats.org/officeDocument/2006/relationships/image" Target="../media/image42.png"/><Relationship Id="rId32" Type="http://schemas.openxmlformats.org/officeDocument/2006/relationships/image" Target="../media/image38.png"/><Relationship Id="rId37" Type="http://schemas.openxmlformats.org/officeDocument/2006/relationships/image" Target="../media/image19.png"/><Relationship Id="rId40" Type="http://schemas.openxmlformats.org/officeDocument/2006/relationships/image" Target="../media/image39.png"/><Relationship Id="rId45" Type="http://schemas.openxmlformats.org/officeDocument/2006/relationships/image" Target="../media/image23.png"/><Relationship Id="rId5" Type="http://schemas.openxmlformats.org/officeDocument/2006/relationships/image" Target="../media/image37.png"/><Relationship Id="rId15" Type="http://schemas.openxmlformats.org/officeDocument/2006/relationships/image" Target="../media/image21.png"/><Relationship Id="rId23" Type="http://schemas.openxmlformats.org/officeDocument/2006/relationships/image" Target="../media/image32.png"/><Relationship Id="rId28" Type="http://schemas.openxmlformats.org/officeDocument/2006/relationships/image" Target="../media/image30.png"/><Relationship Id="rId36" Type="http://schemas.openxmlformats.org/officeDocument/2006/relationships/image" Target="../media/image31.png"/><Relationship Id="rId10" Type="http://schemas.openxmlformats.org/officeDocument/2006/relationships/image" Target="../media/image7.png"/><Relationship Id="rId19" Type="http://schemas.openxmlformats.org/officeDocument/2006/relationships/image" Target="../media/image8.png"/><Relationship Id="rId31" Type="http://schemas.openxmlformats.org/officeDocument/2006/relationships/image" Target="../media/image17.png"/><Relationship Id="rId44" Type="http://schemas.openxmlformats.org/officeDocument/2006/relationships/image" Target="../media/image11.png"/><Relationship Id="rId4" Type="http://schemas.openxmlformats.org/officeDocument/2006/relationships/image" Target="../media/image16.png"/><Relationship Id="rId9" Type="http://schemas.openxmlformats.org/officeDocument/2006/relationships/image" Target="../media/image25.png"/><Relationship Id="rId14" Type="http://schemas.openxmlformats.org/officeDocument/2006/relationships/image" Target="../media/image6.png"/><Relationship Id="rId22" Type="http://schemas.openxmlformats.org/officeDocument/2006/relationships/image" Target="../media/image24.png"/><Relationship Id="rId27" Type="http://schemas.openxmlformats.org/officeDocument/2006/relationships/image" Target="../media/image253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53.png"/><Relationship Id="rId48" Type="http://schemas.openxmlformats.org/officeDocument/2006/relationships/image" Target="../media/image45.png"/><Relationship Id="rId8" Type="http://schemas.openxmlformats.org/officeDocument/2006/relationships/image" Target="../media/image12.png"/><Relationship Id="rId3" Type="http://schemas.openxmlformats.org/officeDocument/2006/relationships/image" Target="../media/image35.png"/><Relationship Id="rId12" Type="http://schemas.openxmlformats.org/officeDocument/2006/relationships/image" Target="../media/image48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33" Type="http://schemas.openxmlformats.org/officeDocument/2006/relationships/image" Target="../media/image13.png"/><Relationship Id="rId38" Type="http://schemas.openxmlformats.org/officeDocument/2006/relationships/image" Target="../media/image43.png"/><Relationship Id="rId46" Type="http://schemas.openxmlformats.org/officeDocument/2006/relationships/image" Target="../media/image50.png"/><Relationship Id="rId20" Type="http://schemas.openxmlformats.org/officeDocument/2006/relationships/image" Target="../media/image27.png"/><Relationship Id="rId4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emf"/><Relationship Id="rId13" Type="http://schemas.openxmlformats.org/officeDocument/2006/relationships/image" Target="../media/image119.emf"/><Relationship Id="rId18" Type="http://schemas.openxmlformats.org/officeDocument/2006/relationships/image" Target="../media/image124.emf"/><Relationship Id="rId26" Type="http://schemas.openxmlformats.org/officeDocument/2006/relationships/image" Target="../media/image132.emf"/><Relationship Id="rId3" Type="http://schemas.openxmlformats.org/officeDocument/2006/relationships/image" Target="../media/image109.emf"/><Relationship Id="rId21" Type="http://schemas.openxmlformats.org/officeDocument/2006/relationships/image" Target="../media/image127.emf"/><Relationship Id="rId7" Type="http://schemas.openxmlformats.org/officeDocument/2006/relationships/image" Target="../media/image113.emf"/><Relationship Id="rId12" Type="http://schemas.openxmlformats.org/officeDocument/2006/relationships/image" Target="../media/image118.emf"/><Relationship Id="rId17" Type="http://schemas.openxmlformats.org/officeDocument/2006/relationships/image" Target="../media/image123.emf"/><Relationship Id="rId25" Type="http://schemas.openxmlformats.org/officeDocument/2006/relationships/image" Target="../media/image131.emf"/><Relationship Id="rId2" Type="http://schemas.openxmlformats.org/officeDocument/2006/relationships/image" Target="../media/image108.emf"/><Relationship Id="rId16" Type="http://schemas.openxmlformats.org/officeDocument/2006/relationships/image" Target="../media/image122.emf"/><Relationship Id="rId20" Type="http://schemas.openxmlformats.org/officeDocument/2006/relationships/image" Target="../media/image126.emf"/><Relationship Id="rId29" Type="http://schemas.openxmlformats.org/officeDocument/2006/relationships/image" Target="../media/image135.emf"/><Relationship Id="rId1" Type="http://schemas.openxmlformats.org/officeDocument/2006/relationships/image" Target="../media/image107.emf"/><Relationship Id="rId6" Type="http://schemas.openxmlformats.org/officeDocument/2006/relationships/image" Target="../media/image112.emf"/><Relationship Id="rId11" Type="http://schemas.openxmlformats.org/officeDocument/2006/relationships/image" Target="../media/image117.emf"/><Relationship Id="rId24" Type="http://schemas.openxmlformats.org/officeDocument/2006/relationships/image" Target="../media/image130.emf"/><Relationship Id="rId32" Type="http://schemas.openxmlformats.org/officeDocument/2006/relationships/image" Target="../media/image138.emf"/><Relationship Id="rId5" Type="http://schemas.openxmlformats.org/officeDocument/2006/relationships/image" Target="../media/image111.emf"/><Relationship Id="rId15" Type="http://schemas.openxmlformats.org/officeDocument/2006/relationships/image" Target="../media/image121.emf"/><Relationship Id="rId23" Type="http://schemas.openxmlformats.org/officeDocument/2006/relationships/image" Target="../media/image129.emf"/><Relationship Id="rId28" Type="http://schemas.openxmlformats.org/officeDocument/2006/relationships/image" Target="../media/image134.emf"/><Relationship Id="rId10" Type="http://schemas.openxmlformats.org/officeDocument/2006/relationships/image" Target="../media/image116.emf"/><Relationship Id="rId19" Type="http://schemas.openxmlformats.org/officeDocument/2006/relationships/image" Target="../media/image125.emf"/><Relationship Id="rId31" Type="http://schemas.openxmlformats.org/officeDocument/2006/relationships/image" Target="../media/image137.emf"/><Relationship Id="rId4" Type="http://schemas.openxmlformats.org/officeDocument/2006/relationships/image" Target="../media/image110.emf"/><Relationship Id="rId9" Type="http://schemas.openxmlformats.org/officeDocument/2006/relationships/image" Target="../media/image115.emf"/><Relationship Id="rId14" Type="http://schemas.openxmlformats.org/officeDocument/2006/relationships/image" Target="../media/image120.emf"/><Relationship Id="rId22" Type="http://schemas.openxmlformats.org/officeDocument/2006/relationships/image" Target="../media/image128.emf"/><Relationship Id="rId27" Type="http://schemas.openxmlformats.org/officeDocument/2006/relationships/image" Target="../media/image133.emf"/><Relationship Id="rId30" Type="http://schemas.openxmlformats.org/officeDocument/2006/relationships/image" Target="../media/image136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61.emf"/><Relationship Id="rId13" Type="http://schemas.openxmlformats.org/officeDocument/2006/relationships/image" Target="../media/image165.emf"/><Relationship Id="rId3" Type="http://schemas.openxmlformats.org/officeDocument/2006/relationships/image" Target="../media/image156.emf"/><Relationship Id="rId7" Type="http://schemas.openxmlformats.org/officeDocument/2006/relationships/image" Target="../media/image160.emf"/><Relationship Id="rId12" Type="http://schemas.openxmlformats.org/officeDocument/2006/relationships/image" Target="../media/image164.emf"/><Relationship Id="rId2" Type="http://schemas.openxmlformats.org/officeDocument/2006/relationships/image" Target="../media/image155.emf"/><Relationship Id="rId16" Type="http://schemas.openxmlformats.org/officeDocument/2006/relationships/image" Target="../media/image168.emf"/><Relationship Id="rId1" Type="http://schemas.openxmlformats.org/officeDocument/2006/relationships/image" Target="../media/image154.emf"/><Relationship Id="rId6" Type="http://schemas.openxmlformats.org/officeDocument/2006/relationships/image" Target="../media/image159.emf"/><Relationship Id="rId11" Type="http://schemas.openxmlformats.org/officeDocument/2006/relationships/image" Target="../media/image111.emf"/><Relationship Id="rId5" Type="http://schemas.openxmlformats.org/officeDocument/2006/relationships/image" Target="../media/image158.emf"/><Relationship Id="rId15" Type="http://schemas.openxmlformats.org/officeDocument/2006/relationships/image" Target="../media/image167.emf"/><Relationship Id="rId10" Type="http://schemas.openxmlformats.org/officeDocument/2006/relationships/image" Target="../media/image163.emf"/><Relationship Id="rId4" Type="http://schemas.openxmlformats.org/officeDocument/2006/relationships/image" Target="../media/image157.emf"/><Relationship Id="rId9" Type="http://schemas.openxmlformats.org/officeDocument/2006/relationships/image" Target="../media/image162.emf"/><Relationship Id="rId14" Type="http://schemas.openxmlformats.org/officeDocument/2006/relationships/image" Target="../media/image166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4.emf"/><Relationship Id="rId3" Type="http://schemas.openxmlformats.org/officeDocument/2006/relationships/image" Target="../media/image179.emf"/><Relationship Id="rId7" Type="http://schemas.openxmlformats.org/officeDocument/2006/relationships/image" Target="../media/image183.emf"/><Relationship Id="rId2" Type="http://schemas.openxmlformats.org/officeDocument/2006/relationships/image" Target="../media/image178.emf"/><Relationship Id="rId1" Type="http://schemas.openxmlformats.org/officeDocument/2006/relationships/image" Target="../media/image177.emf"/><Relationship Id="rId6" Type="http://schemas.openxmlformats.org/officeDocument/2006/relationships/image" Target="../media/image182.emf"/><Relationship Id="rId5" Type="http://schemas.openxmlformats.org/officeDocument/2006/relationships/image" Target="../media/image181.emf"/><Relationship Id="rId4" Type="http://schemas.openxmlformats.org/officeDocument/2006/relationships/image" Target="../media/image18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2.emf"/><Relationship Id="rId2" Type="http://schemas.openxmlformats.org/officeDocument/2006/relationships/image" Target="../media/image191.emf"/><Relationship Id="rId1" Type="http://schemas.openxmlformats.org/officeDocument/2006/relationships/image" Target="../media/image190.emf"/><Relationship Id="rId4" Type="http://schemas.openxmlformats.org/officeDocument/2006/relationships/image" Target="../media/image193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2.emf"/><Relationship Id="rId2" Type="http://schemas.openxmlformats.org/officeDocument/2006/relationships/image" Target="../media/image201.emf"/><Relationship Id="rId1" Type="http://schemas.openxmlformats.org/officeDocument/2006/relationships/image" Target="../media/image200.emf"/><Relationship Id="rId6" Type="http://schemas.openxmlformats.org/officeDocument/2006/relationships/image" Target="../media/image205.emf"/><Relationship Id="rId5" Type="http://schemas.openxmlformats.org/officeDocument/2006/relationships/image" Target="../media/image204.emf"/><Relationship Id="rId4" Type="http://schemas.openxmlformats.org/officeDocument/2006/relationships/image" Target="../media/image20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22</xdr:row>
      <xdr:rowOff>3222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22</xdr:row>
      <xdr:rowOff>3159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22</xdr:row>
      <xdr:rowOff>3159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812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8120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8120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8121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81211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8121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81213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81214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81215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81216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81217"/>
                    </a:ext>
                  </a:extLst>
                </xdr:cNvPicPr>
              </xdr:nvPicPr>
              <xdr:blipFill>
                <a:blip xmlns:r="http://schemas.openxmlformats.org/officeDocument/2006/relationships" r:embed="rId11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81218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8121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81220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81221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81222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81223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81224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81225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81226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81227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81228"/>
                    </a:ext>
                  </a:extLst>
                </xdr:cNvPicPr>
              </xdr:nvPicPr>
              <xdr:blipFill>
                <a:blip xmlns:r="http://schemas.openxmlformats.org/officeDocument/2006/relationships" r:embed="rId22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81229"/>
                    </a:ext>
                  </a:extLst>
                </xdr:cNvPicPr>
              </xdr:nvPicPr>
              <xdr:blipFill>
                <a:blip xmlns:r="http://schemas.openxmlformats.org/officeDocument/2006/relationships" r:embed="rId23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81230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8123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81232"/>
                    </a:ext>
                  </a:extLst>
                </xdr:cNvPicPr>
              </xdr:nvPicPr>
              <xdr:blipFill>
                <a:blip xmlns:r="http://schemas.openxmlformats.org/officeDocument/2006/relationships" r:embed="rId26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81233"/>
                    </a:ext>
                  </a:extLst>
                </xdr:cNvPicPr>
              </xdr:nvPicPr>
              <xdr:blipFill>
                <a:blip xmlns:r="http://schemas.openxmlformats.org/officeDocument/2006/relationships" r:embed="rId27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81234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81235"/>
                </a:ext>
              </a:extLst>
            </xdr:cNvPicPr>
          </xdr:nvPicPr>
          <xdr:blipFill>
            <a:blip xmlns:r="http://schemas.openxmlformats.org/officeDocument/2006/relationships" r:embed="rId33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81236"/>
                </a:ext>
              </a:extLst>
            </xdr:cNvPicPr>
          </xdr:nvPicPr>
          <xdr:blipFill>
            <a:blip xmlns:r="http://schemas.openxmlformats.org/officeDocument/2006/relationships" r:embed="rId34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81237"/>
                </a:ext>
              </a:extLst>
            </xdr:cNvPicPr>
          </xdr:nvPicPr>
          <xdr:blipFill>
            <a:blip xmlns:r="http://schemas.openxmlformats.org/officeDocument/2006/relationships" r:embed="rId35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81238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953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953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953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9537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953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953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9537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95375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9537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95377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95378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95379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95380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95381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95382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95383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8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8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86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86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86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86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87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87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4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40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40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40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4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4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4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49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49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49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workbookViewId="0">
      <selection activeCell="L3" sqref="L3"/>
    </sheetView>
  </sheetViews>
  <sheetFormatPr baseColWidth="10" defaultRowHeight="14.4" x14ac:dyDescent="0.3"/>
  <cols>
    <col min="16384" max="16384" width="11.44140625" hidden="1" customWidth="1"/>
  </cols>
  <sheetData>
    <row r="1" spans="16384:16384" x14ac:dyDescent="0.3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workbookViewId="0">
      <selection activeCell="G9" sqref="G9:H9"/>
    </sheetView>
  </sheetViews>
  <sheetFormatPr baseColWidth="10" defaultColWidth="11.44140625" defaultRowHeight="15.6" x14ac:dyDescent="0.3"/>
  <cols>
    <col min="1" max="1" width="32.5546875" style="51" customWidth="1"/>
    <col min="2" max="2" width="3.6640625" style="116" hidden="1" customWidth="1"/>
    <col min="3" max="3" width="3.6640625" style="116" customWidth="1"/>
    <col min="4" max="4" width="2.6640625" style="51" customWidth="1"/>
    <col min="5" max="5" width="6.109375" style="51" customWidth="1"/>
    <col min="6" max="6" width="19.109375" style="52" customWidth="1"/>
    <col min="7" max="7" width="4.6640625" style="51" customWidth="1"/>
    <col min="8" max="8" width="2.6640625" style="51" customWidth="1"/>
    <col min="9" max="10" width="3.33203125" style="51" customWidth="1"/>
    <col min="11" max="11" width="4.6640625" style="51" customWidth="1"/>
    <col min="12" max="12" width="19.109375" style="52" bestFit="1" customWidth="1"/>
    <col min="13" max="13" width="6.109375" style="51" customWidth="1"/>
    <col min="14" max="14" width="2.6640625" style="51" customWidth="1"/>
    <col min="15" max="15" width="3.6640625" style="51" customWidth="1"/>
    <col min="16" max="16" width="8.44140625" style="51" customWidth="1"/>
    <col min="17" max="16384" width="11.44140625" style="51"/>
  </cols>
  <sheetData>
    <row r="1" spans="2:24" customFormat="1" ht="25.5" customHeight="1" x14ac:dyDescent="0.3">
      <c r="B1" s="115"/>
      <c r="C1" s="115"/>
    </row>
    <row r="2" spans="2:24" customFormat="1" ht="35.25" customHeight="1" x14ac:dyDescent="0.3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3">
      <c r="B3" s="115"/>
      <c r="C3" s="115"/>
    </row>
    <row r="4" spans="2:24" customFormat="1" ht="15" customHeight="1" x14ac:dyDescent="0.3">
      <c r="B4" s="115"/>
      <c r="C4" s="115"/>
    </row>
    <row r="5" spans="2:24" customFormat="1" ht="18" customHeight="1" x14ac:dyDescent="0.3">
      <c r="B5" s="115"/>
      <c r="C5" s="115"/>
      <c r="D5" s="28" t="s">
        <v>61</v>
      </c>
    </row>
    <row r="6" spans="2:24" ht="21.9" customHeight="1" x14ac:dyDescent="0.3">
      <c r="D6" s="240" t="str">
        <f>TEXT(VLOOKUP(B8,tDatos[],IF(UTCElegido="",3,12),0),"dddd dd mmmm")</f>
        <v>jueves 11 junio</v>
      </c>
      <c r="E6" s="240"/>
      <c r="F6" s="240"/>
      <c r="G6" s="240"/>
      <c r="H6" s="240"/>
      <c r="I6" s="240"/>
      <c r="J6" s="240"/>
      <c r="K6" s="240"/>
      <c r="L6" s="240"/>
      <c r="M6" s="240"/>
      <c r="N6" s="240"/>
    </row>
    <row r="7" spans="2:24" ht="5.0999999999999996" customHeight="1" x14ac:dyDescent="0.3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1.9" customHeight="1" x14ac:dyDescent="0.3">
      <c r="B8" s="182">
        <v>1</v>
      </c>
      <c r="C8" s="129">
        <v>1</v>
      </c>
      <c r="D8" s="99"/>
      <c r="E8" s="239">
        <f>VLOOKUP(B8,tDatos[],IF(UTCElegido="",4,12),0)</f>
        <v>0.625</v>
      </c>
      <c r="F8" s="239"/>
      <c r="G8" s="239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1.9" customHeight="1" x14ac:dyDescent="0.3">
      <c r="B9" s="183"/>
      <c r="C9" s="114"/>
      <c r="D9" s="85"/>
      <c r="E9" s="65"/>
      <c r="F9" s="68" t="s">
        <v>167</v>
      </c>
      <c r="G9" s="237"/>
      <c r="H9" s="238"/>
      <c r="I9" s="67" t="s">
        <v>0</v>
      </c>
      <c r="J9" s="237"/>
      <c r="K9" s="238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00000000000001" customHeight="1" x14ac:dyDescent="0.3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0999999999999996" customHeight="1" x14ac:dyDescent="0.3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1.9" customHeight="1" x14ac:dyDescent="0.3">
      <c r="B12" s="184"/>
      <c r="D12" s="240" t="str">
        <f>TEXT(VLOOKUP(B14,tDatos[],IF(UTCElegido="",3,12),0),"dddd dd mmmm")</f>
        <v>jueves 11 junio</v>
      </c>
      <c r="E12" s="240"/>
      <c r="F12" s="240"/>
      <c r="G12" s="240"/>
      <c r="H12" s="240"/>
      <c r="I12" s="240"/>
      <c r="J12" s="240"/>
      <c r="K12" s="240"/>
      <c r="L12" s="240"/>
      <c r="M12" s="240"/>
      <c r="N12" s="240"/>
    </row>
    <row r="13" spans="2:24" ht="5.0999999999999996" customHeight="1" x14ac:dyDescent="0.3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1.9" customHeight="1" x14ac:dyDescent="0.3">
      <c r="B14" s="182">
        <v>2</v>
      </c>
      <c r="C14" s="129">
        <v>2</v>
      </c>
      <c r="D14" s="64"/>
      <c r="E14" s="239">
        <f>VLOOKUP(B14,tDatos[],IF(UTCElegido="",4,12),0)</f>
        <v>0.91666666666666663</v>
      </c>
      <c r="F14" s="239"/>
      <c r="G14" s="239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1.9" customHeight="1" x14ac:dyDescent="0.3">
      <c r="B15" s="183"/>
      <c r="C15" s="114"/>
      <c r="D15" s="85"/>
      <c r="E15" s="65"/>
      <c r="F15" s="68" t="s">
        <v>361</v>
      </c>
      <c r="G15" s="237"/>
      <c r="H15" s="238"/>
      <c r="I15" s="67" t="s">
        <v>0</v>
      </c>
      <c r="J15" s="237"/>
      <c r="K15" s="238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00000000000001" customHeight="1" x14ac:dyDescent="0.3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0999999999999996" customHeight="1" x14ac:dyDescent="0.3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1.9" customHeight="1" x14ac:dyDescent="0.3">
      <c r="B18" s="184"/>
      <c r="D18" s="240" t="str">
        <f>TEXT(VLOOKUP(B20,tDatos[],IF(UTCElegido="",3,12),0),"dddd dd mmmm")</f>
        <v>viernes 12 junio</v>
      </c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Q18"/>
      <c r="R18"/>
      <c r="S18"/>
      <c r="T18"/>
      <c r="U18"/>
      <c r="V18"/>
      <c r="W18"/>
      <c r="X18"/>
    </row>
    <row r="19" spans="2:24" ht="5.0999999999999996" customHeight="1" x14ac:dyDescent="0.3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1.9" customHeight="1" x14ac:dyDescent="0.3">
      <c r="B20" s="182">
        <v>3</v>
      </c>
      <c r="C20" s="129">
        <v>3</v>
      </c>
      <c r="D20" s="64"/>
      <c r="E20" s="239">
        <f>VLOOKUP(B20,tDatos[],IF(UTCElegido="",4,12),0)</f>
        <v>0.625</v>
      </c>
      <c r="F20" s="239"/>
      <c r="G20" s="239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1.9" customHeight="1" x14ac:dyDescent="0.3">
      <c r="B21" s="183"/>
      <c r="C21" s="114"/>
      <c r="D21" s="85"/>
      <c r="E21" s="65"/>
      <c r="F21" s="68" t="s">
        <v>168</v>
      </c>
      <c r="G21" s="237"/>
      <c r="H21" s="238"/>
      <c r="I21" s="67" t="s">
        <v>0</v>
      </c>
      <c r="J21" s="237"/>
      <c r="K21" s="238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00000000000001" customHeight="1" x14ac:dyDescent="0.3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0999999999999996" customHeight="1" x14ac:dyDescent="0.3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1.9" customHeight="1" x14ac:dyDescent="0.3">
      <c r="B24" s="184"/>
      <c r="D24" s="240" t="str">
        <f>TEXT(VLOOKUP(B26,tDatos[],IF(UTCElegido="",3,12),0),"dddd dd mmmm")</f>
        <v>viernes 12 junio</v>
      </c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Q24"/>
      <c r="R24"/>
      <c r="S24"/>
      <c r="T24"/>
      <c r="U24"/>
      <c r="V24"/>
      <c r="W24"/>
      <c r="X24"/>
    </row>
    <row r="25" spans="2:24" ht="5.0999999999999996" customHeight="1" x14ac:dyDescent="0.3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1.9" customHeight="1" x14ac:dyDescent="0.3">
      <c r="B26" s="182">
        <v>4</v>
      </c>
      <c r="C26" s="129">
        <v>4</v>
      </c>
      <c r="D26" s="64"/>
      <c r="E26" s="239">
        <f>VLOOKUP(B26,tDatos[],IF(UTCElegido="",4,12),0)</f>
        <v>0.875</v>
      </c>
      <c r="F26" s="239"/>
      <c r="G26" s="239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1.9" customHeight="1" x14ac:dyDescent="0.3">
      <c r="B27" s="183"/>
      <c r="C27" s="114"/>
      <c r="D27" s="85"/>
      <c r="E27" s="65"/>
      <c r="F27" s="68" t="s">
        <v>297</v>
      </c>
      <c r="G27" s="237"/>
      <c r="H27" s="238"/>
      <c r="I27" s="67" t="s">
        <v>0</v>
      </c>
      <c r="J27" s="237"/>
      <c r="K27" s="238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00000000000001" customHeight="1" x14ac:dyDescent="0.3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0999999999999996" customHeight="1" x14ac:dyDescent="0.3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1.9" customHeight="1" x14ac:dyDescent="0.3">
      <c r="B30" s="184"/>
      <c r="D30" s="240" t="str">
        <f>TEXT(VLOOKUP(B32,tDatos[],IF(UTCElegido="",3,12),0),"dddd dd mmmm")</f>
        <v>sábado 13 junio</v>
      </c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Q30"/>
      <c r="R30"/>
      <c r="S30"/>
      <c r="T30"/>
      <c r="U30"/>
      <c r="V30"/>
      <c r="W30"/>
      <c r="X30"/>
    </row>
    <row r="31" spans="2:24" ht="5.0999999999999996" customHeight="1" x14ac:dyDescent="0.3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1.9" customHeight="1" x14ac:dyDescent="0.3">
      <c r="B32" s="182">
        <v>5</v>
      </c>
      <c r="C32" s="129">
        <v>8</v>
      </c>
      <c r="D32" s="64"/>
      <c r="E32" s="239">
        <f>VLOOKUP(B32,tDatos[],IF(UTCElegido="",4,12),0)</f>
        <v>0.625</v>
      </c>
      <c r="F32" s="239"/>
      <c r="G32" s="239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1.9" customHeight="1" x14ac:dyDescent="0.3">
      <c r="B33" s="183"/>
      <c r="C33" s="114"/>
      <c r="D33" s="85"/>
      <c r="E33" s="65"/>
      <c r="F33" s="68" t="s">
        <v>189</v>
      </c>
      <c r="G33" s="237"/>
      <c r="H33" s="238"/>
      <c r="I33" s="67" t="s">
        <v>0</v>
      </c>
      <c r="J33" s="237"/>
      <c r="K33" s="238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00000000000001" customHeight="1" x14ac:dyDescent="0.3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0999999999999996" customHeight="1" x14ac:dyDescent="0.3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1.9" customHeight="1" x14ac:dyDescent="0.3">
      <c r="B36" s="184"/>
      <c r="D36" s="240" t="str">
        <f>TEXT(VLOOKUP(B38,tDatos[],IF(UTCElegido="",3,12),0),"dddd dd mmmm")</f>
        <v>sábado 13 junio</v>
      </c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Q36"/>
      <c r="R36"/>
      <c r="S36"/>
      <c r="T36"/>
      <c r="U36"/>
      <c r="V36"/>
      <c r="W36"/>
      <c r="X36"/>
    </row>
    <row r="37" spans="2:24" ht="5.0999999999999996" customHeight="1" x14ac:dyDescent="0.3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1.9" customHeight="1" x14ac:dyDescent="0.3">
      <c r="B38" s="182">
        <v>6</v>
      </c>
      <c r="C38" s="129">
        <v>7</v>
      </c>
      <c r="D38" s="64"/>
      <c r="E38" s="239">
        <f>VLOOKUP(B38,tDatos[],IF(UTCElegido="",4,12),0)</f>
        <v>0.75</v>
      </c>
      <c r="F38" s="239"/>
      <c r="G38" s="239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1.9" customHeight="1" x14ac:dyDescent="0.3">
      <c r="B39" s="184"/>
      <c r="D39" s="64"/>
      <c r="E39" s="65"/>
      <c r="F39" s="68" t="s">
        <v>164</v>
      </c>
      <c r="G39" s="237"/>
      <c r="H39" s="238"/>
      <c r="I39" s="67" t="s">
        <v>0</v>
      </c>
      <c r="J39" s="237"/>
      <c r="K39" s="238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00000000000001" customHeight="1" x14ac:dyDescent="0.3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0999999999999996" customHeight="1" x14ac:dyDescent="0.3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1.9" customHeight="1" x14ac:dyDescent="0.3">
      <c r="B42" s="184"/>
      <c r="D42" s="240" t="str">
        <f>TEXT(VLOOKUP(B44,tDatos[],IF(UTCElegido="",3,12),0),"dddd dd mmmm")</f>
        <v>sábado 13 junio</v>
      </c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Q42"/>
      <c r="R42"/>
      <c r="S42"/>
      <c r="T42"/>
      <c r="U42"/>
      <c r="V42"/>
      <c r="W42"/>
      <c r="X42"/>
    </row>
    <row r="43" spans="2:24" ht="5.0999999999999996" customHeight="1" x14ac:dyDescent="0.3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1.9" customHeight="1" x14ac:dyDescent="0.3">
      <c r="B44" s="182">
        <v>7</v>
      </c>
      <c r="C44" s="129">
        <v>5</v>
      </c>
      <c r="D44" s="64"/>
      <c r="E44" s="239">
        <f>VLOOKUP(B44,tDatos[],IF(UTCElegido="",4,12),0)</f>
        <v>0.875</v>
      </c>
      <c r="F44" s="239"/>
      <c r="G44" s="239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1.9" customHeight="1" x14ac:dyDescent="0.3">
      <c r="B45" s="183"/>
      <c r="C45" s="114"/>
      <c r="D45" s="85"/>
      <c r="E45" s="65"/>
      <c r="F45" s="68" t="s">
        <v>187</v>
      </c>
      <c r="G45" s="237"/>
      <c r="H45" s="238"/>
      <c r="I45" s="67" t="s">
        <v>0</v>
      </c>
      <c r="J45" s="237"/>
      <c r="K45" s="238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00000000000001" customHeight="1" x14ac:dyDescent="0.3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0999999999999996" customHeight="1" x14ac:dyDescent="0.3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1.9" customHeight="1" x14ac:dyDescent="0.3">
      <c r="B48" s="184"/>
      <c r="D48" s="240" t="str">
        <f>TEXT(VLOOKUP(B50,tDatos[],IF(UTCElegido="",3,12),0),"dddd dd mmmm")</f>
        <v>domingo 14 junio</v>
      </c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Q48"/>
      <c r="R48"/>
      <c r="S48"/>
      <c r="T48"/>
      <c r="U48"/>
      <c r="V48"/>
      <c r="W48"/>
      <c r="X48"/>
    </row>
    <row r="49" spans="2:24" ht="5.0999999999999996" customHeight="1" x14ac:dyDescent="0.3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1.9" customHeight="1" x14ac:dyDescent="0.3">
      <c r="B50" s="182">
        <v>8</v>
      </c>
      <c r="C50" s="129">
        <v>6</v>
      </c>
      <c r="D50" s="64"/>
      <c r="E50" s="239">
        <f>VLOOKUP(B50,tDatos[],IF(UTCElegido="",4,12),0)</f>
        <v>0</v>
      </c>
      <c r="F50" s="239"/>
      <c r="G50" s="239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1.9" customHeight="1" x14ac:dyDescent="0.3">
      <c r="B51" s="183"/>
      <c r="C51" s="114"/>
      <c r="D51" s="85"/>
      <c r="E51" s="65"/>
      <c r="F51" s="68" t="s">
        <v>184</v>
      </c>
      <c r="G51" s="237"/>
      <c r="H51" s="238"/>
      <c r="I51" s="67" t="s">
        <v>0</v>
      </c>
      <c r="J51" s="237"/>
      <c r="K51" s="238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00000000000001" customHeight="1" x14ac:dyDescent="0.3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0999999999999996" customHeight="1" x14ac:dyDescent="0.3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1.9" customHeight="1" x14ac:dyDescent="0.3">
      <c r="B54" s="184"/>
      <c r="D54" s="240" t="str">
        <f>TEXT(VLOOKUP(B56,tDatos[],IF(UTCElegido="",3,12),0),"dddd dd mmmm")</f>
        <v>domingo 14 junio</v>
      </c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Q54"/>
      <c r="R54"/>
      <c r="S54"/>
      <c r="T54"/>
      <c r="U54"/>
      <c r="V54"/>
      <c r="W54"/>
      <c r="X54"/>
    </row>
    <row r="55" spans="2:24" ht="5.0999999999999996" customHeight="1" x14ac:dyDescent="0.3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1.9" customHeight="1" x14ac:dyDescent="0.3">
      <c r="B56" s="182">
        <v>9</v>
      </c>
      <c r="C56" s="129">
        <v>10</v>
      </c>
      <c r="D56" s="64"/>
      <c r="E56" s="239">
        <f>VLOOKUP(B56,tDatos[],IF(UTCElegido="",4,12),0)</f>
        <v>0.54166666666666663</v>
      </c>
      <c r="F56" s="239"/>
      <c r="G56" s="239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1.9" customHeight="1" x14ac:dyDescent="0.3">
      <c r="B57" s="184"/>
      <c r="D57" s="64"/>
      <c r="E57" s="65"/>
      <c r="F57" s="68" t="s">
        <v>160</v>
      </c>
      <c r="G57" s="237"/>
      <c r="H57" s="238"/>
      <c r="I57" s="67" t="s">
        <v>0</v>
      </c>
      <c r="J57" s="237"/>
      <c r="K57" s="238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00000000000001" customHeight="1" x14ac:dyDescent="0.3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0999999999999996" customHeight="1" x14ac:dyDescent="0.3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1.9" customHeight="1" x14ac:dyDescent="0.3">
      <c r="B60" s="184"/>
      <c r="D60" s="240" t="str">
        <f>TEXT(VLOOKUP(B62,tDatos[],IF(UTCElegido="",3,12),0),"dddd dd mmmm")</f>
        <v>domingo 14 junio</v>
      </c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Q60"/>
      <c r="R60"/>
      <c r="S60"/>
      <c r="T60"/>
      <c r="U60"/>
      <c r="V60"/>
      <c r="W60"/>
      <c r="X60"/>
    </row>
    <row r="61" spans="2:24" ht="5.0999999999999996" customHeight="1" x14ac:dyDescent="0.3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" x14ac:dyDescent="0.3">
      <c r="B62" s="182">
        <v>10</v>
      </c>
      <c r="C62" s="129">
        <v>11</v>
      </c>
      <c r="D62" s="64"/>
      <c r="E62" s="239">
        <f>VLOOKUP(B62,tDatos[],IF(UTCElegido="",4,12),0)</f>
        <v>0.66666666666666663</v>
      </c>
      <c r="F62" s="239"/>
      <c r="G62" s="239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1.9" customHeight="1" x14ac:dyDescent="0.3">
      <c r="B63" s="184"/>
      <c r="D63" s="64"/>
      <c r="E63" s="65"/>
      <c r="F63" s="68" t="s">
        <v>161</v>
      </c>
      <c r="G63" s="237"/>
      <c r="H63" s="238"/>
      <c r="I63" s="67" t="s">
        <v>0</v>
      </c>
      <c r="J63" s="237"/>
      <c r="K63" s="238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00000000000001" customHeight="1" x14ac:dyDescent="0.3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0999999999999996" customHeight="1" x14ac:dyDescent="0.3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1.9" customHeight="1" x14ac:dyDescent="0.3">
      <c r="B66" s="184"/>
      <c r="D66" s="240" t="str">
        <f>TEXT(VLOOKUP(B68,tDatos[],IF(UTCElegido="",3,12),0),"dddd dd mmmm")</f>
        <v>domingo 14 junio</v>
      </c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Q66"/>
      <c r="R66"/>
      <c r="S66"/>
      <c r="T66"/>
      <c r="U66"/>
      <c r="V66"/>
      <c r="W66"/>
      <c r="X66"/>
    </row>
    <row r="67" spans="2:24" ht="5.0999999999999996" customHeight="1" x14ac:dyDescent="0.3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" x14ac:dyDescent="0.3">
      <c r="B68" s="182">
        <v>11</v>
      </c>
      <c r="C68" s="129">
        <v>9</v>
      </c>
      <c r="D68" s="64"/>
      <c r="E68" s="239">
        <f>VLOOKUP(B68,tDatos[],IF(UTCElegido="",4,12),0)</f>
        <v>0.79166666666666663</v>
      </c>
      <c r="F68" s="239"/>
      <c r="G68" s="239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1.9" customHeight="1" x14ac:dyDescent="0.3">
      <c r="B69" s="184"/>
      <c r="D69" s="64"/>
      <c r="E69" s="65"/>
      <c r="F69" s="68" t="s">
        <v>196</v>
      </c>
      <c r="G69" s="237"/>
      <c r="H69" s="238"/>
      <c r="I69" s="67" t="s">
        <v>0</v>
      </c>
      <c r="J69" s="237"/>
      <c r="K69" s="238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00000000000001" customHeight="1" x14ac:dyDescent="0.3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0999999999999996" customHeight="1" x14ac:dyDescent="0.3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1.9" customHeight="1" x14ac:dyDescent="0.3">
      <c r="B72" s="184"/>
      <c r="D72" s="240" t="str">
        <f>TEXT(VLOOKUP(B74,tDatos[],IF(UTCElegido="",3,12),0),"dddd dd mmmm")</f>
        <v>domingo 14 junio</v>
      </c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Q72"/>
      <c r="R72"/>
      <c r="S72"/>
      <c r="T72"/>
      <c r="U72"/>
      <c r="V72"/>
      <c r="W72"/>
      <c r="X72"/>
    </row>
    <row r="73" spans="2:24" ht="5.0999999999999996" customHeight="1" x14ac:dyDescent="0.3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3">
      <c r="B74" s="182">
        <v>12</v>
      </c>
      <c r="C74" s="129">
        <v>12</v>
      </c>
      <c r="D74" s="64"/>
      <c r="E74" s="239">
        <f>VLOOKUP(B74,tDatos[],IF(UTCElegido="",4,12),0)</f>
        <v>0.91666666666666663</v>
      </c>
      <c r="F74" s="239"/>
      <c r="G74" s="239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1.9" customHeight="1" x14ac:dyDescent="0.3">
      <c r="B75" s="184"/>
      <c r="D75" s="64"/>
      <c r="E75" s="65"/>
      <c r="F75" s="68" t="s">
        <v>277</v>
      </c>
      <c r="G75" s="237"/>
      <c r="H75" s="238"/>
      <c r="I75" s="67" t="s">
        <v>0</v>
      </c>
      <c r="J75" s="237"/>
      <c r="K75" s="238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00000000000001" customHeight="1" x14ac:dyDescent="0.3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0999999999999996" customHeight="1" x14ac:dyDescent="0.3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1.9" customHeight="1" x14ac:dyDescent="0.3">
      <c r="B78" s="184"/>
      <c r="D78" s="240" t="str">
        <f>TEXT(VLOOKUP(B80,tDatos[],IF(UTCElegido="",3,12),0),"dddd dd mmmm")</f>
        <v>lunes 15 junio</v>
      </c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Q78"/>
      <c r="R78"/>
      <c r="S78"/>
      <c r="T78"/>
      <c r="U78"/>
      <c r="V78"/>
      <c r="W78"/>
      <c r="X78"/>
    </row>
    <row r="79" spans="2:24" ht="5.0999999999999996" customHeight="1" x14ac:dyDescent="0.3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1.9" customHeight="1" x14ac:dyDescent="0.3">
      <c r="B80" s="182">
        <v>13</v>
      </c>
      <c r="C80" s="129">
        <v>14</v>
      </c>
      <c r="D80" s="64"/>
      <c r="E80" s="239">
        <f>VLOOKUP(B80,tDatos[],IF(UTCElegido="",4,12),0)</f>
        <v>0.5</v>
      </c>
      <c r="F80" s="239"/>
      <c r="G80" s="239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1.9" customHeight="1" x14ac:dyDescent="0.3">
      <c r="B81" s="184"/>
      <c r="D81" s="64"/>
      <c r="E81" s="65"/>
      <c r="F81" s="68" t="s">
        <v>156</v>
      </c>
      <c r="G81" s="237"/>
      <c r="H81" s="238"/>
      <c r="I81" s="67" t="s">
        <v>0</v>
      </c>
      <c r="J81" s="237"/>
      <c r="K81" s="238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00000000000001" customHeight="1" x14ac:dyDescent="0.3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0999999999999996" customHeight="1" x14ac:dyDescent="0.3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1.9" customHeight="1" x14ac:dyDescent="0.3">
      <c r="B84" s="184"/>
      <c r="D84" s="240" t="str">
        <f>TEXT(VLOOKUP(B86,tDatos[],IF(UTCElegido="",3,12),0),"dddd dd mmmm")</f>
        <v>lunes 15 junio</v>
      </c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Q84"/>
      <c r="R84"/>
      <c r="S84"/>
      <c r="T84"/>
      <c r="U84"/>
      <c r="V84"/>
      <c r="W84"/>
      <c r="X84"/>
    </row>
    <row r="85" spans="2:24" ht="5.0999999999999996" customHeight="1" x14ac:dyDescent="0.3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1.9" customHeight="1" x14ac:dyDescent="0.3">
      <c r="B86" s="182">
        <v>14</v>
      </c>
      <c r="C86" s="129">
        <v>16</v>
      </c>
      <c r="D86" s="64"/>
      <c r="E86" s="239">
        <f>VLOOKUP(B86,tDatos[],IF(UTCElegido="",4,12),0)</f>
        <v>0.625</v>
      </c>
      <c r="F86" s="239"/>
      <c r="G86" s="239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1.9" customHeight="1" x14ac:dyDescent="0.3">
      <c r="B87" s="184"/>
      <c r="D87" s="64"/>
      <c r="E87" s="65"/>
      <c r="F87" s="68" t="s">
        <v>155</v>
      </c>
      <c r="G87" s="237"/>
      <c r="H87" s="238"/>
      <c r="I87" s="67" t="s">
        <v>0</v>
      </c>
      <c r="J87" s="237"/>
      <c r="K87" s="238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00000000000001" customHeight="1" x14ac:dyDescent="0.3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3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1.9" customHeight="1" x14ac:dyDescent="0.3">
      <c r="B90" s="184"/>
      <c r="D90" s="240" t="str">
        <f>TEXT(VLOOKUP(B92,tDatos[],IF(UTCElegido="",3,12),0),"dddd dd mmmm")</f>
        <v>lunes 15 junio</v>
      </c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Q90"/>
      <c r="R90"/>
      <c r="S90"/>
      <c r="T90"/>
      <c r="U90"/>
      <c r="V90"/>
      <c r="W90"/>
      <c r="X90"/>
    </row>
    <row r="91" spans="2:24" ht="5.0999999999999996" customHeight="1" x14ac:dyDescent="0.3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1.9" customHeight="1" x14ac:dyDescent="0.3">
      <c r="B92" s="182">
        <v>15</v>
      </c>
      <c r="C92" s="129">
        <v>13</v>
      </c>
      <c r="D92" s="64"/>
      <c r="E92" s="239">
        <f>VLOOKUP(B92,tDatos[],IF(UTCElegido="",4,12),0)</f>
        <v>0.75</v>
      </c>
      <c r="F92" s="239"/>
      <c r="G92" s="239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1.9" customHeight="1" x14ac:dyDescent="0.3">
      <c r="B93" s="184"/>
      <c r="D93" s="64"/>
      <c r="E93" s="65"/>
      <c r="F93" s="68" t="s">
        <v>358</v>
      </c>
      <c r="G93" s="237"/>
      <c r="H93" s="238"/>
      <c r="I93" s="67" t="s">
        <v>0</v>
      </c>
      <c r="J93" s="237"/>
      <c r="K93" s="238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00000000000001" customHeight="1" x14ac:dyDescent="0.3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0999999999999996" customHeight="1" x14ac:dyDescent="0.3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1.9" customHeight="1" x14ac:dyDescent="0.3">
      <c r="B96" s="184"/>
      <c r="D96" s="240" t="str">
        <f>TEXT(VLOOKUP(B98,tDatos[],IF(UTCElegido="",3,12),0),"dddd dd mmmm")</f>
        <v>lunes 15 junio</v>
      </c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Q96"/>
      <c r="R96"/>
      <c r="S96"/>
      <c r="T96"/>
      <c r="U96"/>
      <c r="V96"/>
      <c r="W96"/>
      <c r="X96"/>
    </row>
    <row r="97" spans="2:24" ht="5.0999999999999996" customHeight="1" x14ac:dyDescent="0.3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1.9" customHeight="1" x14ac:dyDescent="0.3">
      <c r="B98" s="182">
        <v>16</v>
      </c>
      <c r="C98" s="129">
        <v>15</v>
      </c>
      <c r="D98" s="64"/>
      <c r="E98" s="239">
        <f>VLOOKUP(B98,tDatos[],IF(UTCElegido="",4,12),0)</f>
        <v>0.875</v>
      </c>
      <c r="F98" s="239"/>
      <c r="G98" s="239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1.9" customHeight="1" x14ac:dyDescent="0.3">
      <c r="B99" s="184"/>
      <c r="D99" s="64"/>
      <c r="E99" s="65"/>
      <c r="F99" s="68" t="s">
        <v>179</v>
      </c>
      <c r="G99" s="237"/>
      <c r="H99" s="238"/>
      <c r="I99" s="67" t="s">
        <v>0</v>
      </c>
      <c r="J99" s="237"/>
      <c r="K99" s="238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00000000000001" customHeight="1" x14ac:dyDescent="0.3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0999999999999996" customHeight="1" x14ac:dyDescent="0.3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1.9" customHeight="1" x14ac:dyDescent="0.3">
      <c r="B102" s="184"/>
      <c r="D102" s="240" t="str">
        <f>TEXT(VLOOKUP(B104,tDatos[],IF(UTCElegido="",3,12),0),"dddd dd mmmm")</f>
        <v>martes 16 junio</v>
      </c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Q102"/>
      <c r="R102"/>
      <c r="S102"/>
      <c r="T102"/>
      <c r="U102"/>
      <c r="V102"/>
      <c r="W102"/>
      <c r="X102"/>
    </row>
    <row r="103" spans="2:24" ht="5.0999999999999996" customHeight="1" x14ac:dyDescent="0.3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1.9" customHeight="1" x14ac:dyDescent="0.3">
      <c r="B104" s="182">
        <v>17</v>
      </c>
      <c r="C104" s="129">
        <v>17</v>
      </c>
      <c r="D104" s="64"/>
      <c r="E104" s="239">
        <f>VLOOKUP(B104,tDatos[],IF(UTCElegido="",4,12),0)</f>
        <v>0.625</v>
      </c>
      <c r="F104" s="239"/>
      <c r="G104" s="239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1.9" customHeight="1" x14ac:dyDescent="0.3">
      <c r="B105" s="184"/>
      <c r="D105" s="64"/>
      <c r="E105" s="65"/>
      <c r="F105" s="68" t="s">
        <v>150</v>
      </c>
      <c r="G105" s="237"/>
      <c r="H105" s="238"/>
      <c r="I105" s="67" t="s">
        <v>0</v>
      </c>
      <c r="J105" s="237"/>
      <c r="K105" s="238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00000000000001" customHeight="1" x14ac:dyDescent="0.3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0999999999999996" customHeight="1" x14ac:dyDescent="0.3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1.9" customHeight="1" x14ac:dyDescent="0.3">
      <c r="B108" s="184"/>
      <c r="D108" s="240" t="str">
        <f>TEXT(VLOOKUP(B110,tDatos[],IF(UTCElegido="",3,12),0),"dddd dd mmmm")</f>
        <v>martes 16 junio</v>
      </c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Q108"/>
      <c r="R108"/>
      <c r="S108"/>
      <c r="T108"/>
      <c r="U108"/>
      <c r="V108"/>
      <c r="W108"/>
      <c r="X108"/>
    </row>
    <row r="109" spans="2:24" ht="5.0999999999999996" customHeight="1" x14ac:dyDescent="0.3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1.9" customHeight="1" x14ac:dyDescent="0.3">
      <c r="B110" s="182">
        <v>18</v>
      </c>
      <c r="C110" s="129">
        <v>18</v>
      </c>
      <c r="D110" s="64"/>
      <c r="E110" s="239">
        <f>VLOOKUP(B110,tDatos[],IF(UTCElegido="",4,12),0)</f>
        <v>0.75</v>
      </c>
      <c r="F110" s="239"/>
      <c r="G110" s="239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1.9" customHeight="1" x14ac:dyDescent="0.3">
      <c r="B111" s="184"/>
      <c r="D111" s="64"/>
      <c r="E111" s="65"/>
      <c r="F111" s="68" t="s">
        <v>285</v>
      </c>
      <c r="G111" s="237"/>
      <c r="H111" s="238"/>
      <c r="I111" s="67" t="s">
        <v>0</v>
      </c>
      <c r="J111" s="237"/>
      <c r="K111" s="238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00000000000001" customHeight="1" x14ac:dyDescent="0.3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0999999999999996" customHeight="1" x14ac:dyDescent="0.3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1.9" customHeight="1" x14ac:dyDescent="0.3">
      <c r="B114" s="184"/>
      <c r="D114" s="240" t="str">
        <f>TEXT(VLOOKUP(B116,tDatos[],IF(UTCElegido="",3,12),0),"dddd dd mmmm")</f>
        <v>martes 16 junio</v>
      </c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Q114"/>
      <c r="R114"/>
      <c r="S114"/>
      <c r="T114"/>
      <c r="U114"/>
      <c r="V114"/>
      <c r="W114"/>
      <c r="X114"/>
    </row>
    <row r="115" spans="2:24" ht="5.0999999999999996" customHeight="1" x14ac:dyDescent="0.3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1.9" customHeight="1" x14ac:dyDescent="0.3">
      <c r="B116" s="182">
        <v>19</v>
      </c>
      <c r="C116" s="129">
        <v>19</v>
      </c>
      <c r="D116" s="64"/>
      <c r="E116" s="239">
        <f>VLOOKUP(B116,tDatos[],IF(UTCElegido="",4,12),0)</f>
        <v>0.875</v>
      </c>
      <c r="F116" s="239"/>
      <c r="G116" s="239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1.9" customHeight="1" x14ac:dyDescent="0.3">
      <c r="B117" s="184"/>
      <c r="D117" s="64"/>
      <c r="E117" s="65"/>
      <c r="F117" s="68" t="s">
        <v>151</v>
      </c>
      <c r="G117" s="237"/>
      <c r="H117" s="238"/>
      <c r="I117" s="67" t="s">
        <v>0</v>
      </c>
      <c r="J117" s="237"/>
      <c r="K117" s="238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00000000000001" customHeight="1" x14ac:dyDescent="0.3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0999999999999996" customHeight="1" x14ac:dyDescent="0.3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1.9" customHeight="1" x14ac:dyDescent="0.3">
      <c r="B120" s="184"/>
      <c r="D120" s="240" t="str">
        <f>TEXT(VLOOKUP(B122,tDatos[],IF(UTCElegido="",3,12),0),"dddd dd mmmm")</f>
        <v>miércoles 17 junio</v>
      </c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Q120"/>
      <c r="R120"/>
      <c r="S120"/>
      <c r="T120"/>
      <c r="U120"/>
      <c r="V120"/>
      <c r="W120"/>
      <c r="X120"/>
    </row>
    <row r="121" spans="2:24" ht="5.0999999999999996" customHeight="1" x14ac:dyDescent="0.3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1.9" customHeight="1" x14ac:dyDescent="0.3">
      <c r="B122" s="182">
        <v>20</v>
      </c>
      <c r="C122" s="129">
        <v>20</v>
      </c>
      <c r="D122" s="64"/>
      <c r="E122" s="239">
        <f>VLOOKUP(B122,tDatos[],IF(UTCElegido="",4,12),0)</f>
        <v>0</v>
      </c>
      <c r="F122" s="239"/>
      <c r="G122" s="239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1.9" customHeight="1" x14ac:dyDescent="0.3">
      <c r="B123" s="184"/>
      <c r="D123" s="64"/>
      <c r="E123" s="65"/>
      <c r="F123" s="68" t="s">
        <v>175</v>
      </c>
      <c r="G123" s="237"/>
      <c r="H123" s="238"/>
      <c r="I123" s="67" t="s">
        <v>0</v>
      </c>
      <c r="J123" s="237"/>
      <c r="K123" s="238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00000000000001" customHeight="1" x14ac:dyDescent="0.3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0999999999999996" customHeight="1" x14ac:dyDescent="0.3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1.9" customHeight="1" x14ac:dyDescent="0.3">
      <c r="B126" s="184"/>
      <c r="D126" s="240" t="str">
        <f>TEXT(VLOOKUP(B128,tDatos[],IF(UTCElegido="",3,12),0),"dddd dd mmmm")</f>
        <v>miércoles 17 junio</v>
      </c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Q126"/>
      <c r="R126"/>
      <c r="S126"/>
      <c r="T126"/>
      <c r="U126"/>
      <c r="V126"/>
      <c r="W126"/>
      <c r="X126"/>
    </row>
    <row r="127" spans="2:24" ht="5.0999999999999996" customHeight="1" x14ac:dyDescent="0.3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1.9" customHeight="1" x14ac:dyDescent="0.3">
      <c r="B128" s="182">
        <v>21</v>
      </c>
      <c r="C128" s="129">
        <v>23</v>
      </c>
      <c r="D128" s="64"/>
      <c r="E128" s="239">
        <f>VLOOKUP(B128,tDatos[],IF(UTCElegido="",4,12),0)</f>
        <v>0.54166666666666663</v>
      </c>
      <c r="F128" s="239"/>
      <c r="G128" s="239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1.9" customHeight="1" x14ac:dyDescent="0.3">
      <c r="B129" s="184"/>
      <c r="D129" s="64"/>
      <c r="E129" s="65"/>
      <c r="F129" s="68" t="s">
        <v>146</v>
      </c>
      <c r="G129" s="237"/>
      <c r="H129" s="238"/>
      <c r="I129" s="67" t="s">
        <v>0</v>
      </c>
      <c r="J129" s="237"/>
      <c r="K129" s="238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00000000000001" customHeight="1" x14ac:dyDescent="0.3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0999999999999996" customHeight="1" x14ac:dyDescent="0.3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1.9" customHeight="1" x14ac:dyDescent="0.3">
      <c r="B132" s="184"/>
      <c r="D132" s="240" t="str">
        <f>TEXT(VLOOKUP(B134,tDatos[],IF(UTCElegido="",3,12),0),"dddd dd mmmm")</f>
        <v>miércoles 17 junio</v>
      </c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Q132"/>
      <c r="R132"/>
      <c r="S132"/>
      <c r="T132"/>
      <c r="U132"/>
      <c r="V132"/>
      <c r="W132"/>
      <c r="X132"/>
    </row>
    <row r="133" spans="2:24" ht="5.0999999999999996" customHeight="1" x14ac:dyDescent="0.3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1.9" customHeight="1" x14ac:dyDescent="0.3">
      <c r="B134" s="182">
        <v>22</v>
      </c>
      <c r="C134" s="129">
        <v>22</v>
      </c>
      <c r="D134" s="64"/>
      <c r="E134" s="239">
        <f>VLOOKUP(B134,tDatos[],IF(UTCElegido="",4,12),0)</f>
        <v>0.66666666666666663</v>
      </c>
      <c r="F134" s="239"/>
      <c r="G134" s="239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1.9" customHeight="1" x14ac:dyDescent="0.3">
      <c r="B135" s="184"/>
      <c r="D135" s="64"/>
      <c r="E135" s="65"/>
      <c r="F135" s="68" t="s">
        <v>145</v>
      </c>
      <c r="G135" s="237"/>
      <c r="H135" s="238"/>
      <c r="I135" s="67" t="s">
        <v>0</v>
      </c>
      <c r="J135" s="237"/>
      <c r="K135" s="238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00000000000001" customHeight="1" x14ac:dyDescent="0.3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0999999999999996" customHeight="1" x14ac:dyDescent="0.3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1.9" customHeight="1" x14ac:dyDescent="0.3">
      <c r="B138" s="184"/>
      <c r="D138" s="240" t="str">
        <f>TEXT(VLOOKUP(B140,tDatos[],IF(UTCElegido="",3,12),0),"dddd dd mmmm")</f>
        <v>miércoles 17 junio</v>
      </c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Q138"/>
      <c r="R138"/>
      <c r="S138"/>
      <c r="T138"/>
      <c r="U138"/>
      <c r="V138"/>
      <c r="W138"/>
      <c r="X138"/>
    </row>
    <row r="139" spans="2:24" ht="5.0999999999999996" customHeight="1" x14ac:dyDescent="0.3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1.9" customHeight="1" x14ac:dyDescent="0.3">
      <c r="B140" s="182">
        <v>23</v>
      </c>
      <c r="C140" s="129">
        <v>21</v>
      </c>
      <c r="D140" s="64"/>
      <c r="E140" s="239">
        <f>VLOOKUP(B140,tDatos[],IF(UTCElegido="",4,12),0)</f>
        <v>0.79166666666666663</v>
      </c>
      <c r="F140" s="239"/>
      <c r="G140" s="239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1.9" customHeight="1" x14ac:dyDescent="0.3">
      <c r="B141" s="184"/>
      <c r="D141" s="64"/>
      <c r="E141" s="65"/>
      <c r="F141" s="68" t="s">
        <v>174</v>
      </c>
      <c r="G141" s="237"/>
      <c r="H141" s="238"/>
      <c r="I141" s="67" t="s">
        <v>0</v>
      </c>
      <c r="J141" s="237"/>
      <c r="K141" s="238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00000000000001" customHeight="1" x14ac:dyDescent="0.3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0999999999999996" customHeight="1" x14ac:dyDescent="0.3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1.9" customHeight="1" x14ac:dyDescent="0.3">
      <c r="B144" s="184"/>
      <c r="D144" s="240" t="str">
        <f>TEXT(VLOOKUP(B146,tDatos[],IF(UTCElegido="",3,12),0),"dddd dd mmmm")</f>
        <v>miércoles 17 junio</v>
      </c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Q144"/>
      <c r="R144"/>
      <c r="S144"/>
      <c r="T144"/>
      <c r="U144"/>
      <c r="V144"/>
      <c r="W144"/>
      <c r="X144"/>
    </row>
    <row r="145" spans="2:24" ht="5.0999999999999996" customHeight="1" x14ac:dyDescent="0.3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1.9" customHeight="1" x14ac:dyDescent="0.3">
      <c r="B146" s="182">
        <v>24</v>
      </c>
      <c r="C146" s="129">
        <v>24</v>
      </c>
      <c r="D146" s="64"/>
      <c r="E146" s="239">
        <f>VLOOKUP(B146,tDatos[],IF(UTCElegido="",4,12),0)</f>
        <v>0.91666666666666663</v>
      </c>
      <c r="F146" s="239"/>
      <c r="G146" s="239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1.9" customHeight="1" x14ac:dyDescent="0.3">
      <c r="B147" s="184"/>
      <c r="D147" s="64"/>
      <c r="E147" s="65"/>
      <c r="F147" s="68" t="s">
        <v>172</v>
      </c>
      <c r="G147" s="237"/>
      <c r="H147" s="238"/>
      <c r="I147" s="67" t="s">
        <v>0</v>
      </c>
      <c r="J147" s="237"/>
      <c r="K147" s="238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00000000000001" customHeight="1" x14ac:dyDescent="0.3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0999999999999996" customHeight="1" x14ac:dyDescent="0.3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1.9" customHeight="1" x14ac:dyDescent="0.3">
      <c r="B150" s="184"/>
      <c r="D150" s="240" t="str">
        <f>TEXT(VLOOKUP(B152,tDatos[],IF(UTCElegido="",3,12),0),"dddd dd mmmm")</f>
        <v>jueves 18 junio</v>
      </c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Q150"/>
      <c r="R150"/>
      <c r="S150"/>
      <c r="T150"/>
      <c r="U150"/>
      <c r="V150"/>
      <c r="W150"/>
      <c r="X150"/>
    </row>
    <row r="151" spans="2:24" ht="5.0999999999999996" customHeight="1" x14ac:dyDescent="0.3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1.9" customHeight="1" x14ac:dyDescent="0.3">
      <c r="B152" s="182">
        <v>25</v>
      </c>
      <c r="C152" s="129">
        <v>25</v>
      </c>
      <c r="D152" s="64"/>
      <c r="E152" s="239">
        <f>VLOOKUP(B152,tDatos[],IF(UTCElegido="",4,12),0)</f>
        <v>0.5</v>
      </c>
      <c r="F152" s="239"/>
      <c r="G152" s="239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1.9" customHeight="1" x14ac:dyDescent="0.3">
      <c r="B153" s="184"/>
      <c r="D153" s="64"/>
      <c r="E153" s="65"/>
      <c r="F153" s="68" t="s">
        <v>314</v>
      </c>
      <c r="G153" s="237"/>
      <c r="H153" s="238"/>
      <c r="I153" s="67" t="s">
        <v>0</v>
      </c>
      <c r="J153" s="237"/>
      <c r="K153" s="238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00000000000001" customHeight="1" x14ac:dyDescent="0.3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0999999999999996" customHeight="1" x14ac:dyDescent="0.3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1.9" customHeight="1" x14ac:dyDescent="0.3">
      <c r="B156" s="184"/>
      <c r="D156" s="240" t="str">
        <f>TEXT(VLOOKUP(B158,tDatos[],IF(UTCElegido="",3,12),0),"dddd dd mmmm")</f>
        <v>jueves 18 junio</v>
      </c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Q156"/>
      <c r="R156"/>
      <c r="S156"/>
      <c r="T156"/>
      <c r="U156"/>
      <c r="V156"/>
      <c r="W156"/>
      <c r="X156"/>
    </row>
    <row r="157" spans="2:24" ht="5.0999999999999996" customHeight="1" x14ac:dyDescent="0.3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1.9" customHeight="1" x14ac:dyDescent="0.3">
      <c r="B158" s="182">
        <v>26</v>
      </c>
      <c r="C158" s="129">
        <v>26</v>
      </c>
      <c r="D158" s="64"/>
      <c r="E158" s="239">
        <f>VLOOKUP(B158,tDatos[],IF(UTCElegido="",4,12),0)</f>
        <v>0.625</v>
      </c>
      <c r="F158" s="239"/>
      <c r="G158" s="239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1.9" customHeight="1" x14ac:dyDescent="0.3">
      <c r="B159" s="184"/>
      <c r="D159" s="64"/>
      <c r="E159" s="65"/>
      <c r="F159" s="68" t="s">
        <v>142</v>
      </c>
      <c r="G159" s="237"/>
      <c r="H159" s="238"/>
      <c r="I159" s="67" t="s">
        <v>0</v>
      </c>
      <c r="J159" s="237"/>
      <c r="K159" s="238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00000000000001" customHeight="1" x14ac:dyDescent="0.3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0999999999999996" customHeight="1" x14ac:dyDescent="0.3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1.9" customHeight="1" x14ac:dyDescent="0.3">
      <c r="B162" s="184"/>
      <c r="D162" s="240" t="str">
        <f>TEXT(VLOOKUP(B164,tDatos[],IF(UTCElegido="",3,12),0),"dddd dd mmmm")</f>
        <v>jueves 18 junio</v>
      </c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Q162"/>
      <c r="R162"/>
      <c r="S162"/>
      <c r="T162"/>
      <c r="U162"/>
      <c r="V162"/>
      <c r="W162"/>
      <c r="X162"/>
    </row>
    <row r="163" spans="2:24" ht="5.0999999999999996" customHeight="1" x14ac:dyDescent="0.3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1.9" customHeight="1" x14ac:dyDescent="0.3">
      <c r="B164" s="182">
        <v>27</v>
      </c>
      <c r="C164" s="129">
        <v>27</v>
      </c>
      <c r="D164" s="64"/>
      <c r="E164" s="239">
        <f>VLOOKUP(B164,tDatos[],IF(UTCElegido="",4,12),0)</f>
        <v>0.75</v>
      </c>
      <c r="F164" s="239"/>
      <c r="G164" s="239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1.9" customHeight="1" x14ac:dyDescent="0.3">
      <c r="B165" s="184"/>
      <c r="D165" s="64"/>
      <c r="E165" s="65"/>
      <c r="F165" s="68" t="s">
        <v>168</v>
      </c>
      <c r="G165" s="237"/>
      <c r="H165" s="238"/>
      <c r="I165" s="67" t="s">
        <v>0</v>
      </c>
      <c r="J165" s="237"/>
      <c r="K165" s="238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00000000000001" customHeight="1" x14ac:dyDescent="0.3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0999999999999996" customHeight="1" x14ac:dyDescent="0.3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1.9" customHeight="1" x14ac:dyDescent="0.3">
      <c r="B168" s="184"/>
      <c r="D168" s="240" t="str">
        <f>TEXT(VLOOKUP(B170,tDatos[],IF(UTCElegido="",3,12),0),"dddd dd mmmm")</f>
        <v>jueves 18 junio</v>
      </c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Q168"/>
      <c r="R168"/>
      <c r="S168"/>
      <c r="T168"/>
      <c r="U168"/>
      <c r="V168"/>
      <c r="W168"/>
      <c r="X168"/>
    </row>
    <row r="169" spans="2:24" ht="5.0999999999999996" customHeight="1" x14ac:dyDescent="0.3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1.9" customHeight="1" x14ac:dyDescent="0.3">
      <c r="B170" s="182">
        <v>28</v>
      </c>
      <c r="C170" s="129">
        <v>28</v>
      </c>
      <c r="D170" s="64"/>
      <c r="E170" s="239">
        <f>VLOOKUP(B170,tDatos[],IF(UTCElegido="",4,12),0)</f>
        <v>0.875</v>
      </c>
      <c r="F170" s="239"/>
      <c r="G170" s="239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1.9" customHeight="1" x14ac:dyDescent="0.3">
      <c r="B171" s="184"/>
      <c r="D171" s="64"/>
      <c r="E171" s="65"/>
      <c r="F171" s="68" t="s">
        <v>167</v>
      </c>
      <c r="G171" s="237"/>
      <c r="H171" s="238"/>
      <c r="I171" s="67" t="s">
        <v>0</v>
      </c>
      <c r="J171" s="237"/>
      <c r="K171" s="238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00000000000001" customHeight="1" x14ac:dyDescent="0.3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0999999999999996" customHeight="1" x14ac:dyDescent="0.3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1.9" customHeight="1" x14ac:dyDescent="0.3">
      <c r="B174" s="184"/>
      <c r="D174" s="240" t="str">
        <f>TEXT(VLOOKUP(B176,tDatos[],IF(UTCElegido="",3,12),0),"dddd dd mmmm")</f>
        <v>viernes 19 junio</v>
      </c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Q174"/>
      <c r="R174"/>
      <c r="S174"/>
      <c r="T174"/>
      <c r="U174"/>
      <c r="V174"/>
      <c r="W174"/>
      <c r="X174"/>
    </row>
    <row r="175" spans="2:24" ht="5.0999999999999996" customHeight="1" x14ac:dyDescent="0.3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1.9" customHeight="1" x14ac:dyDescent="0.3">
      <c r="B176" s="182">
        <v>29</v>
      </c>
      <c r="C176" s="129">
        <v>32</v>
      </c>
      <c r="D176" s="64"/>
      <c r="E176" s="239">
        <f>VLOOKUP(B176,tDatos[],IF(UTCElegido="",4,12),0)</f>
        <v>0.625</v>
      </c>
      <c r="F176" s="239"/>
      <c r="G176" s="239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1.9" customHeight="1" x14ac:dyDescent="0.3">
      <c r="B177" s="184"/>
      <c r="D177" s="64"/>
      <c r="E177" s="65"/>
      <c r="F177" s="68" t="s">
        <v>69</v>
      </c>
      <c r="G177" s="237"/>
      <c r="H177" s="238"/>
      <c r="I177" s="67" t="s">
        <v>0</v>
      </c>
      <c r="J177" s="237"/>
      <c r="K177" s="238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00000000000001" customHeight="1" x14ac:dyDescent="0.3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0999999999999996" customHeight="1" x14ac:dyDescent="0.3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1.9" customHeight="1" x14ac:dyDescent="0.3">
      <c r="B180" s="184"/>
      <c r="D180" s="240" t="str">
        <f>TEXT(VLOOKUP(B182,tDatos[],IF(UTCElegido="",3,12),0),"dddd dd mmmm")</f>
        <v>viernes 19 junio</v>
      </c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Q180"/>
      <c r="R180"/>
      <c r="S180"/>
      <c r="T180"/>
      <c r="U180"/>
      <c r="V180"/>
      <c r="W180"/>
      <c r="X180"/>
    </row>
    <row r="181" spans="2:24" ht="5.0999999999999996" customHeight="1" x14ac:dyDescent="0.3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1.9" customHeight="1" x14ac:dyDescent="0.3">
      <c r="B182" s="182">
        <v>30</v>
      </c>
      <c r="C182" s="129">
        <v>30</v>
      </c>
      <c r="D182" s="64"/>
      <c r="E182" s="239">
        <f>VLOOKUP(B182,tDatos[],IF(UTCElegido="",4,12),0)</f>
        <v>0.75</v>
      </c>
      <c r="F182" s="239"/>
      <c r="G182" s="239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1.9" customHeight="1" x14ac:dyDescent="0.3">
      <c r="B183" s="184"/>
      <c r="D183" s="64"/>
      <c r="E183" s="65"/>
      <c r="F183" s="68" t="s">
        <v>138</v>
      </c>
      <c r="G183" s="237"/>
      <c r="H183" s="238"/>
      <c r="I183" s="67" t="s">
        <v>0</v>
      </c>
      <c r="J183" s="237"/>
      <c r="K183" s="238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00000000000001" customHeight="1" x14ac:dyDescent="0.3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0999999999999996" customHeight="1" x14ac:dyDescent="0.3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1.9" customHeight="1" x14ac:dyDescent="0.3">
      <c r="B186" s="184"/>
      <c r="D186" s="240" t="str">
        <f>TEXT(VLOOKUP(B188,tDatos[],IF(UTCElegido="",3,12),0),"dddd dd mmmm")</f>
        <v>viernes 19 junio</v>
      </c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Q186"/>
      <c r="R186"/>
      <c r="S186"/>
      <c r="T186"/>
      <c r="U186"/>
      <c r="V186"/>
      <c r="W186"/>
      <c r="X186"/>
    </row>
    <row r="187" spans="2:24" ht="5.0999999999999996" customHeight="1" x14ac:dyDescent="0.3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1.9" customHeight="1" x14ac:dyDescent="0.3">
      <c r="B188" s="182">
        <v>31</v>
      </c>
      <c r="C188" s="129">
        <v>29</v>
      </c>
      <c r="D188" s="64"/>
      <c r="E188" s="239">
        <f>VLOOKUP(B188,tDatos[],IF(UTCElegido="",4,12),0)</f>
        <v>0.85416666666666663</v>
      </c>
      <c r="F188" s="239"/>
      <c r="G188" s="239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1.9" customHeight="1" x14ac:dyDescent="0.3">
      <c r="B189" s="184"/>
      <c r="D189" s="64"/>
      <c r="E189" s="65"/>
      <c r="F189" s="68" t="s">
        <v>164</v>
      </c>
      <c r="G189" s="237"/>
      <c r="H189" s="238"/>
      <c r="I189" s="67" t="s">
        <v>0</v>
      </c>
      <c r="J189" s="237"/>
      <c r="K189" s="238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00000000000001" customHeight="1" x14ac:dyDescent="0.3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0999999999999996" customHeight="1" x14ac:dyDescent="0.3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1.9" customHeight="1" x14ac:dyDescent="0.3">
      <c r="B192" s="184"/>
      <c r="D192" s="240" t="str">
        <f>TEXT(VLOOKUP(B194,tDatos[],IF(UTCElegido="",3,12),0),"dddd dd mmmm")</f>
        <v>viernes 19 junio</v>
      </c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Q192"/>
      <c r="R192"/>
      <c r="S192"/>
      <c r="T192"/>
      <c r="U192"/>
      <c r="V192"/>
      <c r="W192"/>
      <c r="X192"/>
    </row>
    <row r="193" spans="2:24" ht="5.0999999999999996" customHeight="1" x14ac:dyDescent="0.3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1.9" customHeight="1" x14ac:dyDescent="0.3">
      <c r="B194" s="182">
        <v>32</v>
      </c>
      <c r="C194" s="129">
        <v>31</v>
      </c>
      <c r="D194" s="64"/>
      <c r="E194" s="239">
        <f>VLOOKUP(B194,tDatos[],IF(UTCElegido="",4,12),0)</f>
        <v>0.95833333333333337</v>
      </c>
      <c r="F194" s="239"/>
      <c r="G194" s="239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1.9" customHeight="1" x14ac:dyDescent="0.3">
      <c r="B195" s="184"/>
      <c r="D195" s="64"/>
      <c r="E195" s="65"/>
      <c r="F195" s="68" t="s">
        <v>281</v>
      </c>
      <c r="G195" s="237"/>
      <c r="H195" s="238"/>
      <c r="I195" s="67" t="s">
        <v>0</v>
      </c>
      <c r="J195" s="237"/>
      <c r="K195" s="238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00000000000001" customHeight="1" x14ac:dyDescent="0.3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0999999999999996" customHeight="1" x14ac:dyDescent="0.3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1.9" customHeight="1" x14ac:dyDescent="0.3">
      <c r="B198" s="184"/>
      <c r="D198" s="240" t="str">
        <f>TEXT(VLOOKUP(B200,tDatos[],IF(UTCElegido="",3,12),0),"dddd dd mmmm")</f>
        <v>sábado 20 junio</v>
      </c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Q198"/>
      <c r="R198"/>
      <c r="S198"/>
      <c r="T198"/>
      <c r="U198"/>
      <c r="V198"/>
      <c r="W198"/>
      <c r="X198"/>
    </row>
    <row r="199" spans="2:24" ht="5.0999999999999996" customHeight="1" x14ac:dyDescent="0.3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1.9" customHeight="1" x14ac:dyDescent="0.3">
      <c r="B200" s="182">
        <v>33</v>
      </c>
      <c r="C200" s="129">
        <v>35</v>
      </c>
      <c r="D200" s="64"/>
      <c r="E200" s="239">
        <f>VLOOKUP(B200,tDatos[],IF(UTCElegido="",4,12),0)</f>
        <v>0.54166666666666663</v>
      </c>
      <c r="F200" s="239"/>
      <c r="G200" s="239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1.9" customHeight="1" x14ac:dyDescent="0.3">
      <c r="B201" s="184"/>
      <c r="D201" s="64"/>
      <c r="E201" s="65"/>
      <c r="F201" s="68" t="s">
        <v>161</v>
      </c>
      <c r="G201" s="237"/>
      <c r="H201" s="238"/>
      <c r="I201" s="67" t="s">
        <v>0</v>
      </c>
      <c r="J201" s="237"/>
      <c r="K201" s="238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00000000000001" customHeight="1" x14ac:dyDescent="0.3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0999999999999996" customHeight="1" x14ac:dyDescent="0.3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1.9" customHeight="1" x14ac:dyDescent="0.3">
      <c r="B204" s="184"/>
      <c r="D204" s="240" t="str">
        <f>TEXT(VLOOKUP(B206,tDatos[],IF(UTCElegido="",3,12),0),"dddd dd mmmm")</f>
        <v>sábado 20 junio</v>
      </c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Q204"/>
      <c r="R204"/>
      <c r="S204"/>
      <c r="T204"/>
      <c r="U204"/>
      <c r="V204"/>
      <c r="W204"/>
      <c r="X204"/>
    </row>
    <row r="205" spans="2:24" ht="5.0999999999999996" customHeight="1" x14ac:dyDescent="0.3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1.9" customHeight="1" x14ac:dyDescent="0.3">
      <c r="B206" s="182">
        <v>34</v>
      </c>
      <c r="C206" s="129">
        <v>33</v>
      </c>
      <c r="D206" s="64"/>
      <c r="E206" s="239">
        <f>VLOOKUP(B206,tDatos[],IF(UTCElegido="",4,12),0)</f>
        <v>0.66666666666666663</v>
      </c>
      <c r="F206" s="239"/>
      <c r="G206" s="239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1.9" customHeight="1" x14ac:dyDescent="0.3">
      <c r="B207" s="184"/>
      <c r="D207" s="64"/>
      <c r="E207" s="65"/>
      <c r="F207" s="68" t="s">
        <v>160</v>
      </c>
      <c r="G207" s="237"/>
      <c r="H207" s="238"/>
      <c r="I207" s="67" t="s">
        <v>0</v>
      </c>
      <c r="J207" s="237"/>
      <c r="K207" s="238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00000000000001" customHeight="1" x14ac:dyDescent="0.3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0999999999999996" customHeight="1" x14ac:dyDescent="0.3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1.9" customHeight="1" x14ac:dyDescent="0.3">
      <c r="B210" s="184"/>
      <c r="D210" s="240" t="str">
        <f>TEXT(VLOOKUP(B212,tDatos[],IF(UTCElegido="",3,12),0),"dddd dd mmmm")</f>
        <v>sábado 20 junio</v>
      </c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Q210"/>
      <c r="R210"/>
      <c r="S210"/>
      <c r="T210"/>
      <c r="U210"/>
      <c r="V210"/>
      <c r="W210"/>
      <c r="X210"/>
    </row>
    <row r="211" spans="2:24" ht="5.0999999999999996" customHeight="1" x14ac:dyDescent="0.3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1.9" customHeight="1" x14ac:dyDescent="0.3">
      <c r="B212" s="182">
        <v>35</v>
      </c>
      <c r="C212" s="129">
        <v>34</v>
      </c>
      <c r="D212" s="64"/>
      <c r="E212" s="239">
        <f>VLOOKUP(B212,tDatos[],IF(UTCElegido="",4,12),0)</f>
        <v>0.83333333333333337</v>
      </c>
      <c r="F212" s="239"/>
      <c r="G212" s="239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1.9" customHeight="1" x14ac:dyDescent="0.3">
      <c r="B213" s="184"/>
      <c r="D213" s="64"/>
      <c r="E213" s="65"/>
      <c r="F213" s="68" t="s">
        <v>127</v>
      </c>
      <c r="G213" s="237"/>
      <c r="H213" s="238"/>
      <c r="I213" s="67" t="s">
        <v>0</v>
      </c>
      <c r="J213" s="237"/>
      <c r="K213" s="238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00000000000001" customHeight="1" x14ac:dyDescent="0.3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0999999999999996" customHeight="1" x14ac:dyDescent="0.3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1.9" customHeight="1" x14ac:dyDescent="0.3">
      <c r="B216" s="184"/>
      <c r="D216" s="240" t="str">
        <f>TEXT(VLOOKUP(B218,tDatos[],IF(UTCElegido="",3,12),0),"dddd dd mmmm")</f>
        <v>domingo 21 junio</v>
      </c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Q216"/>
      <c r="R216"/>
      <c r="S216"/>
      <c r="T216"/>
      <c r="U216"/>
      <c r="V216"/>
      <c r="W216"/>
      <c r="X216"/>
    </row>
    <row r="217" spans="2:24" ht="5.0999999999999996" customHeight="1" x14ac:dyDescent="0.3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1.9" customHeight="1" x14ac:dyDescent="0.3">
      <c r="B218" s="182">
        <v>36</v>
      </c>
      <c r="C218" s="129">
        <v>36</v>
      </c>
      <c r="D218" s="64"/>
      <c r="E218" s="239">
        <f>VLOOKUP(B218,tDatos[],IF(UTCElegido="",4,12),0)</f>
        <v>0</v>
      </c>
      <c r="F218" s="239"/>
      <c r="G218" s="239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1.9" customHeight="1" x14ac:dyDescent="0.3">
      <c r="B219" s="184"/>
      <c r="D219" s="64"/>
      <c r="E219" s="65"/>
      <c r="F219" s="68" t="s">
        <v>123</v>
      </c>
      <c r="G219" s="237"/>
      <c r="H219" s="238"/>
      <c r="I219" s="67" t="s">
        <v>0</v>
      </c>
      <c r="J219" s="237"/>
      <c r="K219" s="238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00000000000001" customHeight="1" x14ac:dyDescent="0.3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0999999999999996" customHeight="1" x14ac:dyDescent="0.3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1.9" customHeight="1" x14ac:dyDescent="0.3">
      <c r="B222" s="184"/>
      <c r="D222" s="240" t="str">
        <f>TEXT(VLOOKUP(B224,tDatos[],IF(UTCElegido="",3,12),0),"dddd dd mmmm")</f>
        <v>domingo 21 junio</v>
      </c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Q222"/>
      <c r="R222"/>
      <c r="S222"/>
      <c r="T222"/>
      <c r="U222"/>
      <c r="V222"/>
      <c r="W222"/>
      <c r="X222"/>
    </row>
    <row r="223" spans="2:24" ht="5.0999999999999996" customHeight="1" x14ac:dyDescent="0.3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1.9" customHeight="1" x14ac:dyDescent="0.3">
      <c r="B224" s="182">
        <v>37</v>
      </c>
      <c r="C224" s="129">
        <v>38</v>
      </c>
      <c r="D224" s="64"/>
      <c r="E224" s="239">
        <f>VLOOKUP(B224,tDatos[],IF(UTCElegido="",4,12),0)</f>
        <v>0.5</v>
      </c>
      <c r="F224" s="239"/>
      <c r="G224" s="239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1.9" customHeight="1" x14ac:dyDescent="0.3">
      <c r="B225" s="184"/>
      <c r="D225" s="64"/>
      <c r="E225" s="65"/>
      <c r="F225" s="68" t="s">
        <v>156</v>
      </c>
      <c r="G225" s="237"/>
      <c r="H225" s="238"/>
      <c r="I225" s="67" t="s">
        <v>0</v>
      </c>
      <c r="J225" s="237"/>
      <c r="K225" s="238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00000000000001" customHeight="1" x14ac:dyDescent="0.3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0999999999999996" customHeight="1" x14ac:dyDescent="0.3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1.9" customHeight="1" x14ac:dyDescent="0.3">
      <c r="B228" s="184"/>
      <c r="D228" s="240" t="str">
        <f>TEXT(VLOOKUP(B230,tDatos[],IF(UTCElegido="",3,12),0),"dddd dd mmmm")</f>
        <v>domingo 21 junio</v>
      </c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Q228"/>
      <c r="R228"/>
      <c r="S228"/>
      <c r="T228"/>
      <c r="U228"/>
      <c r="V228"/>
      <c r="W228"/>
      <c r="X228"/>
    </row>
    <row r="229" spans="2:24" ht="5.0999999999999996" customHeight="1" x14ac:dyDescent="0.3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1.9" customHeight="1" x14ac:dyDescent="0.3">
      <c r="B230" s="182">
        <v>38</v>
      </c>
      <c r="C230" s="129">
        <v>39</v>
      </c>
      <c r="D230" s="64"/>
      <c r="E230" s="239">
        <f>VLOOKUP(B230,tDatos[],IF(UTCElegido="",4,12),0)</f>
        <v>0.625</v>
      </c>
      <c r="F230" s="239"/>
      <c r="G230" s="239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1.9" customHeight="1" x14ac:dyDescent="0.3">
      <c r="B231" s="184"/>
      <c r="D231" s="64"/>
      <c r="E231" s="65"/>
      <c r="F231" s="68" t="s">
        <v>155</v>
      </c>
      <c r="G231" s="237"/>
      <c r="H231" s="238"/>
      <c r="I231" s="67" t="s">
        <v>0</v>
      </c>
      <c r="J231" s="237"/>
      <c r="K231" s="238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00000000000001" customHeight="1" x14ac:dyDescent="0.3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0999999999999996" customHeight="1" x14ac:dyDescent="0.3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1.9" customHeight="1" x14ac:dyDescent="0.3">
      <c r="B234" s="184"/>
      <c r="D234" s="240" t="str">
        <f>TEXT(VLOOKUP(B236,tDatos[],IF(UTCElegido="",3,12),0),"dddd dd mmmm")</f>
        <v>domingo 21 junio</v>
      </c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Q234"/>
      <c r="R234"/>
      <c r="S234"/>
      <c r="T234"/>
      <c r="U234"/>
      <c r="V234"/>
      <c r="W234"/>
      <c r="X234"/>
    </row>
    <row r="235" spans="2:24" ht="5.0999999999999996" customHeight="1" x14ac:dyDescent="0.3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1.9" customHeight="1" x14ac:dyDescent="0.3">
      <c r="B236" s="182">
        <v>39</v>
      </c>
      <c r="C236" s="129">
        <v>37</v>
      </c>
      <c r="D236" s="64"/>
      <c r="E236" s="239">
        <f>VLOOKUP(B236,tDatos[],IF(UTCElegido="",4,12),0)</f>
        <v>0.75</v>
      </c>
      <c r="F236" s="239"/>
      <c r="G236" s="239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1.9" customHeight="1" x14ac:dyDescent="0.3">
      <c r="B237" s="184"/>
      <c r="D237" s="64"/>
      <c r="E237" s="65"/>
      <c r="F237" s="68" t="s">
        <v>111</v>
      </c>
      <c r="G237" s="237"/>
      <c r="H237" s="238"/>
      <c r="I237" s="67" t="s">
        <v>0</v>
      </c>
      <c r="J237" s="237"/>
      <c r="K237" s="238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00000000000001" customHeight="1" x14ac:dyDescent="0.3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0999999999999996" customHeight="1" x14ac:dyDescent="0.3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1.9" customHeight="1" x14ac:dyDescent="0.3">
      <c r="B240" s="184"/>
      <c r="D240" s="240" t="str">
        <f>TEXT(VLOOKUP(B242,tDatos[],IF(UTCElegido="",3,12),0),"dddd dd mmmm")</f>
        <v>domingo 21 junio</v>
      </c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Q240"/>
      <c r="R240"/>
      <c r="S240"/>
      <c r="T240"/>
      <c r="U240"/>
      <c r="V240"/>
      <c r="W240"/>
      <c r="X240"/>
    </row>
    <row r="241" spans="2:24" ht="5.0999999999999996" customHeight="1" x14ac:dyDescent="0.3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1.9" customHeight="1" x14ac:dyDescent="0.3">
      <c r="B242" s="182">
        <v>40</v>
      </c>
      <c r="C242" s="129">
        <v>40</v>
      </c>
      <c r="D242" s="64"/>
      <c r="E242" s="239">
        <f>VLOOKUP(B242,tDatos[],IF(UTCElegido="",4,12),0)</f>
        <v>0.875</v>
      </c>
      <c r="F242" s="239"/>
      <c r="G242" s="239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1.9" customHeight="1" x14ac:dyDescent="0.3">
      <c r="B243" s="184"/>
      <c r="D243" s="64"/>
      <c r="E243" s="65"/>
      <c r="F243" s="68" t="s">
        <v>105</v>
      </c>
      <c r="G243" s="237"/>
      <c r="H243" s="238"/>
      <c r="I243" s="67" t="s">
        <v>0</v>
      </c>
      <c r="J243" s="237"/>
      <c r="K243" s="238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00000000000001" customHeight="1" x14ac:dyDescent="0.3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0999999999999996" customHeight="1" x14ac:dyDescent="0.3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1.9" customHeight="1" x14ac:dyDescent="0.3">
      <c r="B246" s="184"/>
      <c r="D246" s="240" t="str">
        <f>TEXT(VLOOKUP(B248,tDatos[],IF(UTCElegido="",3,12),0),"dddd dd mmmm")</f>
        <v>lunes 22 junio</v>
      </c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Q246"/>
      <c r="R246"/>
      <c r="S246"/>
      <c r="T246"/>
      <c r="U246"/>
      <c r="V246"/>
      <c r="W246"/>
      <c r="X246"/>
    </row>
    <row r="247" spans="2:24" ht="5.0999999999999996" customHeight="1" x14ac:dyDescent="0.3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1.9" customHeight="1" x14ac:dyDescent="0.3">
      <c r="B248" s="182">
        <v>41</v>
      </c>
      <c r="C248" s="129">
        <v>43</v>
      </c>
      <c r="D248" s="64"/>
      <c r="E248" s="239">
        <f>VLOOKUP(B248,tDatos[],IF(UTCElegido="",4,12),0)</f>
        <v>0.54166666666666663</v>
      </c>
      <c r="F248" s="239"/>
      <c r="G248" s="239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1.9" customHeight="1" x14ac:dyDescent="0.3">
      <c r="B249" s="184"/>
      <c r="D249" s="64"/>
      <c r="E249" s="65"/>
      <c r="F249" s="68" t="s">
        <v>151</v>
      </c>
      <c r="G249" s="237"/>
      <c r="H249" s="238"/>
      <c r="I249" s="67" t="s">
        <v>0</v>
      </c>
      <c r="J249" s="237"/>
      <c r="K249" s="238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00000000000001" customHeight="1" x14ac:dyDescent="0.3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0999999999999996" customHeight="1" x14ac:dyDescent="0.3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1.9" customHeight="1" x14ac:dyDescent="0.3">
      <c r="B252" s="184"/>
      <c r="D252" s="240" t="str">
        <f>TEXT(VLOOKUP(B254,tDatos[],IF(UTCElegido="",3,12),0),"dddd dd mmmm")</f>
        <v>lunes 22 junio</v>
      </c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Q252"/>
      <c r="R252"/>
      <c r="S252"/>
      <c r="T252"/>
      <c r="U252"/>
      <c r="V252"/>
      <c r="W252"/>
      <c r="X252"/>
    </row>
    <row r="253" spans="2:24" ht="5.0999999999999996" customHeight="1" x14ac:dyDescent="0.3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1.9" customHeight="1" x14ac:dyDescent="0.3">
      <c r="B254" s="182">
        <v>42</v>
      </c>
      <c r="C254" s="129">
        <v>42</v>
      </c>
      <c r="D254" s="64"/>
      <c r="E254" s="239">
        <f>VLOOKUP(B254,tDatos[],IF(UTCElegido="",4,12),0)</f>
        <v>0.70833333333333337</v>
      </c>
      <c r="F254" s="239"/>
      <c r="G254" s="239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1.9" customHeight="1" x14ac:dyDescent="0.3">
      <c r="B255" s="184"/>
      <c r="D255" s="64"/>
      <c r="E255" s="65"/>
      <c r="F255" s="68" t="s">
        <v>150</v>
      </c>
      <c r="G255" s="237"/>
      <c r="H255" s="238"/>
      <c r="I255" s="67" t="s">
        <v>0</v>
      </c>
      <c r="J255" s="237"/>
      <c r="K255" s="238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00000000000001" customHeight="1" x14ac:dyDescent="0.3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0999999999999996" customHeight="1" x14ac:dyDescent="0.3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1.9" customHeight="1" x14ac:dyDescent="0.3">
      <c r="B258" s="184"/>
      <c r="D258" s="240" t="str">
        <f>TEXT(VLOOKUP(B260,tDatos[],IF(UTCElegido="",3,12),0),"dddd dd mmmm")</f>
        <v>lunes 22 junio</v>
      </c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Q258"/>
      <c r="R258"/>
      <c r="S258"/>
      <c r="T258"/>
      <c r="U258"/>
      <c r="V258"/>
      <c r="W258"/>
      <c r="X258"/>
    </row>
    <row r="259" spans="2:24" ht="5.0999999999999996" customHeight="1" x14ac:dyDescent="0.3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1.9" customHeight="1" x14ac:dyDescent="0.3">
      <c r="B260" s="182">
        <v>43</v>
      </c>
      <c r="C260" s="129">
        <v>41</v>
      </c>
      <c r="D260" s="64"/>
      <c r="E260" s="239">
        <f>VLOOKUP(B260,tDatos[],IF(UTCElegido="",4,12),0)</f>
        <v>0.83333333333333337</v>
      </c>
      <c r="F260" s="239"/>
      <c r="G260" s="239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1.9" customHeight="1" x14ac:dyDescent="0.3">
      <c r="B261" s="184"/>
      <c r="D261" s="64"/>
      <c r="E261" s="65"/>
      <c r="F261" s="68" t="s">
        <v>117</v>
      </c>
      <c r="G261" s="237"/>
      <c r="H261" s="238"/>
      <c r="I261" s="67" t="s">
        <v>0</v>
      </c>
      <c r="J261" s="237"/>
      <c r="K261" s="238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00000000000001" customHeight="1" x14ac:dyDescent="0.3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0999999999999996" customHeight="1" x14ac:dyDescent="0.3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1.9" customHeight="1" x14ac:dyDescent="0.3">
      <c r="B264" s="184"/>
      <c r="D264" s="240" t="str">
        <f>TEXT(VLOOKUP(B266,tDatos[],IF(UTCElegido="",3,12),0),"dddd dd mmmm")</f>
        <v>lunes 22 junio</v>
      </c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Q264"/>
      <c r="R264"/>
      <c r="S264"/>
      <c r="T264"/>
      <c r="U264"/>
      <c r="V264"/>
      <c r="W264"/>
      <c r="X264"/>
    </row>
    <row r="265" spans="2:24" ht="5.0999999999999996" customHeight="1" x14ac:dyDescent="0.3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1.9" customHeight="1" x14ac:dyDescent="0.3">
      <c r="B266" s="182">
        <v>44</v>
      </c>
      <c r="C266" s="129">
        <v>44</v>
      </c>
      <c r="D266" s="64"/>
      <c r="E266" s="239">
        <f>VLOOKUP(B266,tDatos[],IF(UTCElegido="",4,12),0)</f>
        <v>0.95833333333333337</v>
      </c>
      <c r="F266" s="239"/>
      <c r="G266" s="239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1.9" customHeight="1" x14ac:dyDescent="0.3">
      <c r="B267" s="184"/>
      <c r="D267" s="64"/>
      <c r="E267" s="65"/>
      <c r="F267" s="68" t="s">
        <v>91</v>
      </c>
      <c r="G267" s="237"/>
      <c r="H267" s="238"/>
      <c r="I267" s="67" t="s">
        <v>0</v>
      </c>
      <c r="J267" s="237"/>
      <c r="K267" s="238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00000000000001" customHeight="1" x14ac:dyDescent="0.3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0999999999999996" customHeight="1" x14ac:dyDescent="0.3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1.9" customHeight="1" x14ac:dyDescent="0.3">
      <c r="B270" s="184"/>
      <c r="D270" s="240" t="str">
        <f>TEXT(VLOOKUP(B272,tDatos[],IF(UTCElegido="",3,12),0),"dddd dd mmmm")</f>
        <v>martes 23 junio</v>
      </c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Q270"/>
      <c r="R270"/>
      <c r="S270"/>
      <c r="T270"/>
      <c r="U270"/>
      <c r="V270"/>
      <c r="W270"/>
      <c r="X270"/>
    </row>
    <row r="271" spans="2:24" ht="5.0999999999999996" customHeight="1" x14ac:dyDescent="0.3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1.9" customHeight="1" x14ac:dyDescent="0.3">
      <c r="B272" s="182">
        <v>45</v>
      </c>
      <c r="C272" s="129">
        <v>47</v>
      </c>
      <c r="D272" s="64"/>
      <c r="E272" s="239">
        <f>VLOOKUP(B272,tDatos[],IF(UTCElegido="",4,12),0)</f>
        <v>0.54166666666666663</v>
      </c>
      <c r="F272" s="239"/>
      <c r="G272" s="239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1.9" customHeight="1" x14ac:dyDescent="0.3">
      <c r="B273" s="184"/>
      <c r="D273" s="64"/>
      <c r="E273" s="65"/>
      <c r="F273" s="68" t="s">
        <v>146</v>
      </c>
      <c r="G273" s="237"/>
      <c r="H273" s="238"/>
      <c r="I273" s="67" t="s">
        <v>0</v>
      </c>
      <c r="J273" s="237"/>
      <c r="K273" s="238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00000000000001" customHeight="1" x14ac:dyDescent="0.3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0999999999999996" customHeight="1" x14ac:dyDescent="0.3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1.9" customHeight="1" x14ac:dyDescent="0.3">
      <c r="B276" s="184"/>
      <c r="D276" s="240" t="str">
        <f>TEXT(VLOOKUP(B278,tDatos[],IF(UTCElegido="",3,12),0),"dddd dd mmmm")</f>
        <v>martes 23 junio</v>
      </c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Q276"/>
      <c r="R276"/>
      <c r="S276"/>
      <c r="T276"/>
      <c r="U276"/>
      <c r="V276"/>
      <c r="W276"/>
      <c r="X276"/>
    </row>
    <row r="277" spans="2:24" ht="5.0999999999999996" customHeight="1" x14ac:dyDescent="0.3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1.9" customHeight="1" x14ac:dyDescent="0.3">
      <c r="B278" s="182">
        <v>46</v>
      </c>
      <c r="C278" s="129">
        <v>45</v>
      </c>
      <c r="D278" s="64"/>
      <c r="E278" s="239">
        <f>VLOOKUP(B278,tDatos[],IF(UTCElegido="",4,12),0)</f>
        <v>0.66666666666666663</v>
      </c>
      <c r="F278" s="239"/>
      <c r="G278" s="239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1.9" customHeight="1" x14ac:dyDescent="0.3">
      <c r="B279" s="184"/>
      <c r="D279" s="64"/>
      <c r="E279" s="65"/>
      <c r="F279" s="68" t="s">
        <v>145</v>
      </c>
      <c r="G279" s="237"/>
      <c r="H279" s="238"/>
      <c r="I279" s="67" t="s">
        <v>0</v>
      </c>
      <c r="J279" s="237"/>
      <c r="K279" s="238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00000000000001" customHeight="1" x14ac:dyDescent="0.3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0999999999999996" customHeight="1" x14ac:dyDescent="0.3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1.9" customHeight="1" x14ac:dyDescent="0.3">
      <c r="B282" s="184"/>
      <c r="D282" s="240" t="str">
        <f>TEXT(VLOOKUP(B284,tDatos[],IF(UTCElegido="",3,12),0),"dddd dd mmmm")</f>
        <v>martes 23 junio</v>
      </c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Q282"/>
      <c r="R282"/>
      <c r="S282"/>
      <c r="T282"/>
      <c r="U282"/>
      <c r="V282"/>
      <c r="W282"/>
      <c r="X282"/>
    </row>
    <row r="283" spans="2:24" ht="5.0999999999999996" customHeight="1" x14ac:dyDescent="0.3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1.9" customHeight="1" x14ac:dyDescent="0.3">
      <c r="B284" s="182">
        <v>47</v>
      </c>
      <c r="C284" s="129">
        <v>46</v>
      </c>
      <c r="D284" s="64"/>
      <c r="E284" s="239">
        <f>VLOOKUP(B284,tDatos[],IF(UTCElegido="",4,12),0)</f>
        <v>0.79166666666666663</v>
      </c>
      <c r="F284" s="239"/>
      <c r="G284" s="239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1.9" customHeight="1" x14ac:dyDescent="0.3">
      <c r="B285" s="184"/>
      <c r="D285" s="64"/>
      <c r="E285" s="65"/>
      <c r="F285" s="68" t="s">
        <v>103</v>
      </c>
      <c r="G285" s="237"/>
      <c r="H285" s="238"/>
      <c r="I285" s="67" t="s">
        <v>0</v>
      </c>
      <c r="J285" s="237"/>
      <c r="K285" s="238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00000000000001" customHeight="1" x14ac:dyDescent="0.3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0999999999999996" customHeight="1" x14ac:dyDescent="0.3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1.9" customHeight="1" x14ac:dyDescent="0.3">
      <c r="B288" s="184"/>
      <c r="D288" s="240" t="str">
        <f>TEXT(VLOOKUP(B290,tDatos[],IF(UTCElegido="",3,12),0),"dddd dd mmmm")</f>
        <v>martes 23 junio</v>
      </c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Q288"/>
      <c r="R288"/>
      <c r="S288"/>
      <c r="T288"/>
      <c r="U288"/>
      <c r="V288"/>
      <c r="W288"/>
      <c r="X288"/>
    </row>
    <row r="289" spans="2:24" ht="5.0999999999999996" customHeight="1" x14ac:dyDescent="0.3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1.9" customHeight="1" x14ac:dyDescent="0.3">
      <c r="B290" s="182">
        <v>48</v>
      </c>
      <c r="C290" s="129">
        <v>48</v>
      </c>
      <c r="D290" s="64"/>
      <c r="E290" s="239">
        <f>VLOOKUP(B290,tDatos[],IF(UTCElegido="",4,12),0)</f>
        <v>0.91666666666666663</v>
      </c>
      <c r="F290" s="239"/>
      <c r="G290" s="239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1.9" customHeight="1" x14ac:dyDescent="0.3">
      <c r="B291" s="184"/>
      <c r="D291" s="64"/>
      <c r="E291" s="65"/>
      <c r="F291" s="68" t="s">
        <v>98</v>
      </c>
      <c r="G291" s="237"/>
      <c r="H291" s="238"/>
      <c r="I291" s="67" t="s">
        <v>0</v>
      </c>
      <c r="J291" s="237"/>
      <c r="K291" s="238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00000000000001" customHeight="1" x14ac:dyDescent="0.3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0999999999999996" customHeight="1" x14ac:dyDescent="0.3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1.9" customHeight="1" x14ac:dyDescent="0.3">
      <c r="B294" s="184"/>
      <c r="D294" s="240" t="str">
        <f>TEXT(VLOOKUP(B296,tDatos[],IF(UTCElegido="",3,12),0),"dddd dd mmmm")</f>
        <v>miércoles 24 junio</v>
      </c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Q294"/>
      <c r="R294"/>
      <c r="S294"/>
      <c r="T294"/>
      <c r="U294"/>
      <c r="V294"/>
      <c r="W294"/>
      <c r="X294"/>
    </row>
    <row r="295" spans="2:24" ht="5.0999999999999996" customHeight="1" x14ac:dyDescent="0.3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1.9" customHeight="1" x14ac:dyDescent="0.3">
      <c r="B296" s="182">
        <v>49</v>
      </c>
      <c r="C296" s="129">
        <v>51</v>
      </c>
      <c r="D296" s="64"/>
      <c r="E296" s="239">
        <f>VLOOKUP(B296,tDatos[],IF(UTCElegido="",4,12),0)</f>
        <v>0.625</v>
      </c>
      <c r="F296" s="239"/>
      <c r="G296" s="239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1.9" customHeight="1" x14ac:dyDescent="0.3">
      <c r="B297" s="184"/>
      <c r="D297" s="64"/>
      <c r="E297" s="65"/>
      <c r="F297" s="68" t="s">
        <v>142</v>
      </c>
      <c r="G297" s="237"/>
      <c r="H297" s="238"/>
      <c r="I297" s="67" t="s">
        <v>0</v>
      </c>
      <c r="J297" s="237"/>
      <c r="K297" s="238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00000000000001" customHeight="1" x14ac:dyDescent="0.3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0999999999999996" customHeight="1" x14ac:dyDescent="0.3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1.9" customHeight="1" x14ac:dyDescent="0.3">
      <c r="B300" s="184"/>
      <c r="D300" s="240" t="str">
        <f>TEXT(VLOOKUP(B302,tDatos[],IF(UTCElegido="",3,12),0),"dddd dd mmmm")</f>
        <v>miércoles 24 junio</v>
      </c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Q300"/>
      <c r="R300"/>
      <c r="S300"/>
      <c r="T300"/>
      <c r="U300"/>
      <c r="V300"/>
      <c r="W300"/>
      <c r="X300"/>
    </row>
    <row r="301" spans="2:24" ht="5.0999999999999996" customHeight="1" x14ac:dyDescent="0.3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1.9" customHeight="1" x14ac:dyDescent="0.3">
      <c r="B302" s="182">
        <v>50</v>
      </c>
      <c r="C302" s="129">
        <v>52</v>
      </c>
      <c r="D302" s="64"/>
      <c r="E302" s="239">
        <f>VLOOKUP(B302,tDatos[],IF(UTCElegido="",4,12),0)</f>
        <v>0.625</v>
      </c>
      <c r="F302" s="239"/>
      <c r="G302" s="239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1.9" customHeight="1" x14ac:dyDescent="0.3">
      <c r="B303" s="184"/>
      <c r="D303" s="64"/>
      <c r="E303" s="65"/>
      <c r="F303" s="68" t="s">
        <v>283</v>
      </c>
      <c r="G303" s="237"/>
      <c r="H303" s="238"/>
      <c r="I303" s="67" t="s">
        <v>0</v>
      </c>
      <c r="J303" s="237"/>
      <c r="K303" s="238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00000000000001" customHeight="1" x14ac:dyDescent="0.3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0999999999999996" customHeight="1" x14ac:dyDescent="0.3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1.9" customHeight="1" x14ac:dyDescent="0.3">
      <c r="B306" s="184"/>
      <c r="D306" s="240" t="str">
        <f>TEXT(VLOOKUP(B308,tDatos[],IF(UTCElegido="",3,12),0),"dddd dd mmmm")</f>
        <v>miércoles 24 junio</v>
      </c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Q306"/>
      <c r="R306"/>
      <c r="S306"/>
      <c r="T306"/>
      <c r="U306"/>
      <c r="V306"/>
      <c r="W306"/>
      <c r="X306"/>
    </row>
    <row r="307" spans="2:24" ht="5.0999999999999996" customHeight="1" x14ac:dyDescent="0.3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1.9" customHeight="1" x14ac:dyDescent="0.3">
      <c r="B308" s="182">
        <v>51</v>
      </c>
      <c r="C308" s="129">
        <v>49</v>
      </c>
      <c r="D308" s="64"/>
      <c r="E308" s="239">
        <f>VLOOKUP(B308,tDatos[],IF(UTCElegido="",4,12),0)</f>
        <v>0.75</v>
      </c>
      <c r="F308" s="239"/>
      <c r="G308" s="239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1.9" customHeight="1" x14ac:dyDescent="0.3">
      <c r="B309" s="184"/>
      <c r="D309" s="64"/>
      <c r="E309" s="65"/>
      <c r="F309" s="68" t="s">
        <v>138</v>
      </c>
      <c r="G309" s="237"/>
      <c r="H309" s="238"/>
      <c r="I309" s="67" t="s">
        <v>0</v>
      </c>
      <c r="J309" s="237"/>
      <c r="K309" s="238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00000000000001" customHeight="1" x14ac:dyDescent="0.3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0999999999999996" customHeight="1" x14ac:dyDescent="0.3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1.9" customHeight="1" x14ac:dyDescent="0.3">
      <c r="B312" s="184"/>
      <c r="D312" s="240" t="str">
        <f>TEXT(VLOOKUP(B314,tDatos[],IF(UTCElegido="",3,12),0),"dddd dd mmmm")</f>
        <v>miércoles 24 junio</v>
      </c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Q312"/>
      <c r="R312"/>
      <c r="S312"/>
      <c r="T312"/>
      <c r="U312"/>
      <c r="V312"/>
      <c r="W312"/>
      <c r="X312"/>
    </row>
    <row r="313" spans="2:24" ht="5.0999999999999996" customHeight="1" x14ac:dyDescent="0.3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1.9" customHeight="1" x14ac:dyDescent="0.3">
      <c r="B314" s="182">
        <v>52</v>
      </c>
      <c r="C314" s="129">
        <v>50</v>
      </c>
      <c r="D314" s="64"/>
      <c r="E314" s="239">
        <f>VLOOKUP(B314,tDatos[],IF(UTCElegido="",4,12),0)</f>
        <v>0.75</v>
      </c>
      <c r="F314" s="239"/>
      <c r="G314" s="239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1.9" customHeight="1" x14ac:dyDescent="0.3">
      <c r="B315" s="184"/>
      <c r="D315" s="64"/>
      <c r="E315" s="65"/>
      <c r="F315" s="68" t="s">
        <v>135</v>
      </c>
      <c r="G315" s="237"/>
      <c r="H315" s="238"/>
      <c r="I315" s="67" t="s">
        <v>0</v>
      </c>
      <c r="J315" s="237"/>
      <c r="K315" s="238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00000000000001" customHeight="1" x14ac:dyDescent="0.3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0999999999999996" customHeight="1" x14ac:dyDescent="0.3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1.9" customHeight="1" x14ac:dyDescent="0.3">
      <c r="B318" s="184"/>
      <c r="D318" s="240" t="str">
        <f>TEXT(VLOOKUP(B320,tDatos[],IF(UTCElegido="",3,12),0),"dddd dd mmmm")</f>
        <v>miércoles 24 junio</v>
      </c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Q318"/>
      <c r="R318"/>
      <c r="S318"/>
      <c r="T318"/>
      <c r="U318"/>
      <c r="V318"/>
      <c r="W318"/>
      <c r="X318"/>
    </row>
    <row r="319" spans="2:24" ht="5.0999999999999996" customHeight="1" x14ac:dyDescent="0.3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1.9" customHeight="1" x14ac:dyDescent="0.3">
      <c r="B320" s="182">
        <v>53</v>
      </c>
      <c r="C320" s="129">
        <v>53</v>
      </c>
      <c r="D320" s="64"/>
      <c r="E320" s="239">
        <f>VLOOKUP(B320,tDatos[],IF(UTCElegido="",4,12),0)</f>
        <v>0.875</v>
      </c>
      <c r="F320" s="239"/>
      <c r="G320" s="239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1.9" customHeight="1" x14ac:dyDescent="0.3">
      <c r="B321" s="184"/>
      <c r="D321" s="64"/>
      <c r="E321" s="65"/>
      <c r="F321" s="68" t="s">
        <v>314</v>
      </c>
      <c r="G321" s="237"/>
      <c r="H321" s="238"/>
      <c r="I321" s="67" t="s">
        <v>0</v>
      </c>
      <c r="J321" s="237"/>
      <c r="K321" s="238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00000000000001" customHeight="1" x14ac:dyDescent="0.3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0999999999999996" customHeight="1" x14ac:dyDescent="0.3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1.9" customHeight="1" x14ac:dyDescent="0.3">
      <c r="B324" s="184"/>
      <c r="D324" s="240" t="str">
        <f>TEXT(VLOOKUP(B326,tDatos[],IF(UTCElegido="",3,12),0),"dddd dd mmmm")</f>
        <v>miércoles 24 junio</v>
      </c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Q324"/>
      <c r="R324"/>
      <c r="S324"/>
      <c r="T324"/>
      <c r="U324"/>
      <c r="V324"/>
      <c r="W324"/>
      <c r="X324"/>
    </row>
    <row r="325" spans="2:24" ht="5.0999999999999996" customHeight="1" x14ac:dyDescent="0.3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1.9" customHeight="1" x14ac:dyDescent="0.3">
      <c r="B326" s="182">
        <v>54</v>
      </c>
      <c r="C326" s="129">
        <v>54</v>
      </c>
      <c r="D326" s="64"/>
      <c r="E326" s="239">
        <f>VLOOKUP(B326,tDatos[],IF(UTCElegido="",4,12),0)</f>
        <v>0.875</v>
      </c>
      <c r="F326" s="239"/>
      <c r="G326" s="239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1.9" customHeight="1" x14ac:dyDescent="0.3">
      <c r="B327" s="184"/>
      <c r="D327" s="64"/>
      <c r="E327" s="65"/>
      <c r="F327" s="68" t="s">
        <v>131</v>
      </c>
      <c r="G327" s="237"/>
      <c r="H327" s="238"/>
      <c r="I327" s="67" t="s">
        <v>0</v>
      </c>
      <c r="J327" s="237"/>
      <c r="K327" s="238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00000000000001" customHeight="1" x14ac:dyDescent="0.3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0999999999999996" customHeight="1" x14ac:dyDescent="0.3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1.9" customHeight="1" x14ac:dyDescent="0.3">
      <c r="B330" s="184"/>
      <c r="D330" s="240" t="str">
        <f>TEXT(VLOOKUP(B332,tDatos[],IF(UTCElegido="",3,12),0),"dddd dd mmmm")</f>
        <v>jueves 25 junio</v>
      </c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Q330"/>
      <c r="R330"/>
      <c r="S330"/>
      <c r="T330"/>
      <c r="U330"/>
      <c r="V330"/>
      <c r="W330"/>
      <c r="X330"/>
    </row>
    <row r="331" spans="2:24" ht="5.0999999999999996" customHeight="1" x14ac:dyDescent="0.3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1.9" customHeight="1" x14ac:dyDescent="0.3">
      <c r="B332" s="182">
        <v>55</v>
      </c>
      <c r="C332" s="129">
        <v>55</v>
      </c>
      <c r="D332" s="64"/>
      <c r="E332" s="239">
        <f>VLOOKUP(B332,tDatos[],IF(UTCElegido="",4,12),0)</f>
        <v>0.66666666666666663</v>
      </c>
      <c r="F332" s="239"/>
      <c r="G332" s="239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1.9" customHeight="1" x14ac:dyDescent="0.3">
      <c r="B333" s="184"/>
      <c r="D333" s="64"/>
      <c r="E333" s="65"/>
      <c r="F333" s="68" t="s">
        <v>129</v>
      </c>
      <c r="G333" s="237"/>
      <c r="H333" s="238"/>
      <c r="I333" s="67" t="s">
        <v>0</v>
      </c>
      <c r="J333" s="237"/>
      <c r="K333" s="238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00000000000001" customHeight="1" x14ac:dyDescent="0.3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0999999999999996" customHeight="1" x14ac:dyDescent="0.3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1.9" customHeight="1" x14ac:dyDescent="0.3">
      <c r="B336" s="184"/>
      <c r="D336" s="240" t="str">
        <f>TEXT(VLOOKUP(B338,tDatos[],IF(UTCElegido="",3,12),0),"dddd dd mmmm")</f>
        <v>jueves 25 junio</v>
      </c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Q336"/>
      <c r="R336"/>
      <c r="S336"/>
      <c r="T336"/>
      <c r="U336"/>
      <c r="V336"/>
      <c r="W336"/>
      <c r="X336"/>
    </row>
    <row r="337" spans="2:24" ht="5.0999999999999996" customHeight="1" x14ac:dyDescent="0.3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1.9" customHeight="1" x14ac:dyDescent="0.3">
      <c r="B338" s="182">
        <v>56</v>
      </c>
      <c r="C338" s="129">
        <v>56</v>
      </c>
      <c r="D338" s="64"/>
      <c r="E338" s="239">
        <f>VLOOKUP(B338,tDatos[],IF(UTCElegido="",4,12),0)</f>
        <v>0.66666666666666663</v>
      </c>
      <c r="F338" s="239"/>
      <c r="G338" s="239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1.9" customHeight="1" x14ac:dyDescent="0.3">
      <c r="B339" s="184"/>
      <c r="D339" s="64"/>
      <c r="E339" s="65"/>
      <c r="F339" s="68" t="s">
        <v>127</v>
      </c>
      <c r="G339" s="237"/>
      <c r="H339" s="238"/>
      <c r="I339" s="67" t="s">
        <v>0</v>
      </c>
      <c r="J339" s="237"/>
      <c r="K339" s="238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00000000000001" customHeight="1" x14ac:dyDescent="0.3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0999999999999996" customHeight="1" x14ac:dyDescent="0.3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1.9" customHeight="1" x14ac:dyDescent="0.3">
      <c r="B342" s="184"/>
      <c r="D342" s="240" t="str">
        <f>TEXT(VLOOKUP(B344,tDatos[],IF(UTCElegido="",3,12),0),"dddd dd mmmm")</f>
        <v>jueves 25 junio</v>
      </c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Q342"/>
      <c r="R342"/>
      <c r="S342"/>
      <c r="T342"/>
      <c r="U342"/>
      <c r="V342"/>
      <c r="W342"/>
      <c r="X342"/>
    </row>
    <row r="343" spans="2:24" ht="5.0999999999999996" customHeight="1" x14ac:dyDescent="0.3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1.9" customHeight="1" x14ac:dyDescent="0.3">
      <c r="B344" s="182">
        <v>57</v>
      </c>
      <c r="C344" s="129">
        <v>57</v>
      </c>
      <c r="D344" s="64"/>
      <c r="E344" s="239">
        <f>VLOOKUP(B344,tDatos[],IF(UTCElegido="",4,12),0)</f>
        <v>0.79166666666666663</v>
      </c>
      <c r="F344" s="239"/>
      <c r="G344" s="239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1.9" customHeight="1" x14ac:dyDescent="0.3">
      <c r="B345" s="184"/>
      <c r="D345" s="64"/>
      <c r="E345" s="65"/>
      <c r="F345" s="68" t="s">
        <v>125</v>
      </c>
      <c r="G345" s="237"/>
      <c r="H345" s="238"/>
      <c r="I345" s="67" t="s">
        <v>0</v>
      </c>
      <c r="J345" s="237"/>
      <c r="K345" s="238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00000000000001" customHeight="1" x14ac:dyDescent="0.3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0999999999999996" customHeight="1" x14ac:dyDescent="0.3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1.9" customHeight="1" x14ac:dyDescent="0.3">
      <c r="B348" s="184"/>
      <c r="D348" s="240" t="str">
        <f>TEXT(VLOOKUP(B350,tDatos[],IF(UTCElegido="",3,12),0),"dddd dd mmmm")</f>
        <v>jueves 25 junio</v>
      </c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Q348"/>
      <c r="R348"/>
      <c r="S348"/>
      <c r="T348"/>
      <c r="U348"/>
      <c r="V348"/>
      <c r="W348"/>
      <c r="X348"/>
    </row>
    <row r="349" spans="2:24" ht="5.0999999999999996" customHeight="1" x14ac:dyDescent="0.3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1.9" customHeight="1" x14ac:dyDescent="0.3">
      <c r="B350" s="182">
        <v>58</v>
      </c>
      <c r="C350" s="129">
        <v>58</v>
      </c>
      <c r="D350" s="64"/>
      <c r="E350" s="239">
        <f>VLOOKUP(B350,tDatos[],IF(UTCElegido="",4,12),0)</f>
        <v>0.79166666666666663</v>
      </c>
      <c r="F350" s="239"/>
      <c r="G350" s="239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1.9" customHeight="1" x14ac:dyDescent="0.3">
      <c r="B351" s="184"/>
      <c r="D351" s="64"/>
      <c r="E351" s="65"/>
      <c r="F351" s="68" t="s">
        <v>123</v>
      </c>
      <c r="G351" s="237"/>
      <c r="H351" s="238"/>
      <c r="I351" s="67" t="s">
        <v>0</v>
      </c>
      <c r="J351" s="237"/>
      <c r="K351" s="238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00000000000001" customHeight="1" x14ac:dyDescent="0.3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0999999999999996" customHeight="1" x14ac:dyDescent="0.3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1.9" customHeight="1" x14ac:dyDescent="0.3">
      <c r="B354" s="184"/>
      <c r="D354" s="240" t="str">
        <f>TEXT(VLOOKUP(B356,tDatos[],IF(UTCElegido="",3,12),0),"dddd dd mmmm")</f>
        <v>jueves 25 junio</v>
      </c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Q354"/>
      <c r="R354"/>
      <c r="S354"/>
      <c r="T354"/>
      <c r="U354"/>
      <c r="V354"/>
      <c r="W354"/>
      <c r="X354"/>
    </row>
    <row r="355" spans="2:24" ht="5.0999999999999996" customHeight="1" x14ac:dyDescent="0.3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1.9" customHeight="1" x14ac:dyDescent="0.3">
      <c r="B356" s="182">
        <v>59</v>
      </c>
      <c r="C356" s="129">
        <v>59</v>
      </c>
      <c r="D356" s="64"/>
      <c r="E356" s="239">
        <f>VLOOKUP(B356,tDatos[],IF(UTCElegido="",4,12),0)</f>
        <v>0.91666666666666663</v>
      </c>
      <c r="F356" s="239"/>
      <c r="G356" s="239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1.9" customHeight="1" x14ac:dyDescent="0.3">
      <c r="B357" s="184"/>
      <c r="D357" s="64"/>
      <c r="E357" s="65"/>
      <c r="F357" s="68" t="s">
        <v>281</v>
      </c>
      <c r="G357" s="237"/>
      <c r="H357" s="238"/>
      <c r="I357" s="67" t="s">
        <v>0</v>
      </c>
      <c r="J357" s="237"/>
      <c r="K357" s="238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00000000000001" customHeight="1" x14ac:dyDescent="0.3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0999999999999996" customHeight="1" x14ac:dyDescent="0.3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1.9" customHeight="1" x14ac:dyDescent="0.3">
      <c r="B360" s="184"/>
      <c r="D360" s="240" t="str">
        <f>TEXT(VLOOKUP(B362,tDatos[],IF(UTCElegido="",3,12),0),"dddd dd mmmm")</f>
        <v>jueves 25 junio</v>
      </c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Q360"/>
      <c r="R360"/>
      <c r="S360"/>
      <c r="T360"/>
      <c r="U360"/>
      <c r="V360"/>
      <c r="W360"/>
      <c r="X360"/>
    </row>
    <row r="361" spans="2:24" ht="5.0999999999999996" customHeight="1" x14ac:dyDescent="0.3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1.9" customHeight="1" x14ac:dyDescent="0.3">
      <c r="B362" s="182">
        <v>60</v>
      </c>
      <c r="C362" s="129">
        <v>60</v>
      </c>
      <c r="D362" s="64"/>
      <c r="E362" s="239">
        <f>VLOOKUP(B362,tDatos[],IF(UTCElegido="",4,12),0)</f>
        <v>0.91666666666666663</v>
      </c>
      <c r="F362" s="239"/>
      <c r="G362" s="239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1.9" customHeight="1" x14ac:dyDescent="0.3">
      <c r="B363" s="184"/>
      <c r="D363" s="64"/>
      <c r="E363" s="65"/>
      <c r="F363" s="68" t="s">
        <v>120</v>
      </c>
      <c r="G363" s="237"/>
      <c r="H363" s="238"/>
      <c r="I363" s="67" t="s">
        <v>0</v>
      </c>
      <c r="J363" s="237"/>
      <c r="K363" s="238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00000000000001" customHeight="1" x14ac:dyDescent="0.3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0999999999999996" customHeight="1" x14ac:dyDescent="0.3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1.9" customHeight="1" x14ac:dyDescent="0.3">
      <c r="B366" s="184"/>
      <c r="D366" s="240" t="str">
        <f>TEXT(VLOOKUP(B368,tDatos[],IF(UTCElegido="",3,12),0),"dddd dd mmmm")</f>
        <v>viernes 26 junio</v>
      </c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Q366"/>
      <c r="R366"/>
      <c r="S366"/>
      <c r="T366"/>
      <c r="U366"/>
      <c r="V366"/>
      <c r="W366"/>
      <c r="X366"/>
    </row>
    <row r="367" spans="2:24" ht="5.0999999999999996" customHeight="1" x14ac:dyDescent="0.3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1.9" customHeight="1" x14ac:dyDescent="0.3">
      <c r="B368" s="182">
        <v>61</v>
      </c>
      <c r="C368" s="129">
        <v>61</v>
      </c>
      <c r="D368" s="64"/>
      <c r="E368" s="239">
        <f>VLOOKUP(B368,tDatos[],IF(UTCElegido="",4,12),0)</f>
        <v>0.625</v>
      </c>
      <c r="F368" s="239"/>
      <c r="G368" s="239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1.9" customHeight="1" x14ac:dyDescent="0.3">
      <c r="B369" s="184"/>
      <c r="D369" s="64"/>
      <c r="E369" s="65"/>
      <c r="F369" s="68" t="s">
        <v>117</v>
      </c>
      <c r="G369" s="237"/>
      <c r="H369" s="238"/>
      <c r="I369" s="67" t="s">
        <v>0</v>
      </c>
      <c r="J369" s="237"/>
      <c r="K369" s="238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00000000000001" customHeight="1" x14ac:dyDescent="0.3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0999999999999996" customHeight="1" x14ac:dyDescent="0.3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1.9" customHeight="1" x14ac:dyDescent="0.3">
      <c r="B372" s="184"/>
      <c r="D372" s="240" t="str">
        <f>TEXT(VLOOKUP(B374,tDatos[],IF(UTCElegido="",3,12),0),"dddd dd mmmm")</f>
        <v>viernes 26 junio</v>
      </c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Q372"/>
      <c r="R372"/>
      <c r="S372"/>
      <c r="T372"/>
      <c r="U372"/>
      <c r="V372"/>
      <c r="W372"/>
      <c r="X372"/>
    </row>
    <row r="373" spans="2:24" ht="5.0999999999999996" customHeight="1" x14ac:dyDescent="0.3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1.9" customHeight="1" x14ac:dyDescent="0.3">
      <c r="B374" s="182">
        <v>62</v>
      </c>
      <c r="C374" s="129">
        <v>62</v>
      </c>
      <c r="D374" s="64"/>
      <c r="E374" s="239">
        <f>VLOOKUP(B374,tDatos[],IF(UTCElegido="",4,12),0)</f>
        <v>0.625</v>
      </c>
      <c r="F374" s="239"/>
      <c r="G374" s="239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1.9" customHeight="1" x14ac:dyDescent="0.3">
      <c r="B375" s="184"/>
      <c r="D375" s="64"/>
      <c r="E375" s="65"/>
      <c r="F375" s="68" t="s">
        <v>114</v>
      </c>
      <c r="G375" s="237"/>
      <c r="H375" s="238"/>
      <c r="I375" s="67" t="s">
        <v>0</v>
      </c>
      <c r="J375" s="237"/>
      <c r="K375" s="238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00000000000001" customHeight="1" x14ac:dyDescent="0.3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0999999999999996" customHeight="1" x14ac:dyDescent="0.3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1.9" customHeight="1" x14ac:dyDescent="0.3">
      <c r="B378" s="184"/>
      <c r="D378" s="240" t="str">
        <f>TEXT(VLOOKUP(B380,tDatos[],IF(UTCElegido="",3,12),0),"dddd dd mmmm")</f>
        <v>viernes 26 junio</v>
      </c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Q378"/>
      <c r="R378"/>
      <c r="S378"/>
      <c r="T378"/>
      <c r="U378"/>
      <c r="V378"/>
      <c r="W378"/>
      <c r="X378"/>
    </row>
    <row r="379" spans="2:24" ht="5.0999999999999996" customHeight="1" x14ac:dyDescent="0.3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1.9" customHeight="1" x14ac:dyDescent="0.3">
      <c r="B380" s="182">
        <v>63</v>
      </c>
      <c r="C380" s="129">
        <v>65</v>
      </c>
      <c r="D380" s="64"/>
      <c r="E380" s="239">
        <f>VLOOKUP(B380,tDatos[],IF(UTCElegido="",4,12),0)</f>
        <v>0.83333333333333337</v>
      </c>
      <c r="F380" s="239"/>
      <c r="G380" s="239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1.9" customHeight="1" x14ac:dyDescent="0.3">
      <c r="B381" s="184"/>
      <c r="D381" s="64"/>
      <c r="E381" s="65"/>
      <c r="F381" s="68" t="s">
        <v>113</v>
      </c>
      <c r="G381" s="237"/>
      <c r="H381" s="238"/>
      <c r="I381" s="67" t="s">
        <v>0</v>
      </c>
      <c r="J381" s="237"/>
      <c r="K381" s="238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00000000000001" customHeight="1" x14ac:dyDescent="0.3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0999999999999996" customHeight="1" x14ac:dyDescent="0.3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1.9" customHeight="1" x14ac:dyDescent="0.3">
      <c r="B384" s="184"/>
      <c r="D384" s="240" t="str">
        <f>TEXT(VLOOKUP(B386,tDatos[],IF(UTCElegido="",3,12),0),"dddd dd mmmm")</f>
        <v>viernes 26 junio</v>
      </c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Q384"/>
      <c r="R384"/>
      <c r="S384"/>
      <c r="T384"/>
      <c r="U384"/>
      <c r="V384"/>
      <c r="W384"/>
      <c r="X384"/>
    </row>
    <row r="385" spans="2:24" ht="5.0999999999999996" customHeight="1" x14ac:dyDescent="0.3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1.9" customHeight="1" x14ac:dyDescent="0.3">
      <c r="B386" s="182">
        <v>64</v>
      </c>
      <c r="C386" s="129">
        <v>66</v>
      </c>
      <c r="D386" s="64"/>
      <c r="E386" s="239">
        <f>VLOOKUP(B386,tDatos[],IF(UTCElegido="",4,12),0)</f>
        <v>0.83333333333333337</v>
      </c>
      <c r="F386" s="239"/>
      <c r="G386" s="239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1.9" customHeight="1" x14ac:dyDescent="0.3">
      <c r="B387" s="184"/>
      <c r="D387" s="64"/>
      <c r="E387" s="65"/>
      <c r="F387" s="68" t="s">
        <v>111</v>
      </c>
      <c r="G387" s="237"/>
      <c r="H387" s="238"/>
      <c r="I387" s="67" t="s">
        <v>0</v>
      </c>
      <c r="J387" s="237"/>
      <c r="K387" s="238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00000000000001" customHeight="1" x14ac:dyDescent="0.3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0999999999999996" customHeight="1" x14ac:dyDescent="0.3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1.9" customHeight="1" x14ac:dyDescent="0.3">
      <c r="B390" s="184"/>
      <c r="D390" s="240" t="str">
        <f>TEXT(VLOOKUP(B392,tDatos[],IF(UTCElegido="",3,12),0),"dddd dd mmmm")</f>
        <v>viernes 26 junio</v>
      </c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Q390"/>
      <c r="R390"/>
      <c r="S390"/>
      <c r="T390"/>
      <c r="U390"/>
      <c r="V390"/>
      <c r="W390"/>
      <c r="X390"/>
    </row>
    <row r="391" spans="2:24" ht="5.0999999999999996" customHeight="1" x14ac:dyDescent="0.3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1.9" customHeight="1" x14ac:dyDescent="0.3">
      <c r="B392" s="182">
        <v>65</v>
      </c>
      <c r="C392" s="129">
        <v>63</v>
      </c>
      <c r="D392" s="64"/>
      <c r="E392" s="239">
        <f>VLOOKUP(B392,tDatos[],IF(UTCElegido="",4,12),0)</f>
        <v>0.95833333333333337</v>
      </c>
      <c r="F392" s="239"/>
      <c r="G392" s="239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1.9" customHeight="1" x14ac:dyDescent="0.3">
      <c r="B393" s="184"/>
      <c r="D393" s="64"/>
      <c r="E393" s="65"/>
      <c r="F393" s="68" t="s">
        <v>108</v>
      </c>
      <c r="G393" s="237"/>
      <c r="H393" s="238"/>
      <c r="I393" s="67" t="s">
        <v>0</v>
      </c>
      <c r="J393" s="237"/>
      <c r="K393" s="238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00000000000001" customHeight="1" x14ac:dyDescent="0.3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0999999999999996" customHeight="1" x14ac:dyDescent="0.3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1.9" customHeight="1" x14ac:dyDescent="0.3">
      <c r="B396" s="184"/>
      <c r="D396" s="240" t="str">
        <f>TEXT(VLOOKUP(B398,tDatos[],IF(UTCElegido="",3,12),0),"dddd dd mmmm")</f>
        <v>viernes 26 junio</v>
      </c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Q396"/>
      <c r="R396"/>
      <c r="S396"/>
      <c r="T396"/>
      <c r="U396"/>
      <c r="V396"/>
      <c r="W396"/>
      <c r="X396"/>
    </row>
    <row r="397" spans="2:24" ht="5.0999999999999996" customHeight="1" x14ac:dyDescent="0.3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1.9" customHeight="1" x14ac:dyDescent="0.3">
      <c r="B398" s="182">
        <v>66</v>
      </c>
      <c r="C398" s="129">
        <v>64</v>
      </c>
      <c r="D398" s="64"/>
      <c r="E398" s="239">
        <f>VLOOKUP(B398,tDatos[],IF(UTCElegido="",4,12),0)</f>
        <v>0.95833333333333337</v>
      </c>
      <c r="F398" s="239"/>
      <c r="G398" s="239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1.9" customHeight="1" x14ac:dyDescent="0.3">
      <c r="B399" s="184"/>
      <c r="D399" s="64"/>
      <c r="E399" s="65"/>
      <c r="F399" s="68" t="s">
        <v>105</v>
      </c>
      <c r="G399" s="237"/>
      <c r="H399" s="238"/>
      <c r="I399" s="67" t="s">
        <v>0</v>
      </c>
      <c r="J399" s="237"/>
      <c r="K399" s="238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00000000000001" customHeight="1" x14ac:dyDescent="0.3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0999999999999996" customHeight="1" x14ac:dyDescent="0.3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1.9" customHeight="1" x14ac:dyDescent="0.3">
      <c r="B402" s="184"/>
      <c r="D402" s="240" t="str">
        <f>TEXT(VLOOKUP(B404,tDatos[],IF(UTCElegido="",3,12),0),"dddd dd mmmm")</f>
        <v>sábado 27 junio</v>
      </c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Q402"/>
      <c r="R402"/>
      <c r="S402"/>
      <c r="T402"/>
      <c r="U402"/>
      <c r="V402"/>
      <c r="W402"/>
      <c r="X402"/>
    </row>
    <row r="403" spans="2:24" ht="5.0999999999999996" customHeight="1" x14ac:dyDescent="0.3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1.9" customHeight="1" x14ac:dyDescent="0.3">
      <c r="B404" s="182">
        <v>67</v>
      </c>
      <c r="C404" s="129">
        <v>67</v>
      </c>
      <c r="D404" s="64"/>
      <c r="E404" s="239">
        <f>VLOOKUP(B404,tDatos[],IF(UTCElegido="",4,12),0)</f>
        <v>0.70833333333333337</v>
      </c>
      <c r="F404" s="239"/>
      <c r="G404" s="239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1.9" customHeight="1" x14ac:dyDescent="0.3">
      <c r="B405" s="184"/>
      <c r="D405" s="64"/>
      <c r="E405" s="65"/>
      <c r="F405" s="68" t="s">
        <v>103</v>
      </c>
      <c r="G405" s="237"/>
      <c r="H405" s="238"/>
      <c r="I405" s="67" t="s">
        <v>0</v>
      </c>
      <c r="J405" s="237"/>
      <c r="K405" s="238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00000000000001" customHeight="1" x14ac:dyDescent="0.3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0999999999999996" customHeight="1" x14ac:dyDescent="0.3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1.9" customHeight="1" x14ac:dyDescent="0.3">
      <c r="B408" s="184"/>
      <c r="D408" s="240" t="str">
        <f>TEXT(VLOOKUP(B410,tDatos[],IF(UTCElegido="",3,12),0),"dddd dd mmmm")</f>
        <v>sábado 27 junio</v>
      </c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Q408"/>
      <c r="R408"/>
      <c r="S408"/>
      <c r="T408"/>
      <c r="U408"/>
      <c r="V408"/>
      <c r="W408"/>
      <c r="X408"/>
    </row>
    <row r="409" spans="2:24" ht="5.0999999999999996" customHeight="1" x14ac:dyDescent="0.3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1.9" customHeight="1" x14ac:dyDescent="0.3">
      <c r="B410" s="182">
        <v>68</v>
      </c>
      <c r="C410" s="129">
        <v>68</v>
      </c>
      <c r="D410" s="64"/>
      <c r="E410" s="239">
        <f>VLOOKUP(B410,tDatos[],IF(UTCElegido="",4,12),0)</f>
        <v>0.70833333333333337</v>
      </c>
      <c r="F410" s="239"/>
      <c r="G410" s="239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1.9" customHeight="1" x14ac:dyDescent="0.3">
      <c r="B411" s="184"/>
      <c r="D411" s="64"/>
      <c r="E411" s="65"/>
      <c r="F411" s="68" t="s">
        <v>100</v>
      </c>
      <c r="G411" s="237"/>
      <c r="H411" s="238"/>
      <c r="I411" s="67" t="s">
        <v>0</v>
      </c>
      <c r="J411" s="237"/>
      <c r="K411" s="238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00000000000001" customHeight="1" x14ac:dyDescent="0.3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0999999999999996" customHeight="1" x14ac:dyDescent="0.3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1.9" customHeight="1" x14ac:dyDescent="0.3">
      <c r="B414" s="184"/>
      <c r="D414" s="240" t="str">
        <f>TEXT(VLOOKUP(B416,tDatos[],IF(UTCElegido="",3,12),0),"dddd dd mmmm")</f>
        <v>sábado 27 junio</v>
      </c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Q414"/>
      <c r="R414"/>
      <c r="S414"/>
      <c r="T414"/>
      <c r="U414"/>
      <c r="V414"/>
      <c r="W414"/>
      <c r="X414"/>
    </row>
    <row r="415" spans="2:24" ht="5.0999999999999996" customHeight="1" x14ac:dyDescent="0.3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1.9" customHeight="1" x14ac:dyDescent="0.3">
      <c r="B416" s="182">
        <v>69</v>
      </c>
      <c r="C416" s="129">
        <v>71</v>
      </c>
      <c r="D416" s="64"/>
      <c r="E416" s="239">
        <f>VLOOKUP(B416,tDatos[],IF(UTCElegido="",4,12),0)</f>
        <v>0.8125</v>
      </c>
      <c r="F416" s="239"/>
      <c r="G416" s="239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1.9" customHeight="1" x14ac:dyDescent="0.3">
      <c r="B417" s="184"/>
      <c r="D417" s="64"/>
      <c r="E417" s="65"/>
      <c r="F417" s="68" t="s">
        <v>98</v>
      </c>
      <c r="G417" s="237"/>
      <c r="H417" s="238"/>
      <c r="I417" s="67" t="s">
        <v>0</v>
      </c>
      <c r="J417" s="237"/>
      <c r="K417" s="238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00000000000001" customHeight="1" x14ac:dyDescent="0.3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0999999999999996" customHeight="1" x14ac:dyDescent="0.3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1.9" customHeight="1" x14ac:dyDescent="0.3">
      <c r="B420" s="184"/>
      <c r="D420" s="240" t="str">
        <f>TEXT(VLOOKUP(B422,tDatos[],IF(UTCElegido="",3,12),0),"dddd dd mmmm")</f>
        <v>sábado 27 junio</v>
      </c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Q420"/>
      <c r="R420"/>
      <c r="S420"/>
      <c r="T420"/>
      <c r="U420"/>
      <c r="V420"/>
      <c r="W420"/>
      <c r="X420"/>
    </row>
    <row r="421" spans="2:24" ht="5.0999999999999996" customHeight="1" x14ac:dyDescent="0.3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1.9" customHeight="1" x14ac:dyDescent="0.3">
      <c r="B422" s="182">
        <v>70</v>
      </c>
      <c r="C422" s="129">
        <v>72</v>
      </c>
      <c r="D422" s="64"/>
      <c r="E422" s="239">
        <f>VLOOKUP(B422,tDatos[],IF(UTCElegido="",4,12),0)</f>
        <v>0.8125</v>
      </c>
      <c r="F422" s="239"/>
      <c r="G422" s="239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1.9" customHeight="1" x14ac:dyDescent="0.3">
      <c r="B423" s="184"/>
      <c r="D423" s="64"/>
      <c r="E423" s="65"/>
      <c r="F423" s="68" t="s">
        <v>365</v>
      </c>
      <c r="G423" s="237"/>
      <c r="H423" s="238"/>
      <c r="I423" s="67" t="s">
        <v>0</v>
      </c>
      <c r="J423" s="237"/>
      <c r="K423" s="238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00000000000001" customHeight="1" x14ac:dyDescent="0.3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0999999999999996" customHeight="1" x14ac:dyDescent="0.3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1.9" customHeight="1" x14ac:dyDescent="0.3">
      <c r="B426" s="184"/>
      <c r="D426" s="240" t="str">
        <f>TEXT(VLOOKUP(B428,tDatos[],IF(UTCElegido="",3,12),0),"dddd dd mmmm")</f>
        <v>sábado 27 junio</v>
      </c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Q426"/>
      <c r="R426"/>
      <c r="S426"/>
      <c r="T426"/>
      <c r="U426"/>
      <c r="V426"/>
      <c r="W426"/>
      <c r="X426"/>
    </row>
    <row r="427" spans="2:24" ht="5.0999999999999996" customHeight="1" x14ac:dyDescent="0.3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1.9" customHeight="1" x14ac:dyDescent="0.3">
      <c r="B428" s="182">
        <v>71</v>
      </c>
      <c r="C428" s="129">
        <v>69</v>
      </c>
      <c r="D428" s="64"/>
      <c r="E428" s="239">
        <f>VLOOKUP(B428,tDatos[],IF(UTCElegido="",4,12),0)</f>
        <v>0.91666666666666663</v>
      </c>
      <c r="F428" s="239"/>
      <c r="G428" s="239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1.9" customHeight="1" x14ac:dyDescent="0.3">
      <c r="B429" s="184"/>
      <c r="D429" s="64"/>
      <c r="E429" s="65"/>
      <c r="F429" s="68" t="s">
        <v>94</v>
      </c>
      <c r="G429" s="237"/>
      <c r="H429" s="238"/>
      <c r="I429" s="67" t="s">
        <v>0</v>
      </c>
      <c r="J429" s="237"/>
      <c r="K429" s="238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00000000000001" customHeight="1" x14ac:dyDescent="0.3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0999999999999996" customHeight="1" x14ac:dyDescent="0.3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1.9" customHeight="1" x14ac:dyDescent="0.3">
      <c r="B432" s="184"/>
      <c r="D432" s="240" t="str">
        <f>TEXT(VLOOKUP(B434,tDatos[],IF(UTCElegido="",3,12),0),"dddd dd mmmm")</f>
        <v>sábado 27 junio</v>
      </c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Q432"/>
      <c r="R432"/>
      <c r="S432"/>
      <c r="T432"/>
      <c r="U432"/>
      <c r="V432"/>
      <c r="W432"/>
      <c r="X432"/>
    </row>
    <row r="433" spans="2:24" ht="5.0999999999999996" customHeight="1" x14ac:dyDescent="0.3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1.9" customHeight="1" x14ac:dyDescent="0.3">
      <c r="B434" s="182">
        <v>72</v>
      </c>
      <c r="C434" s="129">
        <v>70</v>
      </c>
      <c r="D434" s="64"/>
      <c r="E434" s="239">
        <f>VLOOKUP(B434,tDatos[],IF(UTCElegido="",4,12),0)</f>
        <v>0.91666666666666663</v>
      </c>
      <c r="F434" s="239"/>
      <c r="G434" s="239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1.9" customHeight="1" x14ac:dyDescent="0.3">
      <c r="B435" s="184"/>
      <c r="D435" s="64"/>
      <c r="E435" s="65"/>
      <c r="F435" s="68" t="s">
        <v>91</v>
      </c>
      <c r="G435" s="237"/>
      <c r="H435" s="238"/>
      <c r="I435" s="67" t="s">
        <v>0</v>
      </c>
      <c r="J435" s="237"/>
      <c r="K435" s="238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00000000000001" customHeight="1" x14ac:dyDescent="0.3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0999999999999996" customHeight="1" x14ac:dyDescent="0.3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3">
      <c r="B438" s="184"/>
    </row>
    <row r="439" spans="2:24" x14ac:dyDescent="0.3">
      <c r="B439" s="184"/>
    </row>
    <row r="440" spans="2:24" x14ac:dyDescent="0.3">
      <c r="B440" s="184"/>
    </row>
    <row r="441" spans="2:24" x14ac:dyDescent="0.3">
      <c r="B441" s="184"/>
    </row>
    <row r="442" spans="2:24" x14ac:dyDescent="0.3">
      <c r="B442" s="184"/>
    </row>
    <row r="443" spans="2:24" x14ac:dyDescent="0.3">
      <c r="B443" s="184"/>
    </row>
    <row r="444" spans="2:24" x14ac:dyDescent="0.3">
      <c r="B444" s="184"/>
    </row>
    <row r="445" spans="2:24" x14ac:dyDescent="0.3">
      <c r="B445" s="184"/>
    </row>
    <row r="446" spans="2:24" x14ac:dyDescent="0.3">
      <c r="B446" s="184"/>
    </row>
    <row r="447" spans="2:24" x14ac:dyDescent="0.3">
      <c r="B447" s="184"/>
    </row>
    <row r="448" spans="2:24" x14ac:dyDescent="0.3">
      <c r="B448" s="184"/>
    </row>
  </sheetData>
  <sheetProtection sheet="1" objects="1" scenarios="1"/>
  <mergeCells count="288"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</mergeCells>
  <conditionalFormatting sqref="H10 H16:H17 K16:K17">
    <cfRule type="expression" dxfId="473" priority="425">
      <formula>E10="E"</formula>
    </cfRule>
    <cfRule type="expression" dxfId="472" priority="426">
      <formula>E10="G"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3">
      <formula>E58="E"</formula>
    </cfRule>
    <cfRule type="expression" dxfId="451" priority="382">
      <formula>E58="P"</formula>
    </cfRule>
    <cfRule type="expression" dxfId="450" priority="384">
      <formula>E58="G"</formula>
    </cfRule>
  </conditionalFormatting>
  <conditionalFormatting sqref="H64">
    <cfRule type="expression" dxfId="449" priority="377">
      <formula>E64="E"</formula>
    </cfRule>
    <cfRule type="expression" dxfId="448" priority="376">
      <formula>E64="P"</formula>
    </cfRule>
    <cfRule type="expression" dxfId="447" priority="378">
      <formula>E64="G"</formula>
    </cfRule>
  </conditionalFormatting>
  <conditionalFormatting sqref="H70">
    <cfRule type="expression" dxfId="446" priority="371">
      <formula>E70="E"</formula>
    </cfRule>
    <cfRule type="expression" dxfId="445" priority="372">
      <formula>E70="G"</formula>
    </cfRule>
    <cfRule type="expression" dxfId="444" priority="370">
      <formula>E70="P"</formula>
    </cfRule>
  </conditionalFormatting>
  <conditionalFormatting sqref="H76">
    <cfRule type="expression" dxfId="443" priority="364">
      <formula>E76="P"</formula>
    </cfRule>
    <cfRule type="expression" dxfId="442" priority="366">
      <formula>E76="G"</formula>
    </cfRule>
    <cfRule type="expression" dxfId="441" priority="365">
      <formula>E76="E"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4">
      <formula>E88="G"</formula>
    </cfRule>
    <cfRule type="expression" dxfId="435" priority="353">
      <formula>E88="E"</formula>
    </cfRule>
  </conditionalFormatting>
  <conditionalFormatting sqref="H94">
    <cfRule type="expression" dxfId="434" priority="346">
      <formula>E94="P"</formula>
    </cfRule>
    <cfRule type="expression" dxfId="433" priority="347">
      <formula>E94="E"</formula>
    </cfRule>
    <cfRule type="expression" dxfId="432" priority="348">
      <formula>E94="G"</formula>
    </cfRule>
  </conditionalFormatting>
  <conditionalFormatting sqref="H100">
    <cfRule type="expression" dxfId="431" priority="341">
      <formula>E100="E"</formula>
    </cfRule>
    <cfRule type="expression" dxfId="430" priority="342">
      <formula>E100="G"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28">
      <formula>E112="P"</formula>
    </cfRule>
    <cfRule type="expression" dxfId="424" priority="329">
      <formula>E112="E"</formula>
    </cfRule>
    <cfRule type="expression" dxfId="423" priority="330">
      <formula>E112="G"</formula>
    </cfRule>
  </conditionalFormatting>
  <conditionalFormatting sqref="H118">
    <cfRule type="expression" dxfId="422" priority="324">
      <formula>E118="G"</formula>
    </cfRule>
    <cfRule type="expression" dxfId="421" priority="323">
      <formula>E118="E"</formula>
    </cfRule>
    <cfRule type="expression" dxfId="420" priority="322">
      <formula>E118="P"</formula>
    </cfRule>
  </conditionalFormatting>
  <conditionalFormatting sqref="H124">
    <cfRule type="expression" dxfId="419" priority="316">
      <formula>E124="P"</formula>
    </cfRule>
    <cfRule type="expression" dxfId="418" priority="317">
      <formula>E124="E"</formula>
    </cfRule>
    <cfRule type="expression" dxfId="417" priority="318">
      <formula>E124="G"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5">
      <formula>E136="E"</formula>
    </cfRule>
    <cfRule type="expression" dxfId="412" priority="304">
      <formula>E136="P"</formula>
    </cfRule>
    <cfRule type="expression" dxfId="411" priority="306">
      <formula>E136="G"</formula>
    </cfRule>
  </conditionalFormatting>
  <conditionalFormatting sqref="H142">
    <cfRule type="expression" dxfId="410" priority="299">
      <formula>E142="E"</formula>
    </cfRule>
    <cfRule type="expression" dxfId="409" priority="298">
      <formula>E142="P"</formula>
    </cfRule>
    <cfRule type="expression" dxfId="408" priority="300">
      <formula>E142="G"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4">
      <formula>E166="P"</formula>
    </cfRule>
    <cfRule type="expression" dxfId="396" priority="275">
      <formula>E166="E"</formula>
    </cfRule>
  </conditionalFormatting>
  <conditionalFormatting sqref="H172">
    <cfRule type="expression" dxfId="395" priority="268">
      <formula>E172="P"</formula>
    </cfRule>
    <cfRule type="expression" dxfId="394" priority="269">
      <formula>E172="E"</formula>
    </cfRule>
    <cfRule type="expression" dxfId="393" priority="270">
      <formula>E172="G"</formula>
    </cfRule>
  </conditionalFormatting>
  <conditionalFormatting sqref="H178">
    <cfRule type="expression" dxfId="392" priority="262">
      <formula>E178="P"</formula>
    </cfRule>
    <cfRule type="expression" dxfId="391" priority="263">
      <formula>E178="E"</formula>
    </cfRule>
    <cfRule type="expression" dxfId="390" priority="264">
      <formula>E178="G"</formula>
    </cfRule>
  </conditionalFormatting>
  <conditionalFormatting sqref="H184">
    <cfRule type="expression" dxfId="389" priority="256">
      <formula>E184="P"</formula>
    </cfRule>
    <cfRule type="expression" dxfId="388" priority="257">
      <formula>E184="E"</formula>
    </cfRule>
    <cfRule type="expression" dxfId="387" priority="258">
      <formula>E184="G"</formula>
    </cfRule>
  </conditionalFormatting>
  <conditionalFormatting sqref="H190">
    <cfRule type="expression" dxfId="386" priority="251">
      <formula>E190="E"</formula>
    </cfRule>
    <cfRule type="expression" dxfId="385" priority="252">
      <formula>E190="G"</formula>
    </cfRule>
    <cfRule type="expression" dxfId="384" priority="250">
      <formula>E190="P"</formula>
    </cfRule>
  </conditionalFormatting>
  <conditionalFormatting sqref="H196">
    <cfRule type="expression" dxfId="383" priority="245">
      <formula>E196="E"</formula>
    </cfRule>
    <cfRule type="expression" dxfId="382" priority="244">
      <formula>E196="P"</formula>
    </cfRule>
    <cfRule type="expression" dxfId="381" priority="246">
      <formula>E196="G"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4">
      <formula>E226="P"</formula>
    </cfRule>
    <cfRule type="expression" dxfId="366" priority="216">
      <formula>E226="G"</formula>
    </cfRule>
  </conditionalFormatting>
  <conditionalFormatting sqref="H232">
    <cfRule type="expression" dxfId="365" priority="209">
      <formula>E232="E"</formula>
    </cfRule>
    <cfRule type="expression" dxfId="364" priority="208">
      <formula>E232="P"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4">
      <formula>E238="G"</formula>
    </cfRule>
    <cfRule type="expression" dxfId="360" priority="203">
      <formula>E238="E"</formula>
    </cfRule>
  </conditionalFormatting>
  <conditionalFormatting sqref="H244">
    <cfRule type="expression" dxfId="359" priority="198">
      <formula>E244="G"</formula>
    </cfRule>
    <cfRule type="expression" dxfId="358" priority="197">
      <formula>E244="E"</formula>
    </cfRule>
    <cfRule type="expression" dxfId="357" priority="196">
      <formula>E244="P"</formula>
    </cfRule>
  </conditionalFormatting>
  <conditionalFormatting sqref="H250">
    <cfRule type="expression" dxfId="356" priority="190">
      <formula>E250="P"</formula>
    </cfRule>
    <cfRule type="expression" dxfId="355" priority="192">
      <formula>E250="G"</formula>
    </cfRule>
    <cfRule type="expression" dxfId="354" priority="191">
      <formula>E250="E"</formula>
    </cfRule>
  </conditionalFormatting>
  <conditionalFormatting sqref="H256">
    <cfRule type="expression" dxfId="353" priority="185">
      <formula>E256="E"</formula>
    </cfRule>
    <cfRule type="expression" dxfId="352" priority="184">
      <formula>E256="P"</formula>
    </cfRule>
    <cfRule type="expression" dxfId="351" priority="186">
      <formula>E256="G"</formula>
    </cfRule>
  </conditionalFormatting>
  <conditionalFormatting sqref="H262">
    <cfRule type="expression" dxfId="350" priority="180">
      <formula>E262="G"</formula>
    </cfRule>
    <cfRule type="expression" dxfId="349" priority="179">
      <formula>E262="E"</formula>
    </cfRule>
    <cfRule type="expression" dxfId="348" priority="178">
      <formula>E262="P"</formula>
    </cfRule>
  </conditionalFormatting>
  <conditionalFormatting sqref="H268">
    <cfRule type="expression" dxfId="347" priority="174">
      <formula>E268="G"</formula>
    </cfRule>
    <cfRule type="expression" dxfId="346" priority="173">
      <formula>E268="E"</formula>
    </cfRule>
    <cfRule type="expression" dxfId="345" priority="172">
      <formula>E268="P"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1">
      <formula>E280="E"</formula>
    </cfRule>
    <cfRule type="expression" dxfId="340" priority="162">
      <formula>E280="G"</formula>
    </cfRule>
    <cfRule type="expression" dxfId="339" priority="160">
      <formula>E280="P"</formula>
    </cfRule>
  </conditionalFormatting>
  <conditionalFormatting sqref="H286">
    <cfRule type="expression" dxfId="338" priority="155">
      <formula>E286="E"</formula>
    </cfRule>
    <cfRule type="expression" dxfId="337" priority="154">
      <formula>E286="P"</formula>
    </cfRule>
    <cfRule type="expression" dxfId="336" priority="156">
      <formula>E286="G"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4">
      <formula>E298="G"</formula>
    </cfRule>
    <cfRule type="expression" dxfId="331" priority="143">
      <formula>E298="E"</formula>
    </cfRule>
    <cfRule type="expression" dxfId="330" priority="142">
      <formula>E298="P"</formula>
    </cfRule>
  </conditionalFormatting>
  <conditionalFormatting sqref="H304">
    <cfRule type="expression" dxfId="329" priority="138">
      <formula>E304="G"</formula>
    </cfRule>
    <cfRule type="expression" dxfId="328" priority="136">
      <formula>E304="P"</formula>
    </cfRule>
    <cfRule type="expression" dxfId="327" priority="137">
      <formula>E304="E"</formula>
    </cfRule>
  </conditionalFormatting>
  <conditionalFormatting sqref="H310">
    <cfRule type="expression" dxfId="326" priority="130">
      <formula>E310="P"</formula>
    </cfRule>
    <cfRule type="expression" dxfId="325" priority="132">
      <formula>E310="G"</formula>
    </cfRule>
    <cfRule type="expression" dxfId="324" priority="131">
      <formula>E310="E"</formula>
    </cfRule>
  </conditionalFormatting>
  <conditionalFormatting sqref="H316">
    <cfRule type="expression" dxfId="323" priority="126">
      <formula>E316="G"</formula>
    </cfRule>
    <cfRule type="expression" dxfId="322" priority="125">
      <formula>E316="E"</formula>
    </cfRule>
    <cfRule type="expression" dxfId="321" priority="124">
      <formula>E316="P"</formula>
    </cfRule>
  </conditionalFormatting>
  <conditionalFormatting sqref="H322">
    <cfRule type="expression" dxfId="320" priority="118">
      <formula>E322="P"</formula>
    </cfRule>
    <cfRule type="expression" dxfId="319" priority="119">
      <formula>E322="E"</formula>
    </cfRule>
    <cfRule type="expression" dxfId="318" priority="120">
      <formula>E322="G"</formula>
    </cfRule>
  </conditionalFormatting>
  <conditionalFormatting sqref="H328">
    <cfRule type="expression" dxfId="317" priority="113">
      <formula>E328="E"</formula>
    </cfRule>
    <cfRule type="expression" dxfId="316" priority="114">
      <formula>E328="G"</formula>
    </cfRule>
    <cfRule type="expression" dxfId="315" priority="112">
      <formula>E328="P"</formula>
    </cfRule>
  </conditionalFormatting>
  <conditionalFormatting sqref="H334">
    <cfRule type="expression" dxfId="314" priority="107">
      <formula>E334="E"</formula>
    </cfRule>
    <cfRule type="expression" dxfId="313" priority="106">
      <formula>E334="P"</formula>
    </cfRule>
    <cfRule type="expression" dxfId="312" priority="108">
      <formula>E334="G"</formula>
    </cfRule>
  </conditionalFormatting>
  <conditionalFormatting sqref="H340">
    <cfRule type="expression" dxfId="311" priority="102">
      <formula>E340="G"</formula>
    </cfRule>
    <cfRule type="expression" dxfId="310" priority="101">
      <formula>E340="E"</formula>
    </cfRule>
    <cfRule type="expression" dxfId="309" priority="100">
      <formula>E340="P"</formula>
    </cfRule>
  </conditionalFormatting>
  <conditionalFormatting sqref="H346">
    <cfRule type="expression" dxfId="308" priority="95">
      <formula>E346="E"</formula>
    </cfRule>
    <cfRule type="expression" dxfId="307" priority="96">
      <formula>E346="G"</formula>
    </cfRule>
    <cfRule type="expression" dxfId="306" priority="94">
      <formula>E346="P"</formula>
    </cfRule>
  </conditionalFormatting>
  <conditionalFormatting sqref="H352">
    <cfRule type="expression" dxfId="305" priority="89">
      <formula>E352="E"</formula>
    </cfRule>
    <cfRule type="expression" dxfId="304" priority="88">
      <formula>E352="P"</formula>
    </cfRule>
    <cfRule type="expression" dxfId="303" priority="90">
      <formula>E352="G"</formula>
    </cfRule>
  </conditionalFormatting>
  <conditionalFormatting sqref="H358">
    <cfRule type="expression" dxfId="302" priority="84">
      <formula>E358="G"</formula>
    </cfRule>
    <cfRule type="expression" dxfId="301" priority="83">
      <formula>E358="E"</formula>
    </cfRule>
    <cfRule type="expression" dxfId="300" priority="82">
      <formula>E358="P"</formula>
    </cfRule>
  </conditionalFormatting>
  <conditionalFormatting sqref="H364">
    <cfRule type="expression" dxfId="299" priority="78">
      <formula>E364="G"</formula>
    </cfRule>
    <cfRule type="expression" dxfId="298" priority="76">
      <formula>E364="P"</formula>
    </cfRule>
    <cfRule type="expression" dxfId="297" priority="77">
      <formula>E364="E"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5">
      <formula>E376="E"</formula>
    </cfRule>
    <cfRule type="expression" dxfId="292" priority="66">
      <formula>E376="G"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59">
      <formula>E382="E"</formula>
    </cfRule>
    <cfRule type="expression" dxfId="288" priority="60">
      <formula>E382="G"</formula>
    </cfRule>
  </conditionalFormatting>
  <conditionalFormatting sqref="H388">
    <cfRule type="expression" dxfId="287" priority="54">
      <formula>E388="G"</formula>
    </cfRule>
    <cfRule type="expression" dxfId="286" priority="52">
      <formula>E388="P"</formula>
    </cfRule>
    <cfRule type="expression" dxfId="285" priority="53">
      <formula>E388="E"</formula>
    </cfRule>
  </conditionalFormatting>
  <conditionalFormatting sqref="H394">
    <cfRule type="expression" dxfId="284" priority="48">
      <formula>E394="G"</formula>
    </cfRule>
    <cfRule type="expression" dxfId="283" priority="46">
      <formula>E394="P"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6">
      <formula>E406="G"</formula>
    </cfRule>
    <cfRule type="expression" dxfId="276" priority="35">
      <formula>E406="E"</formula>
    </cfRule>
  </conditionalFormatting>
  <conditionalFormatting sqref="H412">
    <cfRule type="expression" dxfId="275" priority="28">
      <formula>E412="P"</formula>
    </cfRule>
    <cfRule type="expression" dxfId="274" priority="30">
      <formula>E412="G"</formula>
    </cfRule>
    <cfRule type="expression" dxfId="273" priority="29">
      <formula>E412="E"</formula>
    </cfRule>
  </conditionalFormatting>
  <conditionalFormatting sqref="H418">
    <cfRule type="expression" dxfId="272" priority="22">
      <formula>E418="P"</formula>
    </cfRule>
    <cfRule type="expression" dxfId="271" priority="23">
      <formula>E418="E"</formula>
    </cfRule>
    <cfRule type="expression" dxfId="270" priority="24">
      <formula>E418="G"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1">
      <formula>E430="E"</formula>
    </cfRule>
    <cfRule type="expression" dxfId="264" priority="12">
      <formula>E430="G"</formula>
    </cfRule>
  </conditionalFormatting>
  <conditionalFormatting sqref="H436">
    <cfRule type="expression" dxfId="263" priority="4">
      <formula>E436="P"</formula>
    </cfRule>
    <cfRule type="expression" dxfId="262" priority="5">
      <formula>E436="E"</formula>
    </cfRule>
    <cfRule type="expression" dxfId="261" priority="6">
      <formula>E436="G"</formula>
    </cfRule>
  </conditionalFormatting>
  <conditionalFormatting sqref="K10">
    <cfRule type="expression" dxfId="260" priority="421">
      <formula>H10="P"</formula>
    </cfRule>
    <cfRule type="expression" dxfId="259" priority="422">
      <formula>H10="E"</formula>
    </cfRule>
    <cfRule type="expression" dxfId="258" priority="423">
      <formula>H10="G"</formula>
    </cfRule>
  </conditionalFormatting>
  <conditionalFormatting sqref="K22">
    <cfRule type="expression" dxfId="257" priority="415">
      <formula>H22="P"</formula>
    </cfRule>
    <cfRule type="expression" dxfId="256" priority="416">
      <formula>H22="E"</formula>
    </cfRule>
    <cfRule type="expression" dxfId="255" priority="417">
      <formula>H22="G"</formula>
    </cfRule>
  </conditionalFormatting>
  <conditionalFormatting sqref="K28">
    <cfRule type="expression" dxfId="254" priority="409">
      <formula>H28="P"</formula>
    </cfRule>
    <cfRule type="expression" dxfId="253" priority="411">
      <formula>H28="G"</formula>
    </cfRule>
    <cfRule type="expression" dxfId="252" priority="410">
      <formula>H28="E"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7">
      <formula>H40="P"</formula>
    </cfRule>
    <cfRule type="expression" dxfId="247" priority="399">
      <formula>H40="G"</formula>
    </cfRule>
    <cfRule type="expression" dxfId="246" priority="398">
      <formula>H40="E"</formula>
    </cfRule>
  </conditionalFormatting>
  <conditionalFormatting sqref="K46">
    <cfRule type="expression" dxfId="245" priority="392">
      <formula>H46="E"</formula>
    </cfRule>
    <cfRule type="expression" dxfId="244" priority="393">
      <formula>H46="G"</formula>
    </cfRule>
    <cfRule type="expression" dxfId="243" priority="391">
      <formula>H46="P"</formula>
    </cfRule>
  </conditionalFormatting>
  <conditionalFormatting sqref="K52">
    <cfRule type="expression" dxfId="242" priority="385">
      <formula>H52="P"</formula>
    </cfRule>
    <cfRule type="expression" dxfId="241" priority="386">
      <formula>H52="E"</formula>
    </cfRule>
    <cfRule type="expression" dxfId="240" priority="387">
      <formula>H52="G"</formula>
    </cfRule>
  </conditionalFormatting>
  <conditionalFormatting sqref="K58">
    <cfRule type="expression" dxfId="239" priority="381">
      <formula>H58="G"</formula>
    </cfRule>
    <cfRule type="expression" dxfId="238" priority="380">
      <formula>H58="E"</formula>
    </cfRule>
    <cfRule type="expression" dxfId="237" priority="379">
      <formula>H58="P"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8">
      <formula>H70="E"</formula>
    </cfRule>
    <cfRule type="expression" dxfId="232" priority="367">
      <formula>H70="P"</formula>
    </cfRule>
    <cfRule type="expression" dxfId="231" priority="369">
      <formula>H70="G"</formula>
    </cfRule>
  </conditionalFormatting>
  <conditionalFormatting sqref="K76">
    <cfRule type="expression" dxfId="230" priority="361">
      <formula>H76="P"</formula>
    </cfRule>
    <cfRule type="expression" dxfId="229" priority="362">
      <formula>H76="E"</formula>
    </cfRule>
    <cfRule type="expression" dxfId="228" priority="363">
      <formula>H76="G"</formula>
    </cfRule>
  </conditionalFormatting>
  <conditionalFormatting sqref="K82">
    <cfRule type="expression" dxfId="227" priority="356">
      <formula>H82="E"</formula>
    </cfRule>
    <cfRule type="expression" dxfId="226" priority="355">
      <formula>H82="P"</formula>
    </cfRule>
    <cfRule type="expression" dxfId="225" priority="357">
      <formula>H82="G"</formula>
    </cfRule>
  </conditionalFormatting>
  <conditionalFormatting sqref="K88">
    <cfRule type="expression" dxfId="224" priority="350">
      <formula>H88="E"</formula>
    </cfRule>
    <cfRule type="expression" dxfId="223" priority="349">
      <formula>H88="P"</formula>
    </cfRule>
    <cfRule type="expression" dxfId="222" priority="351">
      <formula>H88="G"</formula>
    </cfRule>
  </conditionalFormatting>
  <conditionalFormatting sqref="K94">
    <cfRule type="expression" dxfId="221" priority="344">
      <formula>H94="E"</formula>
    </cfRule>
    <cfRule type="expression" dxfId="220" priority="343">
      <formula>H94="P"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9">
      <formula>H100="G"</formula>
    </cfRule>
    <cfRule type="expression" dxfId="216" priority="338">
      <formula>H100="E"</formula>
    </cfRule>
  </conditionalFormatting>
  <conditionalFormatting sqref="K106">
    <cfRule type="expression" dxfId="215" priority="332">
      <formula>H106="E"</formula>
    </cfRule>
    <cfRule type="expression" dxfId="214" priority="333">
      <formula>H106="G"</formula>
    </cfRule>
    <cfRule type="expression" dxfId="213" priority="331">
      <formula>H106="P"</formula>
    </cfRule>
  </conditionalFormatting>
  <conditionalFormatting sqref="K112">
    <cfRule type="expression" dxfId="212" priority="325">
      <formula>H112="P"</formula>
    </cfRule>
    <cfRule type="expression" dxfId="211" priority="327">
      <formula>H112="G"</formula>
    </cfRule>
    <cfRule type="expression" dxfId="210" priority="326">
      <formula>H112="E"</formula>
    </cfRule>
  </conditionalFormatting>
  <conditionalFormatting sqref="K118">
    <cfRule type="expression" dxfId="209" priority="321">
      <formula>H118="G"</formula>
    </cfRule>
    <cfRule type="expression" dxfId="208" priority="319">
      <formula>H118="P"</formula>
    </cfRule>
    <cfRule type="expression" dxfId="207" priority="320">
      <formula>H118="E"</formula>
    </cfRule>
  </conditionalFormatting>
  <conditionalFormatting sqref="K124">
    <cfRule type="expression" dxfId="206" priority="315">
      <formula>H124="G"</formula>
    </cfRule>
    <cfRule type="expression" dxfId="205" priority="313">
      <formula>H124="P"</formula>
    </cfRule>
    <cfRule type="expression" dxfId="204" priority="314">
      <formula>H124="E"</formula>
    </cfRule>
  </conditionalFormatting>
  <conditionalFormatting sqref="K130">
    <cfRule type="expression" dxfId="203" priority="307">
      <formula>H130="P"</formula>
    </cfRule>
    <cfRule type="expression" dxfId="202" priority="308">
      <formula>H130="E"</formula>
    </cfRule>
    <cfRule type="expression" dxfId="201" priority="309">
      <formula>H130="G"</formula>
    </cfRule>
  </conditionalFormatting>
  <conditionalFormatting sqref="K136">
    <cfRule type="expression" dxfId="200" priority="302">
      <formula>H136="E"</formula>
    </cfRule>
    <cfRule type="expression" dxfId="199" priority="301">
      <formula>H136="P"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91">
      <formula>H148="G"</formula>
    </cfRule>
    <cfRule type="expression" dxfId="193" priority="290">
      <formula>H148="E"</formula>
    </cfRule>
    <cfRule type="expression" dxfId="192" priority="289">
      <formula>H148="P"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9">
      <formula>H160="G"</formula>
    </cfRule>
    <cfRule type="expression" dxfId="186" priority="278">
      <formula>H160="E"</formula>
    </cfRule>
  </conditionalFormatting>
  <conditionalFormatting sqref="K166">
    <cfRule type="expression" dxfId="185" priority="273">
      <formula>H166="G"</formula>
    </cfRule>
    <cfRule type="expression" dxfId="184" priority="271">
      <formula>H166="P"</formula>
    </cfRule>
    <cfRule type="expression" dxfId="183" priority="272">
      <formula>H166="E"</formula>
    </cfRule>
  </conditionalFormatting>
  <conditionalFormatting sqref="K172">
    <cfRule type="expression" dxfId="182" priority="265">
      <formula>H172="P"</formula>
    </cfRule>
    <cfRule type="expression" dxfId="181" priority="266">
      <formula>H172="E"</formula>
    </cfRule>
    <cfRule type="expression" dxfId="180" priority="267">
      <formula>H172="G"</formula>
    </cfRule>
  </conditionalFormatting>
  <conditionalFormatting sqref="K178">
    <cfRule type="expression" dxfId="179" priority="259">
      <formula>H178="P"</formula>
    </cfRule>
    <cfRule type="expression" dxfId="178" priority="260">
      <formula>H178="E"</formula>
    </cfRule>
    <cfRule type="expression" dxfId="177" priority="261">
      <formula>H178="G"</formula>
    </cfRule>
  </conditionalFormatting>
  <conditionalFormatting sqref="K184">
    <cfRule type="expression" dxfId="176" priority="253">
      <formula>H184="P"</formula>
    </cfRule>
    <cfRule type="expression" dxfId="175" priority="254">
      <formula>H184="E"</formula>
    </cfRule>
    <cfRule type="expression" dxfId="174" priority="255">
      <formula>H184="G"</formula>
    </cfRule>
  </conditionalFormatting>
  <conditionalFormatting sqref="K190">
    <cfRule type="expression" dxfId="173" priority="248">
      <formula>H190="E"</formula>
    </cfRule>
    <cfRule type="expression" dxfId="172" priority="247">
      <formula>H190="P"</formula>
    </cfRule>
    <cfRule type="expression" dxfId="171" priority="249">
      <formula>H190="G"</formula>
    </cfRule>
  </conditionalFormatting>
  <conditionalFormatting sqref="K196">
    <cfRule type="expression" dxfId="170" priority="242">
      <formula>H196="E"</formula>
    </cfRule>
    <cfRule type="expression" dxfId="169" priority="243">
      <formula>H196="G"</formula>
    </cfRule>
    <cfRule type="expression" dxfId="168" priority="241">
      <formula>H196="P"</formula>
    </cfRule>
  </conditionalFormatting>
  <conditionalFormatting sqref="K202">
    <cfRule type="expression" dxfId="167" priority="237">
      <formula>H202="G"</formula>
    </cfRule>
    <cfRule type="expression" dxfId="166" priority="235">
      <formula>H202="P"</formula>
    </cfRule>
    <cfRule type="expression" dxfId="165" priority="236">
      <formula>H202="E"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7">
      <formula>H220="P"</formula>
    </cfRule>
    <cfRule type="expression" dxfId="156" priority="218">
      <formula>H220="E"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6">
      <formula>H232="E"</formula>
    </cfRule>
    <cfRule type="expression" dxfId="151" priority="207">
      <formula>H232="G"</formula>
    </cfRule>
    <cfRule type="expression" dxfId="150" priority="205">
      <formula>H232="P"</formula>
    </cfRule>
  </conditionalFormatting>
  <conditionalFormatting sqref="K238">
    <cfRule type="expression" dxfId="149" priority="201">
      <formula>H238="G"</formula>
    </cfRule>
    <cfRule type="expression" dxfId="148" priority="200">
      <formula>H238="E"</formula>
    </cfRule>
    <cfRule type="expression" dxfId="147" priority="199">
      <formula>H238="P"</formula>
    </cfRule>
  </conditionalFormatting>
  <conditionalFormatting sqref="K244">
    <cfRule type="expression" dxfId="146" priority="193">
      <formula>H244="P"</formula>
    </cfRule>
    <cfRule type="expression" dxfId="145" priority="195">
      <formula>H244="G"</formula>
    </cfRule>
    <cfRule type="expression" dxfId="144" priority="194">
      <formula>H244="E"</formula>
    </cfRule>
  </conditionalFormatting>
  <conditionalFormatting sqref="K250">
    <cfRule type="expression" dxfId="143" priority="187">
      <formula>H250="P"</formula>
    </cfRule>
    <cfRule type="expression" dxfId="142" priority="189">
      <formula>H250="G"</formula>
    </cfRule>
    <cfRule type="expression" dxfId="141" priority="188">
      <formula>H250="E"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7">
      <formula>H262="G"</formula>
    </cfRule>
    <cfRule type="expression" dxfId="136" priority="176">
      <formula>H262="E"</formula>
    </cfRule>
    <cfRule type="expression" dxfId="135" priority="175">
      <formula>H262="P"</formula>
    </cfRule>
  </conditionalFormatting>
  <conditionalFormatting sqref="K268">
    <cfRule type="expression" dxfId="134" priority="170">
      <formula>H268="E"</formula>
    </cfRule>
    <cfRule type="expression" dxfId="133" priority="169">
      <formula>H268="P"</formula>
    </cfRule>
    <cfRule type="expression" dxfId="132" priority="171">
      <formula>H268="G"</formula>
    </cfRule>
  </conditionalFormatting>
  <conditionalFormatting sqref="K274">
    <cfRule type="expression" dxfId="131" priority="164">
      <formula>H274="E"</formula>
    </cfRule>
    <cfRule type="expression" dxfId="130" priority="163">
      <formula>H274="P"</formula>
    </cfRule>
    <cfRule type="expression" dxfId="129" priority="165">
      <formula>H274="G"</formula>
    </cfRule>
  </conditionalFormatting>
  <conditionalFormatting sqref="K280">
    <cfRule type="expression" dxfId="128" priority="158">
      <formula>H280="E"</formula>
    </cfRule>
    <cfRule type="expression" dxfId="127" priority="159">
      <formula>H280="G"</formula>
    </cfRule>
    <cfRule type="expression" dxfId="126" priority="157">
      <formula>H280="P"</formula>
    </cfRule>
  </conditionalFormatting>
  <conditionalFormatting sqref="K286">
    <cfRule type="expression" dxfId="125" priority="151">
      <formula>H286="P"</formula>
    </cfRule>
    <cfRule type="expression" dxfId="124" priority="153">
      <formula>H286="G"</formula>
    </cfRule>
    <cfRule type="expression" dxfId="123" priority="152">
      <formula>H286="E"</formula>
    </cfRule>
  </conditionalFormatting>
  <conditionalFormatting sqref="K292">
    <cfRule type="expression" dxfId="122" priority="146">
      <formula>H292="E"</formula>
    </cfRule>
    <cfRule type="expression" dxfId="121" priority="147">
      <formula>H292="G"</formula>
    </cfRule>
    <cfRule type="expression" dxfId="120" priority="145">
      <formula>H292="P"</formula>
    </cfRule>
  </conditionalFormatting>
  <conditionalFormatting sqref="K298">
    <cfRule type="expression" dxfId="119" priority="140">
      <formula>H298="E"</formula>
    </cfRule>
    <cfRule type="expression" dxfId="118" priority="139">
      <formula>H298="P"</formula>
    </cfRule>
    <cfRule type="expression" dxfId="117" priority="141">
      <formula>H298="G"</formula>
    </cfRule>
  </conditionalFormatting>
  <conditionalFormatting sqref="K304">
    <cfRule type="expression" dxfId="116" priority="134">
      <formula>H304="E"</formula>
    </cfRule>
    <cfRule type="expression" dxfId="115" priority="133">
      <formula>H304="P"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1">
      <formula>H316="P"</formula>
    </cfRule>
    <cfRule type="expression" dxfId="109" priority="122">
      <formula>H316="E"</formula>
    </cfRule>
    <cfRule type="expression" dxfId="108" priority="123">
      <formula>H316="G"</formula>
    </cfRule>
  </conditionalFormatting>
  <conditionalFormatting sqref="K322">
    <cfRule type="expression" dxfId="107" priority="116">
      <formula>H322="E"</formula>
    </cfRule>
    <cfRule type="expression" dxfId="106" priority="117">
      <formula>H322="G"</formula>
    </cfRule>
    <cfRule type="expression" dxfId="105" priority="115">
      <formula>H322="P"</formula>
    </cfRule>
  </conditionalFormatting>
  <conditionalFormatting sqref="K328">
    <cfRule type="expression" dxfId="104" priority="109">
      <formula>H328="P"</formula>
    </cfRule>
    <cfRule type="expression" dxfId="103" priority="110">
      <formula>H328="E"</formula>
    </cfRule>
    <cfRule type="expression" dxfId="102" priority="111">
      <formula>H328="G"</formula>
    </cfRule>
  </conditionalFormatting>
  <conditionalFormatting sqref="K334">
    <cfRule type="expression" dxfId="101" priority="103">
      <formula>H334="P"</formula>
    </cfRule>
    <cfRule type="expression" dxfId="100" priority="104">
      <formula>H334="E"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7">
      <formula>H352="G"</formula>
    </cfRule>
    <cfRule type="expression" dxfId="90" priority="85">
      <formula>H352="P"</formula>
    </cfRule>
  </conditionalFormatting>
  <conditionalFormatting sqref="K358">
    <cfRule type="expression" dxfId="89" priority="81">
      <formula>H358="G"</formula>
    </cfRule>
    <cfRule type="expression" dxfId="88" priority="79">
      <formula>H358="P"</formula>
    </cfRule>
    <cfRule type="expression" dxfId="87" priority="80">
      <formula>H358="E"</formula>
    </cfRule>
  </conditionalFormatting>
  <conditionalFormatting sqref="K364">
    <cfRule type="expression" dxfId="86" priority="74">
      <formula>H364="E"</formula>
    </cfRule>
    <cfRule type="expression" dxfId="85" priority="73">
      <formula>H364="P"</formula>
    </cfRule>
    <cfRule type="expression" dxfId="84" priority="75">
      <formula>H364="G"</formula>
    </cfRule>
  </conditionalFormatting>
  <conditionalFormatting sqref="K370">
    <cfRule type="expression" dxfId="83" priority="67">
      <formula>H370="P"</formula>
    </cfRule>
    <cfRule type="expression" dxfId="82" priority="68">
      <formula>H370="E"</formula>
    </cfRule>
    <cfRule type="expression" dxfId="81" priority="69">
      <formula>H370="G"</formula>
    </cfRule>
  </conditionalFormatting>
  <conditionalFormatting sqref="K376">
    <cfRule type="expression" dxfId="80" priority="61">
      <formula>H376="P"</formula>
    </cfRule>
    <cfRule type="expression" dxfId="79" priority="63">
      <formula>H376="G"</formula>
    </cfRule>
    <cfRule type="expression" dxfId="78" priority="62">
      <formula>H376="E"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50">
      <formula>H388="E"</formula>
    </cfRule>
    <cfRule type="expression" dxfId="73" priority="51">
      <formula>H388="G"</formula>
    </cfRule>
    <cfRule type="expression" dxfId="72" priority="49">
      <formula>H388="P"</formula>
    </cfRule>
  </conditionalFormatting>
  <conditionalFormatting sqref="K394">
    <cfRule type="expression" dxfId="71" priority="45">
      <formula>H394="G"</formula>
    </cfRule>
    <cfRule type="expression" dxfId="70" priority="44">
      <formula>H394="E"</formula>
    </cfRule>
    <cfRule type="expression" dxfId="69" priority="43">
      <formula>H394="P"</formula>
    </cfRule>
  </conditionalFormatting>
  <conditionalFormatting sqref="K400">
    <cfRule type="expression" dxfId="68" priority="39">
      <formula>H400="G"</formula>
    </cfRule>
    <cfRule type="expression" dxfId="67" priority="38">
      <formula>H400="E"</formula>
    </cfRule>
    <cfRule type="expression" dxfId="66" priority="37">
      <formula>H400="P"</formula>
    </cfRule>
  </conditionalFormatting>
  <conditionalFormatting sqref="K406">
    <cfRule type="expression" dxfId="65" priority="33">
      <formula>H406="G"</formula>
    </cfRule>
    <cfRule type="expression" dxfId="64" priority="32">
      <formula>H406="E"</formula>
    </cfRule>
    <cfRule type="expression" dxfId="63" priority="31">
      <formula>H406="P"</formula>
    </cfRule>
  </conditionalFormatting>
  <conditionalFormatting sqref="K412">
    <cfRule type="expression" dxfId="62" priority="26">
      <formula>H412="E"</formula>
    </cfRule>
    <cfRule type="expression" dxfId="61" priority="25">
      <formula>H412="P"</formula>
    </cfRule>
    <cfRule type="expression" dxfId="60" priority="27">
      <formula>H412="G"</formula>
    </cfRule>
  </conditionalFormatting>
  <conditionalFormatting sqref="K418">
    <cfRule type="expression" dxfId="59" priority="21">
      <formula>H418="G"</formula>
    </cfRule>
    <cfRule type="expression" dxfId="58" priority="20">
      <formula>H418="E"</formula>
    </cfRule>
    <cfRule type="expression" dxfId="57" priority="19">
      <formula>H418="P"</formula>
    </cfRule>
  </conditionalFormatting>
  <conditionalFormatting sqref="K424">
    <cfRule type="expression" dxfId="56" priority="15">
      <formula>H424="G"</formula>
    </cfRule>
    <cfRule type="expression" dxfId="55" priority="14">
      <formula>H424="E"</formula>
    </cfRule>
    <cfRule type="expression" dxfId="54" priority="13">
      <formula>H424="P"</formula>
    </cfRule>
  </conditionalFormatting>
  <conditionalFormatting sqref="K430">
    <cfRule type="expression" dxfId="53" priority="9">
      <formula>H430="G"</formula>
    </cfRule>
    <cfRule type="expression" dxfId="52" priority="8">
      <formula>H430="E"</formula>
    </cfRule>
    <cfRule type="expression" dxfId="51" priority="7">
      <formula>H430="P"</formula>
    </cfRule>
  </conditionalFormatting>
  <conditionalFormatting sqref="K436">
    <cfRule type="expression" dxfId="50" priority="1">
      <formula>H436="P"</formula>
    </cfRule>
    <cfRule type="expression" dxfId="49" priority="3">
      <formula>H436="G"</formula>
    </cfRule>
    <cfRule type="expression" dxfId="48" priority="2">
      <formula>H436="E"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546875" hidden="1" customWidth="1"/>
    <col min="58" max="58" width="2" hidden="1" customWidth="1"/>
    <col min="59" max="59" width="8.5546875" hidden="1" customWidth="1"/>
    <col min="60" max="60" width="4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1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3">
      <c r="BB4" s="4"/>
      <c r="BC4" s="4"/>
      <c r="BD4" s="4"/>
    </row>
    <row r="5" spans="1:60" ht="18" customHeight="1" x14ac:dyDescent="0.3">
      <c r="B5" s="25" t="s">
        <v>61</v>
      </c>
      <c r="BB5" s="4"/>
      <c r="BC5" s="4"/>
      <c r="BD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</v>
      </c>
      <c r="B8" s="232">
        <v>1</v>
      </c>
      <c r="C8" s="235">
        <f>VLOOKUP(A8,tDatos[],IF(UTCElegido="",3,12),0)</f>
        <v>46184</v>
      </c>
      <c r="D8" s="231">
        <f>VLOOKUP(A8,tDatos[],IF(UTCElegido="",4,12),0)</f>
        <v>0.625</v>
      </c>
      <c r="E8" s="18"/>
      <c r="F8" s="233" t="str">
        <f>VLOOKUP(A8,tDatos[],5,0)</f>
        <v>MÉXICO</v>
      </c>
      <c r="G8" s="223" t="str">
        <f>IF(OR(I8="",K8=""),"",IF(I8=K8,"E",IF(I8&gt;K8,"G","P")))</f>
        <v>G</v>
      </c>
      <c r="H8" s="20"/>
      <c r="I8" s="277">
        <v>2</v>
      </c>
      <c r="J8" s="279" t="s">
        <v>0</v>
      </c>
      <c r="K8" s="277">
        <v>1</v>
      </c>
      <c r="L8" s="223" t="str">
        <f>IF(OR(K8="",I8=""),"",IF(K8=I8,"E",IF(K8&gt;I8,"G","P")))</f>
        <v>P</v>
      </c>
      <c r="M8" s="19"/>
      <c r="N8" s="224" t="str">
        <f>VLOOKUP(A8,tDatos[],6,0)</f>
        <v>SUDÁFRICA</v>
      </c>
      <c r="O8" s="18"/>
      <c r="P8" s="225" t="str">
        <f>VLOOKUP(A8,tDatos[],9,0)</f>
        <v>Ciudad de México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MÉXICOSUDÁFRICA</v>
      </c>
      <c r="AS8" s="148" t="str">
        <f>IF(I8&gt;K8,F8,IF(K8&gt;I8,N8,""))</f>
        <v>MÉXICO</v>
      </c>
      <c r="AT8" s="149">
        <f>I8</f>
        <v>2</v>
      </c>
      <c r="AU8" s="149">
        <f>K8</f>
        <v>1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78"/>
      <c r="J9" s="279"/>
      <c r="K9" s="278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SUDÁFRICAMÉXICO</v>
      </c>
      <c r="AS9" s="148" t="str">
        <f>IF(I8&gt;K8,F8,IF(K8&gt;I8,N8,""))</f>
        <v>MÉXICO</v>
      </c>
      <c r="AT9" s="149">
        <f>K8</f>
        <v>1</v>
      </c>
      <c r="AU9" s="149">
        <f>I8</f>
        <v>2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MÉXICO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4</v>
      </c>
      <c r="AA10" s="253">
        <f>VLOOKUP(1,$AE$10:$AL$29,8,0)</f>
        <v>1</v>
      </c>
      <c r="AB10" s="253">
        <f>Z10-AA10</f>
        <v>3</v>
      </c>
      <c r="AC10" s="257">
        <f>(W10*3)+X10</f>
        <v>9</v>
      </c>
      <c r="AD10" s="243">
        <f>RANK(AO10,$AO$10:$AO$29,0)</f>
        <v>1</v>
      </c>
      <c r="AE10" s="243">
        <f>RANK(AP10,$AP$10:$AP$29,1)</f>
        <v>1</v>
      </c>
      <c r="AF10" s="243" t="str">
        <f>F8</f>
        <v>MÉXICO</v>
      </c>
      <c r="AG10" s="247">
        <f>3-COUNTIF(I32:K32,"")</f>
        <v>3</v>
      </c>
      <c r="AH10" s="243">
        <f>COUNTIF(I32:K32,"G")</f>
        <v>3</v>
      </c>
      <c r="AI10" s="243">
        <f>COUNTIF(I32:K32,"E")</f>
        <v>0</v>
      </c>
      <c r="AJ10" s="243">
        <f>COUNTIF(I32:K32,"P")</f>
        <v>0</v>
      </c>
      <c r="AK10" s="243">
        <f>SUM(I8,I20,K24)</f>
        <v>4</v>
      </c>
      <c r="AL10" s="243">
        <f>SUM(K8,K20,I24)</f>
        <v>1</v>
      </c>
      <c r="AM10" s="243">
        <f>AK10-AL10</f>
        <v>3</v>
      </c>
      <c r="AN10" s="243">
        <f>(AH10*3)+AI10*vcp</f>
        <v>9</v>
      </c>
      <c r="AO10" s="243">
        <f>IF($AO$6&gt;0,AN10*10+3)</f>
        <v>93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MÉXICO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93</v>
      </c>
      <c r="AY10" s="244">
        <f>IF(AND($AO$6&gt;0,$AP$6&gt;0),AN10*10000+AZ10,AO10)</f>
        <v>93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93</v>
      </c>
      <c r="BC10" s="244">
        <f>AX10+BD10+3</f>
        <v>96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93.03</v>
      </c>
      <c r="BF10" s="242">
        <f>RANK(BE10,$BE$10:$BE$29)</f>
        <v>1</v>
      </c>
      <c r="BG10" s="241">
        <f>BE10-0.03</f>
        <v>93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2</v>
      </c>
      <c r="B12" s="232">
        <v>2</v>
      </c>
      <c r="C12" s="235">
        <f>VLOOKUP(A12,tDatos[],IF(UTCElegido="",3,12),0)</f>
        <v>46184</v>
      </c>
      <c r="D12" s="231">
        <f>VLOOKUP(A12,tDatos[],IF(UTCElegido="",4,12),0)</f>
        <v>0.91666666666666663</v>
      </c>
      <c r="E12" s="18"/>
      <c r="F12" s="233" t="str">
        <f>VLOOKUP(A12,tDatos[],5,0)</f>
        <v>COREA del SUR</v>
      </c>
      <c r="G12" s="223" t="str">
        <f>IF(OR(I12="",K12=""),"",IF(I12=K12,"E",IF(I12&gt;K12,"G","P")))</f>
        <v>E</v>
      </c>
      <c r="H12" s="20"/>
      <c r="I12" s="277">
        <v>1</v>
      </c>
      <c r="J12" s="279" t="s">
        <v>0</v>
      </c>
      <c r="K12" s="277">
        <v>1</v>
      </c>
      <c r="L12" s="223" t="str">
        <f>IF(OR(K12="",I12=""),"",IF(K12=I12,"E",IF(K12&gt;I12,"G","P")))</f>
        <v>E</v>
      </c>
      <c r="M12" s="19"/>
      <c r="N12" s="224" t="str">
        <f>VLOOKUP(A12,tDatos[],6,0)</f>
        <v>REP. CHECA</v>
      </c>
      <c r="O12" s="18"/>
      <c r="P12" s="225" t="str">
        <f>VLOOKUP(A12,tDatos[],9,0)</f>
        <v>Guadalajara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COREA del SURREP. CHECA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78"/>
      <c r="J13" s="279"/>
      <c r="K13" s="278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REP. CHECACOREA del SUR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REP. CHECA</v>
      </c>
      <c r="S15" s="266"/>
      <c r="T15" s="266"/>
      <c r="U15" s="267"/>
      <c r="V15" s="274">
        <f>VLOOKUP(2,$AE$10:$AG$29,3,0)</f>
        <v>3</v>
      </c>
      <c r="W15" s="253">
        <f>VLOOKUP(2,$AE$10:$AH$29,4,0)</f>
        <v>1</v>
      </c>
      <c r="X15" s="253">
        <f>VLOOKUP(2,$AE$10:$AI$29,5,0)</f>
        <v>1</v>
      </c>
      <c r="Y15" s="253">
        <f>VLOOKUP(2,$AE$10:$AJ$29,6,0)</f>
        <v>1</v>
      </c>
      <c r="Z15" s="253">
        <f>VLOOKUP(2,$AE$10:$AK$29,7,0)</f>
        <v>2</v>
      </c>
      <c r="AA15" s="253">
        <f>VLOOKUP(2,$AE$10:$AL$29,8,0)</f>
        <v>2</v>
      </c>
      <c r="AB15" s="253">
        <f>Z15-AA15</f>
        <v>0</v>
      </c>
      <c r="AC15" s="257">
        <f>(W15*3)+X15</f>
        <v>4</v>
      </c>
      <c r="AD15" s="243">
        <f>RANK(AO15,$AO$10:$AO$29,0)</f>
        <v>3</v>
      </c>
      <c r="AE15" s="243">
        <f>RANK(AP15,$AP$10:$AP$29,1)</f>
        <v>3</v>
      </c>
      <c r="AF15" s="243" t="str">
        <f>N8</f>
        <v>SUDÁFRICA</v>
      </c>
      <c r="AG15" s="247">
        <f>3-COUNTIF(I33:K33,"")</f>
        <v>3</v>
      </c>
      <c r="AH15" s="243">
        <f>COUNTIF(I33:K33,"G")</f>
        <v>1</v>
      </c>
      <c r="AI15" s="243">
        <f>COUNTIF(I33:K33,"E")</f>
        <v>0</v>
      </c>
      <c r="AJ15" s="243">
        <f>COUNTIF(I33:K33,"P")</f>
        <v>2</v>
      </c>
      <c r="AK15" s="247">
        <f>SUM(K8,K16,I28)</f>
        <v>3</v>
      </c>
      <c r="AL15" s="243">
        <f>SUM(I8,I16,K28)</f>
        <v>3</v>
      </c>
      <c r="AM15" s="243">
        <f>AK15-AL15</f>
        <v>0</v>
      </c>
      <c r="AN15" s="243">
        <f>(AH15*3)+AI15*vcp</f>
        <v>3</v>
      </c>
      <c r="AO15" s="243">
        <f>IF($AO$6&gt;0,AN15*10+2)</f>
        <v>32</v>
      </c>
      <c r="AP15" s="243">
        <f>IF(AF15=$R$38,BF15-100,IF(AF15=$R$37,BF15-200,IF(AF15=$R$36,BF15-300,BF15)))</f>
        <v>-97</v>
      </c>
      <c r="AQ15" s="243" t="str">
        <f>IF(R37="",IF(SUM($V$10:$V$29)&gt;0,VLOOKUP(2,$AE$10:$AF$29,2,0),""),R37)</f>
        <v>REP. CHECA</v>
      </c>
      <c r="AR15" s="151"/>
      <c r="AS15" s="148"/>
      <c r="AT15" s="148"/>
      <c r="AU15" s="148"/>
      <c r="AV15" s="152"/>
      <c r="AW15" s="242">
        <f>RANK(AY15,$AY$10:$AY$29,0)</f>
        <v>3</v>
      </c>
      <c r="AX15" s="244">
        <f>IF(AND($AO$6&gt;0,$AP$6&gt;0),AN15*10000+AZ15,AO15)</f>
        <v>32</v>
      </c>
      <c r="AY15" s="244">
        <f>IF(AND($AO$6&gt;0,$AP$6&gt;0),AN15*10000+AZ15-1,AO15)</f>
        <v>32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3</v>
      </c>
      <c r="BB15" s="242">
        <f>AX15+BD15</f>
        <v>32</v>
      </c>
      <c r="BC15" s="244">
        <f>AX15+BD15+2</f>
        <v>34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32.020000000000003</v>
      </c>
      <c r="BF15" s="242">
        <f>RANK(BE15,$BE$10:$BE$29)</f>
        <v>3</v>
      </c>
      <c r="BG15" s="241">
        <f>BE15-0.02</f>
        <v>32</v>
      </c>
      <c r="BH15" s="241">
        <f>COUNTIF($BG$10:$BG$29,BG15)</f>
        <v>1</v>
      </c>
    </row>
    <row r="16" spans="1:60" ht="7.5" customHeight="1" x14ac:dyDescent="0.3">
      <c r="A16" s="276">
        <v>25</v>
      </c>
      <c r="B16" s="232">
        <v>25</v>
      </c>
      <c r="C16" s="235">
        <f>VLOOKUP(A16,tDatos[],IF(UTCElegido="",3,12),0)</f>
        <v>46191</v>
      </c>
      <c r="D16" s="231">
        <f>VLOOKUP(A16,tDatos[],IF(UTCElegido="",4,12),0)</f>
        <v>0.5</v>
      </c>
      <c r="E16" s="18"/>
      <c r="F16" s="233" t="str">
        <f>VLOOKUP(A16,tDatos[],5,0)</f>
        <v>REP. CHECA</v>
      </c>
      <c r="G16" s="223" t="str">
        <f>IF(OR(I16="",K16=""),"",IF(I16=K16,"E",IF(I16&gt;K16,"G","P")))</f>
        <v>G</v>
      </c>
      <c r="H16" s="20"/>
      <c r="I16" s="277">
        <v>1</v>
      </c>
      <c r="J16" s="279" t="s">
        <v>0</v>
      </c>
      <c r="K16" s="277">
        <v>0</v>
      </c>
      <c r="L16" s="223" t="str">
        <f>IF(OR(K16="",I16=""),"",IF(K16=I16,"E",IF(K16&gt;I16,"G","P")))</f>
        <v>P</v>
      </c>
      <c r="M16" s="19"/>
      <c r="N16" s="224" t="str">
        <f>VLOOKUP(A16,tDatos[],6,0)</f>
        <v>SUDÁFRICA</v>
      </c>
      <c r="O16" s="18"/>
      <c r="P16" s="225" t="str">
        <f>VLOOKUP(A16,tDatos[],9,0)</f>
        <v>Atlanta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REP. CHECASUDÁFRICA</v>
      </c>
      <c r="AS16" s="148" t="str">
        <f>IF(I16&gt;K16,F16,IF(K16&gt;I16,N16,""))</f>
        <v>REP. CHECA</v>
      </c>
      <c r="AT16" s="149">
        <f>I16</f>
        <v>1</v>
      </c>
      <c r="AU16" s="149">
        <f>K16</f>
        <v>0</v>
      </c>
      <c r="AV16" s="149">
        <f>AT16-AU16</f>
        <v>1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78"/>
      <c r="J17" s="279"/>
      <c r="K17" s="278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SUDÁFRICAREP. CHECA</v>
      </c>
      <c r="AS17" s="148" t="str">
        <f>IF(I16&gt;K16,F16,IF(K16&gt;I16,N16,""))</f>
        <v>REP. CHECA</v>
      </c>
      <c r="AT17" s="149">
        <f>K16</f>
        <v>0</v>
      </c>
      <c r="AU17" s="149">
        <f>I16</f>
        <v>1</v>
      </c>
      <c r="AV17" s="149">
        <f>AT17-AU17</f>
        <v>-1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28</v>
      </c>
      <c r="B20" s="232">
        <v>28</v>
      </c>
      <c r="C20" s="235">
        <f>VLOOKUP(A20,tDatos[],IF(UTCElegido="",3,12),0)</f>
        <v>46191</v>
      </c>
      <c r="D20" s="231">
        <f>VLOOKUP(A20,tDatos[],IF(UTCElegido="",4,12),0)</f>
        <v>0.875</v>
      </c>
      <c r="E20" s="18"/>
      <c r="F20" s="233" t="str">
        <f>VLOOKUP(A20,tDatos[],5,0)</f>
        <v>MÉXICO</v>
      </c>
      <c r="G20" s="223" t="str">
        <f>IF(OR(I20="",K20=""),"",IF(I20=K20,"E",IF(I20&gt;K20,"G","P")))</f>
        <v>G</v>
      </c>
      <c r="H20" s="20"/>
      <c r="I20" s="277">
        <v>1</v>
      </c>
      <c r="J20" s="279" t="s">
        <v>0</v>
      </c>
      <c r="K20" s="277">
        <v>0</v>
      </c>
      <c r="L20" s="223" t="str">
        <f>IF(OR(K20="",I20=""),"",IF(K20=I20,"E",IF(K20&gt;I20,"G","P")))</f>
        <v>P</v>
      </c>
      <c r="M20" s="19"/>
      <c r="N20" s="224" t="str">
        <f>VLOOKUP(A20,tDatos[],6,0)</f>
        <v>COREA del SUR</v>
      </c>
      <c r="O20" s="18"/>
      <c r="P20" s="225" t="str">
        <f>VLOOKUP(A20,tDatos[],9,0)</f>
        <v>Guadalajara</v>
      </c>
      <c r="R20" s="287" t="str">
        <f>"  3)  " &amp; VLOOKUP(3,$AE$10:$AF$29,2,0)</f>
        <v xml:space="preserve">  3)  SUDÁFRICA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0</v>
      </c>
      <c r="Y20" s="255">
        <f>VLOOKUP(3,$AE$10:$AJ$29,6,0)</f>
        <v>2</v>
      </c>
      <c r="Z20" s="255">
        <f>VLOOKUP(3,$AE$10:$AK$29,7,0)</f>
        <v>3</v>
      </c>
      <c r="AA20" s="255">
        <f>VLOOKUP(3,$AE$10:$AL$29,8,0)</f>
        <v>3</v>
      </c>
      <c r="AB20" s="283">
        <f>Z20-AA20</f>
        <v>0</v>
      </c>
      <c r="AC20" s="284">
        <f>(W20*3)+X20</f>
        <v>3</v>
      </c>
      <c r="AD20" s="243">
        <f>RANK(AO20,$AO$10:$AO$29,0)</f>
        <v>4</v>
      </c>
      <c r="AE20" s="243">
        <f>RANK(AP20,$AP$10:$AP$29,1)</f>
        <v>4</v>
      </c>
      <c r="AF20" s="243" t="str">
        <f>F12</f>
        <v>COREA del SUR</v>
      </c>
      <c r="AG20" s="247">
        <f>3-COUNTIF(I34:K34,"")</f>
        <v>3</v>
      </c>
      <c r="AH20" s="243">
        <f>COUNTIF(I34:K34,"G")</f>
        <v>0</v>
      </c>
      <c r="AI20" s="243">
        <f>COUNTIF(I34:K34,"E")</f>
        <v>1</v>
      </c>
      <c r="AJ20" s="243">
        <f>COUNTIF(I34:K34,"P")</f>
        <v>2</v>
      </c>
      <c r="AK20" s="247">
        <f>SUM(I12,K20,K28)</f>
        <v>1</v>
      </c>
      <c r="AL20" s="247">
        <f>SUM(K12,I20,I28)</f>
        <v>4</v>
      </c>
      <c r="AM20" s="243">
        <f>AK20-AL20</f>
        <v>-3</v>
      </c>
      <c r="AN20" s="243">
        <f>(AH20*3)+AI20*vcp</f>
        <v>1</v>
      </c>
      <c r="AO20" s="243">
        <f>IF($AO$6&gt;0,AN20*10+1)</f>
        <v>11</v>
      </c>
      <c r="AP20" s="243">
        <f>IF(AF20=$R$38,BF20-100,IF(AF20=$R$37,BF20-200,IF(AF20=$R$36,BF20-300,BF20)))</f>
        <v>4</v>
      </c>
      <c r="AQ20" s="243" t="str">
        <f>IF(R38="",IF(SUM($V$10:$V$29)&gt;0,VLOOKUP(3,$AE$10:$AF$29,2,0),""),R38)</f>
        <v>SUDÁFRICA</v>
      </c>
      <c r="AR20" s="148" t="str">
        <f>F20&amp;N20</f>
        <v>MÉXICOCOREA del SUR</v>
      </c>
      <c r="AS20" s="148" t="str">
        <f>IF(I20&gt;K20,F20,IF(K20&gt;I20,N20,""))</f>
        <v>MÉXICO</v>
      </c>
      <c r="AT20" s="149">
        <f>I20</f>
        <v>1</v>
      </c>
      <c r="AU20" s="149">
        <f>K20</f>
        <v>0</v>
      </c>
      <c r="AV20" s="149">
        <f>AT20-AU20</f>
        <v>1</v>
      </c>
      <c r="AW20" s="242">
        <f>RANK(AY20,$AY$10:$AY$29,0)</f>
        <v>4</v>
      </c>
      <c r="AX20" s="244">
        <f>IF(AND($AO$6&gt;0,$AP$6&gt;0),AN20*10000+AZ20,AO20)</f>
        <v>11</v>
      </c>
      <c r="AY20" s="244">
        <f>IF(AND($AO$6&gt;0,$AP$6&gt;0),AN20*10000+AZ20-2,AO20)</f>
        <v>11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4</v>
      </c>
      <c r="BB20" s="242">
        <f>AX20+BD20</f>
        <v>11</v>
      </c>
      <c r="BC20" s="244">
        <f>AX20+BD20+1</f>
        <v>12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11.01</v>
      </c>
      <c r="BF20" s="242">
        <f>RANK(BE20,$BE$10:$BE$29)</f>
        <v>4</v>
      </c>
      <c r="BG20" s="241">
        <f>BE20-0.01</f>
        <v>11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78"/>
      <c r="J21" s="279"/>
      <c r="K21" s="278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COREA del SURMÉXICO</v>
      </c>
      <c r="AS21" s="148" t="str">
        <f>IF(I20&gt;K20,F20,IF(K20&gt;I20,N20,""))</f>
        <v>MÉXICO</v>
      </c>
      <c r="AT21" s="149">
        <f>K20</f>
        <v>0</v>
      </c>
      <c r="AU21" s="149">
        <f>I20</f>
        <v>1</v>
      </c>
      <c r="AV21" s="149">
        <f>AT21-AU21</f>
        <v>-1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53</v>
      </c>
      <c r="B24" s="232">
        <v>53</v>
      </c>
      <c r="C24" s="235">
        <f>VLOOKUP(A24,tDatos[],IF(UTCElegido="",3,12),0)</f>
        <v>46197</v>
      </c>
      <c r="D24" s="231">
        <f>VLOOKUP(A24,tDatos[],IF(UTCElegido="",4,12),0)</f>
        <v>0.875</v>
      </c>
      <c r="E24" s="18"/>
      <c r="F24" s="233" t="str">
        <f>VLOOKUP(A24,tDatos[],5,0)</f>
        <v>REP. CHECA</v>
      </c>
      <c r="G24" s="223" t="str">
        <f>IF(OR(I24="",K24=""),"",IF(I24=K24,"E",IF(I24&gt;K24,"G","P")))</f>
        <v>P</v>
      </c>
      <c r="H24" s="20"/>
      <c r="I24" s="277">
        <v>0</v>
      </c>
      <c r="J24" s="279" t="s">
        <v>0</v>
      </c>
      <c r="K24" s="277">
        <v>1</v>
      </c>
      <c r="L24" s="223" t="str">
        <f>IF(OR(K24="",I24=""),"",IF(K24=I24,"E",IF(K24&gt;I24,"G","P")))</f>
        <v>G</v>
      </c>
      <c r="M24" s="19"/>
      <c r="N24" s="224" t="str">
        <f>VLOOKUP(A24,tDatos[],6,0)</f>
        <v>MÉXICO</v>
      </c>
      <c r="O24" s="18"/>
      <c r="P24" s="225" t="str">
        <f>VLOOKUP(A24,tDatos[],9,0)</f>
        <v>Ciudad de México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REP. CHECAMÉXICO</v>
      </c>
      <c r="AS24" s="148" t="str">
        <f>IF(I24&gt;K24,F24,IF(K24&gt;I24,N24,""))</f>
        <v>MÉXICO</v>
      </c>
      <c r="AT24" s="149">
        <f>I24</f>
        <v>0</v>
      </c>
      <c r="AU24" s="149">
        <f>K24</f>
        <v>1</v>
      </c>
      <c r="AV24" s="149">
        <f>AT24-AU24</f>
        <v>-1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78"/>
      <c r="J25" s="279"/>
      <c r="K25" s="278"/>
      <c r="L25" s="223"/>
      <c r="M25" s="19"/>
      <c r="N25" s="224"/>
      <c r="O25" s="18"/>
      <c r="P25" s="225"/>
      <c r="R25" s="287" t="str">
        <f>"  4)  " &amp; VLOOKUP(4,$AE$10:$AF$29,2,0)</f>
        <v xml:space="preserve">  4)  COREA del SUR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1</v>
      </c>
      <c r="Y25" s="255">
        <f>VLOOKUP(4,$AE$10:$AJ$29,6,0)</f>
        <v>2</v>
      </c>
      <c r="Z25" s="255">
        <f>VLOOKUP(4,$AE$10:$AK$29,7,0)</f>
        <v>1</v>
      </c>
      <c r="AA25" s="255">
        <f>VLOOKUP(4,$AE$10:$AL$29,8,0)</f>
        <v>4</v>
      </c>
      <c r="AB25" s="283">
        <f>Z25-AA25</f>
        <v>-3</v>
      </c>
      <c r="AC25" s="284">
        <f>(W25*3)+X25</f>
        <v>1</v>
      </c>
      <c r="AD25" s="243">
        <f>RANK(AO25,$AO$10:$AO$29,0)</f>
        <v>2</v>
      </c>
      <c r="AE25" s="243">
        <f>RANK(AP25,$AP$10:$AP$29,1)</f>
        <v>2</v>
      </c>
      <c r="AF25" s="243" t="str">
        <f>N12</f>
        <v>REP. CHECA</v>
      </c>
      <c r="AG25" s="247">
        <f>3-COUNTIF(I35:K35,"")</f>
        <v>3</v>
      </c>
      <c r="AH25" s="243">
        <f>COUNTIF(I35:K35,"G")</f>
        <v>1</v>
      </c>
      <c r="AI25" s="243">
        <f>COUNTIF(I35:K35,"E")</f>
        <v>1</v>
      </c>
      <c r="AJ25" s="243">
        <f>COUNTIF(I35:K35,"P")</f>
        <v>1</v>
      </c>
      <c r="AK25" s="247">
        <f>SUM(K12,I16,I24)</f>
        <v>2</v>
      </c>
      <c r="AL25" s="247">
        <f>SUM(I12,K16,K24)</f>
        <v>2</v>
      </c>
      <c r="AM25" s="243">
        <f>AK25-AL25</f>
        <v>0</v>
      </c>
      <c r="AN25" s="243">
        <f>(AH25*3)+AI25*vcp</f>
        <v>4</v>
      </c>
      <c r="AO25" s="243">
        <f>IF($AO$6&gt;0,AN25*10)</f>
        <v>40</v>
      </c>
      <c r="AP25" s="243">
        <f>IF(AF25=$R$38,BF25-100,IF(AF25=$R$37,BF25-200,IF(AF25=$R$36,BF25-300,BF25)))</f>
        <v>-198</v>
      </c>
      <c r="AQ25" s="243" t="str">
        <f>IF(SUM($V$10:$V$29)&gt;0,VLOOKUP(4,$AE$10:$AF$29,2,0),"")</f>
        <v>COREA del SUR</v>
      </c>
      <c r="AR25" s="148" t="str">
        <f>N24&amp;F24</f>
        <v>MÉXICOREP. CHECA</v>
      </c>
      <c r="AS25" s="148" t="str">
        <f>IF(I24&gt;K24,F24,IF(K24&gt;I24,N24,""))</f>
        <v>MÉXICO</v>
      </c>
      <c r="AT25" s="149">
        <f>K24</f>
        <v>1</v>
      </c>
      <c r="AU25" s="149">
        <f>I24</f>
        <v>0</v>
      </c>
      <c r="AV25" s="149">
        <f>AT25-AU25</f>
        <v>1</v>
      </c>
      <c r="AW25" s="242">
        <f>RANK(AY25,$AY$10:$AY$29,0)</f>
        <v>2</v>
      </c>
      <c r="AX25" s="244">
        <f>IF(AND($AO$6&gt;0,$AP$6&gt;0),AN25*10000+AZ25,AO25)</f>
        <v>40</v>
      </c>
      <c r="AY25" s="244">
        <f>IF(AND($AO$6&gt;0,$AP$6&gt;0),AN25*10000+AZ25-3,AO25)</f>
        <v>40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2</v>
      </c>
      <c r="BB25" s="242">
        <f>AX25+BD25</f>
        <v>40</v>
      </c>
      <c r="BC25" s="244">
        <f>AX25+BD25</f>
        <v>40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40</v>
      </c>
      <c r="BF25" s="242">
        <f>RANK(BE25,$BE$10:$BE$29)</f>
        <v>2</v>
      </c>
      <c r="BG25" s="241">
        <f>BE25</f>
        <v>40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54</v>
      </c>
      <c r="B28" s="232">
        <v>54</v>
      </c>
      <c r="C28" s="235">
        <f>VLOOKUP(A28,tDatos[],IF(UTCElegido="",3,12),0)</f>
        <v>46197</v>
      </c>
      <c r="D28" s="231">
        <f>VLOOKUP(A28,tDatos[],IF(UTCElegido="",4,12),0)</f>
        <v>0.875</v>
      </c>
      <c r="E28" s="18"/>
      <c r="F28" s="233" t="str">
        <f>VLOOKUP(A28,tDatos[],5,0)</f>
        <v>SUDÁFRICA</v>
      </c>
      <c r="G28" s="223" t="str">
        <f>IF(OR(I28="",K28=""),"",IF(I28=K28,"E",IF(I28&gt;K28,"G","P")))</f>
        <v>G</v>
      </c>
      <c r="H28" s="20"/>
      <c r="I28" s="277">
        <v>2</v>
      </c>
      <c r="J28" s="279" t="s">
        <v>0</v>
      </c>
      <c r="K28" s="277">
        <v>0</v>
      </c>
      <c r="L28" s="223" t="str">
        <f>IF(OR(K28="",I28=""),"",IF(K28=I28,"E",IF(K28&gt;I28,"G","P")))</f>
        <v>P</v>
      </c>
      <c r="M28" s="19"/>
      <c r="N28" s="224" t="str">
        <f>VLOOKUP(A28,tDatos[],6,0)</f>
        <v>COREA del SUR</v>
      </c>
      <c r="O28" s="18"/>
      <c r="P28" s="225" t="str">
        <f>VLOOKUP(A28,tDatos[],9,0)</f>
        <v>Monterrey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SUDÁFRICACOREA del SUR</v>
      </c>
      <c r="AS28" s="148" t="str">
        <f>IF(I28&gt;K28,F28,IF(K28&gt;I28,N28,""))</f>
        <v>SUDÁFRICA</v>
      </c>
      <c r="AT28" s="149">
        <f>I28</f>
        <v>2</v>
      </c>
      <c r="AU28" s="149">
        <f>K28</f>
        <v>0</v>
      </c>
      <c r="AV28" s="149">
        <f>AT28-AU28</f>
        <v>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78"/>
      <c r="J29" s="279"/>
      <c r="K29" s="278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COREA del SURSUDÁFRICA</v>
      </c>
      <c r="AS29" s="148" t="str">
        <f>IF(I28&gt;K28,F28,IF(K28&gt;I28,N28,""))</f>
        <v>SUDÁFRICA</v>
      </c>
      <c r="AT29" s="149">
        <f>K28</f>
        <v>0</v>
      </c>
      <c r="AU29" s="149">
        <f>I28</f>
        <v>2</v>
      </c>
      <c r="AV29" s="149">
        <f>AT29-AU29</f>
        <v>-2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MÉXICO</v>
      </c>
      <c r="I32" t="str">
        <f>G8</f>
        <v>G</v>
      </c>
      <c r="J32" t="str">
        <f>G20</f>
        <v>G</v>
      </c>
      <c r="K32" t="str">
        <f>L24</f>
        <v>G</v>
      </c>
    </row>
    <row r="33" spans="6:21" hidden="1" x14ac:dyDescent="0.3">
      <c r="F33" t="str">
        <f>N8</f>
        <v>SUDÁFRICA</v>
      </c>
      <c r="I33" t="str">
        <f>L8</f>
        <v>P</v>
      </c>
      <c r="J33" t="str">
        <f>L16</f>
        <v>P</v>
      </c>
      <c r="K33" t="str">
        <f>G28</f>
        <v>G</v>
      </c>
    </row>
    <row r="34" spans="6:21" hidden="1" x14ac:dyDescent="0.3">
      <c r="F34" t="str">
        <f>F12</f>
        <v>COREA del SUR</v>
      </c>
      <c r="I34" t="str">
        <f>G12</f>
        <v>E</v>
      </c>
      <c r="J34" t="str">
        <f>L20</f>
        <v>P</v>
      </c>
      <c r="K34" t="str">
        <f>L28</f>
        <v>P</v>
      </c>
    </row>
    <row r="35" spans="6:21" hidden="1" x14ac:dyDescent="0.3">
      <c r="F35" t="str">
        <f>N12</f>
        <v>REP. CHECA</v>
      </c>
      <c r="I35" t="str">
        <f>L12</f>
        <v>E</v>
      </c>
      <c r="J35" t="str">
        <f>G16</f>
        <v>G</v>
      </c>
      <c r="K35" t="str">
        <f>G24</f>
        <v>P</v>
      </c>
    </row>
    <row r="36" spans="6:21" x14ac:dyDescent="0.3">
      <c r="N36" s="157" t="s">
        <v>391</v>
      </c>
      <c r="Q36" s="3" t="s">
        <v>392</v>
      </c>
      <c r="R36" s="250" t="s">
        <v>31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312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193</v>
      </c>
      <c r="S38" s="251"/>
      <c r="T38" s="251"/>
      <c r="U38" s="252"/>
    </row>
  </sheetData>
  <sheetProtection sheet="1" objects="1" scenarios="1"/>
  <mergeCells count="289"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3</v>
      </c>
      <c r="B8" s="232">
        <v>3</v>
      </c>
      <c r="C8" s="235">
        <f>VLOOKUP(A8,tDatos[],IF(UTCElegido="",3,12),0)</f>
        <v>46185</v>
      </c>
      <c r="D8" s="231">
        <f>VLOOKUP(A8,tDatos[],IF(UTCElegido="",4,12),0)</f>
        <v>0.625</v>
      </c>
      <c r="E8" s="18"/>
      <c r="F8" s="233" t="str">
        <f>VLOOKUP(A8,tDatos[],5,0)</f>
        <v>CANADÁ</v>
      </c>
      <c r="G8" s="223" t="str">
        <f>IF(AND(I8&lt;&gt;"",K8&lt;&gt;""),IF(I8=K8,"E",IF(I8&gt;K8,"G","P")),"")</f>
        <v>E</v>
      </c>
      <c r="H8" s="20"/>
      <c r="I8" s="293">
        <v>0</v>
      </c>
      <c r="J8" s="279" t="s">
        <v>0</v>
      </c>
      <c r="K8" s="293">
        <v>0</v>
      </c>
      <c r="L8" s="223" t="str">
        <f>IF(AND(K8&lt;&gt;"",I8&lt;&gt;""),IF(K8=I8,"E",IF(K8&gt;I8,"G","P")),"")</f>
        <v>E</v>
      </c>
      <c r="M8" s="19"/>
      <c r="N8" s="224" t="str">
        <f>VLOOKUP(A8,tDatos[],6,0)</f>
        <v>BOSNIA y HERZEG.</v>
      </c>
      <c r="O8" s="18"/>
      <c r="P8" s="225" t="str">
        <f>VLOOKUP(A8,tDatos[],9,0)</f>
        <v>Toronto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CANADÁBOSNIA y HERZEG.</v>
      </c>
      <c r="AS8" s="148" t="str">
        <f>IF(I8&gt;K8,F8,IF(K8&gt;I8,N8,""))</f>
        <v/>
      </c>
      <c r="AT8" s="149">
        <f>I8</f>
        <v>0</v>
      </c>
      <c r="AU8" s="149">
        <f>K8</f>
        <v>0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BOSNIA y HERZEG.CANADÁ</v>
      </c>
      <c r="AS9" s="148" t="str">
        <f>IF(I8&gt;K8,F8,IF(K8&gt;I8,N8,""))</f>
        <v/>
      </c>
      <c r="AT9" s="149">
        <f>K8</f>
        <v>0</v>
      </c>
      <c r="AU9" s="149">
        <f>I8</f>
        <v>0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SUIZA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8</v>
      </c>
      <c r="AA10" s="253">
        <f>VLOOKUP(1,$AE$10:$AL$29,8,0)</f>
        <v>0</v>
      </c>
      <c r="AB10" s="253">
        <f>Z10-AA10</f>
        <v>8</v>
      </c>
      <c r="AC10" s="257">
        <f>(W10*3)+X10</f>
        <v>9</v>
      </c>
      <c r="AD10" s="243">
        <f>RANK(AO10,$AO$10:$AO$29,0)</f>
        <v>3</v>
      </c>
      <c r="AE10" s="243">
        <f>RANK(AP10,$AP$10:$AP$29,1)</f>
        <v>3</v>
      </c>
      <c r="AF10" s="243" t="str">
        <f>F8</f>
        <v>CANADÁ</v>
      </c>
      <c r="AG10" s="247">
        <f>3-COUNTIF(I32:K32,"")</f>
        <v>3</v>
      </c>
      <c r="AH10" s="243">
        <f>COUNTIF(I32:K32,"G")</f>
        <v>0</v>
      </c>
      <c r="AI10" s="243">
        <f>COUNTIF(I32:K32,"E")</f>
        <v>2</v>
      </c>
      <c r="AJ10" s="243">
        <f>COUNTIF(I32:K32,"P")</f>
        <v>1</v>
      </c>
      <c r="AK10" s="243">
        <f>SUM(I8,I20,K24)</f>
        <v>1</v>
      </c>
      <c r="AL10" s="243">
        <f>SUM(K8,K20,I24)</f>
        <v>4</v>
      </c>
      <c r="AM10" s="243">
        <f>AK10-AL10</f>
        <v>-3</v>
      </c>
      <c r="AN10" s="243">
        <f>(AH10*3)+AI10*vcp</f>
        <v>2</v>
      </c>
      <c r="AO10" s="243">
        <f>IF($AO$6&gt;0,AN10*10+3)</f>
        <v>23</v>
      </c>
      <c r="AP10" s="243">
        <f>IF(AF10=$R$38,BF10-100,IF(AF10=$R$37,BF10-200,IF(AF10=$R$36,BF10-300,BF10)))</f>
        <v>-97</v>
      </c>
      <c r="AQ10" s="243" t="str">
        <f>IF(R36="",IF(SUM($V$10:$V$29)&gt;0,VLOOKUP(1,$AE$10:$AF$29,2,0),""),R36)</f>
        <v>SUIZA</v>
      </c>
      <c r="AR10" s="151"/>
      <c r="AS10" s="148"/>
      <c r="AT10" s="148"/>
      <c r="AU10" s="148"/>
      <c r="AV10" s="152"/>
      <c r="AW10" s="242">
        <f>RANK(AY10,$AY$10:$AY$29,0)</f>
        <v>3</v>
      </c>
      <c r="AX10" s="244">
        <f>IF(AND($AO$6&gt;0,$AP$6&gt;0),AN10*10000+AZ10,AO10)</f>
        <v>23</v>
      </c>
      <c r="AY10" s="244">
        <f>IF(AND($AO$6&gt;0,$AP$6&gt;0),AN10*10000+AZ10,AO10)</f>
        <v>23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3</v>
      </c>
      <c r="BB10" s="242">
        <f>AX10+BD10</f>
        <v>23</v>
      </c>
      <c r="BC10" s="244">
        <f>AX10+BD10+3</f>
        <v>26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23.03</v>
      </c>
      <c r="BF10" s="242">
        <f>RANK(BE10,$BE$10:$BE$29)</f>
        <v>3</v>
      </c>
      <c r="BG10" s="241">
        <f>BE10-0.03</f>
        <v>23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5</v>
      </c>
      <c r="B12" s="232">
        <v>8</v>
      </c>
      <c r="C12" s="235">
        <f>VLOOKUP(A12,tDatos[],IF(UTCElegido="",3,12),0)</f>
        <v>46186</v>
      </c>
      <c r="D12" s="231">
        <f>VLOOKUP(A12,tDatos[],IF(UTCElegido="",4,12),0)</f>
        <v>0.625</v>
      </c>
      <c r="E12" s="18"/>
      <c r="F12" s="233" t="str">
        <f>VLOOKUP(A12,tDatos[],5,0)</f>
        <v>CATAR</v>
      </c>
      <c r="G12" s="223" t="str">
        <f>IF(AND(I12&lt;&gt;"",K12&lt;&gt;""),IF(I12=K12,"E",IF(I12&gt;K12,"G","P")),"")</f>
        <v>P</v>
      </c>
      <c r="H12" s="20"/>
      <c r="I12" s="293">
        <v>0</v>
      </c>
      <c r="J12" s="279" t="s">
        <v>0</v>
      </c>
      <c r="K12" s="293">
        <v>3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SUIZA</v>
      </c>
      <c r="O12" s="18"/>
      <c r="P12" s="225" t="str">
        <f>VLOOKUP(A12,tDatos[],9,0)</f>
        <v>San Francisco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CATARSUIZA</v>
      </c>
      <c r="AS12" s="148" t="str">
        <f>IF(I12&gt;K12,F12,IF(K12&gt;I12,N12,""))</f>
        <v>SUIZA</v>
      </c>
      <c r="AT12" s="149">
        <f>I12</f>
        <v>0</v>
      </c>
      <c r="AU12" s="149">
        <f>K12</f>
        <v>3</v>
      </c>
      <c r="AV12" s="149">
        <f>AT12-AU12</f>
        <v>-3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SUIZACATAR</v>
      </c>
      <c r="AS13" s="148" t="str">
        <f>IF(I12&gt;K12,F12,IF(K12&gt;I12,N12,""))</f>
        <v>SUIZA</v>
      </c>
      <c r="AT13" s="149">
        <f>K12</f>
        <v>3</v>
      </c>
      <c r="AU13" s="149">
        <f>I12</f>
        <v>0</v>
      </c>
      <c r="AV13" s="149">
        <f>AT13-AU13</f>
        <v>3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CATAR</v>
      </c>
      <c r="S15" s="266"/>
      <c r="T15" s="266"/>
      <c r="U15" s="267"/>
      <c r="V15" s="274">
        <f>VLOOKUP(2,$AE$10:$AG$29,3,0)</f>
        <v>3</v>
      </c>
      <c r="W15" s="253">
        <f>VLOOKUP(2,$AE$10:$AH$29,4,0)</f>
        <v>1</v>
      </c>
      <c r="X15" s="253">
        <f>VLOOKUP(2,$AE$10:$AI$29,5,0)</f>
        <v>1</v>
      </c>
      <c r="Y15" s="253">
        <f>VLOOKUP(2,$AE$10:$AJ$29,6,0)</f>
        <v>1</v>
      </c>
      <c r="Z15" s="253">
        <f>VLOOKUP(2,$AE$10:$AK$29,7,0)</f>
        <v>2</v>
      </c>
      <c r="AA15" s="253">
        <f>VLOOKUP(2,$AE$10:$AL$29,8,0)</f>
        <v>4</v>
      </c>
      <c r="AB15" s="253">
        <f>Z15-AA15</f>
        <v>-2</v>
      </c>
      <c r="AC15" s="257">
        <f>(W15*3)+X15</f>
        <v>4</v>
      </c>
      <c r="AD15" s="243">
        <f>RANK(AO15,$AO$10:$AO$29,0)</f>
        <v>4</v>
      </c>
      <c r="AE15" s="243">
        <f>RANK(AP15,$AP$10:$AP$29,1)</f>
        <v>4</v>
      </c>
      <c r="AF15" s="243" t="str">
        <f>N8</f>
        <v>BOSNIA y HERZEG.</v>
      </c>
      <c r="AG15" s="247">
        <f>3-COUNTIF(I33:K33,"")</f>
        <v>3</v>
      </c>
      <c r="AH15" s="243">
        <f>COUNTIF(I33:K33,"G")</f>
        <v>0</v>
      </c>
      <c r="AI15" s="243">
        <f>COUNTIF(I33:K33,"E")</f>
        <v>1</v>
      </c>
      <c r="AJ15" s="243">
        <f>COUNTIF(I33:K33,"P")</f>
        <v>2</v>
      </c>
      <c r="AK15" s="247">
        <f>SUM(K8,K16,I28)</f>
        <v>0</v>
      </c>
      <c r="AL15" s="243">
        <f>SUM(I8,I16,K28)</f>
        <v>3</v>
      </c>
      <c r="AM15" s="243">
        <f>AK15-AL15</f>
        <v>-3</v>
      </c>
      <c r="AN15" s="243">
        <f>(AH15*3)+AI15*vcp</f>
        <v>1</v>
      </c>
      <c r="AO15" s="243">
        <f>IF($AO$6&gt;0,AN15*10+2)</f>
        <v>12</v>
      </c>
      <c r="AP15" s="243">
        <f>IF(AF15=$R$38,BF15-100,IF(AF15=$R$37,BF15-200,IF(AF15=$R$36,BF15-300,BF15)))</f>
        <v>4</v>
      </c>
      <c r="AQ15" s="243" t="str">
        <f>IF(R37="",IF(SUM($V$10:$V$29)&gt;0,VLOOKUP(2,$AE$10:$AF$29,2,0),""),R37)</f>
        <v>CATAR</v>
      </c>
      <c r="AR15" s="151"/>
      <c r="AS15" s="148"/>
      <c r="AT15" s="148"/>
      <c r="AU15" s="148"/>
      <c r="AV15" s="152"/>
      <c r="AW15" s="242">
        <f>RANK(AY15,$AY$10:$AY$29,0)</f>
        <v>4</v>
      </c>
      <c r="AX15" s="244">
        <f>IF(AND($AO$6&gt;0,$AP$6&gt;0),AN15*10000+AZ15,AO15)</f>
        <v>12</v>
      </c>
      <c r="AY15" s="244">
        <f>IF(AND($AO$6&gt;0,$AP$6&gt;0),AN15*10000+AZ15-1,AO15)</f>
        <v>12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4</v>
      </c>
      <c r="BB15" s="242">
        <f>AX15+BD15</f>
        <v>12</v>
      </c>
      <c r="BC15" s="244">
        <f>AX15+BD15+2</f>
        <v>14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12.02</v>
      </c>
      <c r="BF15" s="242">
        <f>RANK(BE15,$BE$10:$BE$29)</f>
        <v>4</v>
      </c>
      <c r="BG15" s="241">
        <f>BE15-0.02</f>
        <v>12</v>
      </c>
      <c r="BH15" s="241">
        <f>COUNTIF($BG$10:$BG$29,BG15)</f>
        <v>1</v>
      </c>
    </row>
    <row r="16" spans="1:60" ht="7.5" customHeight="1" x14ac:dyDescent="0.3">
      <c r="A16" s="276">
        <v>26</v>
      </c>
      <c r="B16" s="232">
        <v>26</v>
      </c>
      <c r="C16" s="235">
        <f>VLOOKUP(A16,tDatos[],IF(UTCElegido="",3,12),0)</f>
        <v>46191</v>
      </c>
      <c r="D16" s="231">
        <f>VLOOKUP(A16,tDatos[],IF(UTCElegido="",4,12),0)</f>
        <v>0.625</v>
      </c>
      <c r="E16" s="18"/>
      <c r="F16" s="233" t="str">
        <f>VLOOKUP(A16,tDatos[],5,0)</f>
        <v>SUIZA</v>
      </c>
      <c r="G16" s="223" t="str">
        <f>IF(AND(I16&lt;&gt;"",K16&lt;&gt;""),IF(I16=K16,"E",IF(I16&gt;K16,"G","P")),"")</f>
        <v>G</v>
      </c>
      <c r="H16" s="20"/>
      <c r="I16" s="293">
        <v>2</v>
      </c>
      <c r="J16" s="279" t="s">
        <v>0</v>
      </c>
      <c r="K16" s="293">
        <v>0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BOSNIA y HERZEG.</v>
      </c>
      <c r="O16" s="18"/>
      <c r="P16" s="225" t="str">
        <f>VLOOKUP(A16,tDatos[],9,0)</f>
        <v>Los Angeles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SUIZABOSNIA y HERZEG.</v>
      </c>
      <c r="AS16" s="148" t="str">
        <f>IF(I16&gt;K16,F16,IF(K16&gt;I16,N16,""))</f>
        <v>SUIZA</v>
      </c>
      <c r="AT16" s="149">
        <f>I16</f>
        <v>2</v>
      </c>
      <c r="AU16" s="149">
        <f>K16</f>
        <v>0</v>
      </c>
      <c r="AV16" s="149">
        <f>AT16-AU16</f>
        <v>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BOSNIA y HERZEG.SUIZA</v>
      </c>
      <c r="AS17" s="148" t="str">
        <f>IF(I16&gt;K16,F16,IF(K16&gt;I16,N16,""))</f>
        <v>SUIZA</v>
      </c>
      <c r="AT17" s="149">
        <f>K16</f>
        <v>0</v>
      </c>
      <c r="AU17" s="149">
        <f>I16</f>
        <v>2</v>
      </c>
      <c r="AV17" s="149">
        <f>AT17-AU17</f>
        <v>-2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27</v>
      </c>
      <c r="B20" s="232">
        <v>27</v>
      </c>
      <c r="C20" s="235">
        <f>VLOOKUP(A20,tDatos[],IF(UTCElegido="",3,12),0)</f>
        <v>46191</v>
      </c>
      <c r="D20" s="231">
        <f>VLOOKUP(A20,tDatos[],IF(UTCElegido="",4,12),0)</f>
        <v>0.75</v>
      </c>
      <c r="E20" s="18"/>
      <c r="F20" s="233" t="str">
        <f>VLOOKUP(A20,tDatos[],5,0)</f>
        <v>CANADÁ</v>
      </c>
      <c r="G20" s="223" t="str">
        <f>IF(AND(I20&lt;&gt;"",K20&lt;&gt;""),IF(I20=K20,"E",IF(I20&gt;K20,"G","P")),"")</f>
        <v>E</v>
      </c>
      <c r="H20" s="20"/>
      <c r="I20" s="293">
        <v>1</v>
      </c>
      <c r="J20" s="279" t="s">
        <v>0</v>
      </c>
      <c r="K20" s="293">
        <v>1</v>
      </c>
      <c r="L20" s="223" t="str">
        <f>IF(AND(K20&lt;&gt;"",I20&lt;&gt;""),IF(K20=I20,"E",IF(K20&gt;I20,"G","P")),"")</f>
        <v>E</v>
      </c>
      <c r="M20" s="19"/>
      <c r="N20" s="224" t="str">
        <f>VLOOKUP(A20,tDatos[],6,0)</f>
        <v>CATAR</v>
      </c>
      <c r="O20" s="18"/>
      <c r="P20" s="225" t="str">
        <f>VLOOKUP(A20,tDatos[],9,0)</f>
        <v>Vancouver</v>
      </c>
      <c r="R20" s="287" t="str">
        <f>"  3)  " &amp; VLOOKUP(3,$AE$10:$AF$29,2,0)</f>
        <v xml:space="preserve">  3)  CANADÁ</v>
      </c>
      <c r="S20" s="288"/>
      <c r="T20" s="288"/>
      <c r="U20" s="288"/>
      <c r="V20" s="254">
        <f>VLOOKUP(3,$AE$10:$AG$29,3,0)</f>
        <v>3</v>
      </c>
      <c r="W20" s="255">
        <f>VLOOKUP(3,$AE$10:$AH$29,4,0)</f>
        <v>0</v>
      </c>
      <c r="X20" s="255">
        <f>VLOOKUP(3,$AE$10:$AI$29,5,0)</f>
        <v>2</v>
      </c>
      <c r="Y20" s="255">
        <f>VLOOKUP(3,$AE$10:$AJ$29,6,0)</f>
        <v>1</v>
      </c>
      <c r="Z20" s="255">
        <f>VLOOKUP(3,$AE$10:$AK$29,7,0)</f>
        <v>1</v>
      </c>
      <c r="AA20" s="255">
        <f>VLOOKUP(3,$AE$10:$AL$29,8,0)</f>
        <v>4</v>
      </c>
      <c r="AB20" s="283">
        <f>Z20-AA20</f>
        <v>-3</v>
      </c>
      <c r="AC20" s="284">
        <f>(W20*3)+X20</f>
        <v>2</v>
      </c>
      <c r="AD20" s="243">
        <f>RANK(AO20,$AO$10:$AO$29,0)</f>
        <v>2</v>
      </c>
      <c r="AE20" s="243">
        <f>RANK(AP20,$AP$10:$AP$29,1)</f>
        <v>2</v>
      </c>
      <c r="AF20" s="243" t="str">
        <f>F12</f>
        <v>CATAR</v>
      </c>
      <c r="AG20" s="247">
        <f>3-COUNTIF(I34:K34,"")</f>
        <v>3</v>
      </c>
      <c r="AH20" s="243">
        <f>COUNTIF(I34:K34,"G")</f>
        <v>1</v>
      </c>
      <c r="AI20" s="243">
        <f>COUNTIF(I34:K34,"E")</f>
        <v>1</v>
      </c>
      <c r="AJ20" s="243">
        <f>COUNTIF(I34:K34,"P")</f>
        <v>1</v>
      </c>
      <c r="AK20" s="247">
        <f>SUM(I12,K20,K28)</f>
        <v>2</v>
      </c>
      <c r="AL20" s="247">
        <f>SUM(K12,I20,I28)</f>
        <v>4</v>
      </c>
      <c r="AM20" s="243">
        <f>AK20-AL20</f>
        <v>-2</v>
      </c>
      <c r="AN20" s="243">
        <f>(AH20*3)+AI20*vcp</f>
        <v>4</v>
      </c>
      <c r="AO20" s="243">
        <f>IF($AO$6&gt;0,AN20*10+1)</f>
        <v>41</v>
      </c>
      <c r="AP20" s="243">
        <f>IF(AF20=$R$38,BF20-100,IF(AF20=$R$37,BF20-200,IF(AF20=$R$36,BF20-300,BF20)))</f>
        <v>-198</v>
      </c>
      <c r="AQ20" s="243" t="str">
        <f>IF(R38="",IF(SUM($V$10:$V$29)&gt;0,VLOOKUP(3,$AE$10:$AF$29,2,0),""),R38)</f>
        <v>CANADÁ</v>
      </c>
      <c r="AR20" s="148" t="str">
        <f>F20&amp;N20</f>
        <v>CANADÁCATAR</v>
      </c>
      <c r="AS20" s="148" t="str">
        <f>IF(I20&gt;K20,F20,IF(K20&gt;I20,N20,""))</f>
        <v/>
      </c>
      <c r="AT20" s="149">
        <f>I20</f>
        <v>1</v>
      </c>
      <c r="AU20" s="149">
        <f>K20</f>
        <v>1</v>
      </c>
      <c r="AV20" s="149">
        <f>AT20-AU20</f>
        <v>0</v>
      </c>
      <c r="AW20" s="242">
        <f>RANK(AY20,$AY$10:$AY$29,0)</f>
        <v>2</v>
      </c>
      <c r="AX20" s="244">
        <f>IF(AND($AO$6&gt;0,$AP$6&gt;0),AN20*10000+AZ20,AO20)</f>
        <v>41</v>
      </c>
      <c r="AY20" s="244">
        <f>IF(AND($AO$6&gt;0,$AP$6&gt;0),AN20*10000+AZ20-2,AO20)</f>
        <v>41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2</v>
      </c>
      <c r="BB20" s="242">
        <f>AX20+BD20</f>
        <v>41</v>
      </c>
      <c r="BC20" s="244">
        <f>AX20+BD20+1</f>
        <v>42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41.01</v>
      </c>
      <c r="BF20" s="242">
        <f>RANK(BE20,$BE$10:$BE$29)</f>
        <v>2</v>
      </c>
      <c r="BG20" s="241">
        <f>BE20-0.01</f>
        <v>41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CATARCANADÁ</v>
      </c>
      <c r="AS21" s="148" t="str">
        <f>IF(I20&gt;K20,F20,IF(K20&gt;I20,N20,""))</f>
        <v/>
      </c>
      <c r="AT21" s="149">
        <f>K20</f>
        <v>1</v>
      </c>
      <c r="AU21" s="149">
        <f>I20</f>
        <v>1</v>
      </c>
      <c r="AV21" s="149">
        <f>AT21-AU21</f>
        <v>0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49</v>
      </c>
      <c r="B24" s="232">
        <v>51</v>
      </c>
      <c r="C24" s="235">
        <f>VLOOKUP(A24,tDatos[],IF(UTCElegido="",3,12),0)</f>
        <v>46197</v>
      </c>
      <c r="D24" s="231">
        <f>VLOOKUP(A24,tDatos[],IF(UTCElegido="",4,12),0)</f>
        <v>0.625</v>
      </c>
      <c r="E24" s="18"/>
      <c r="F24" s="233" t="str">
        <f>VLOOKUP(A24,tDatos[],5,0)</f>
        <v>SUIZA</v>
      </c>
      <c r="G24" s="223" t="str">
        <f>IF(AND(I24&lt;&gt;"",K24&lt;&gt;""),IF(I24=K24,"E",IF(I24&gt;K24,"G","P")),"")</f>
        <v>G</v>
      </c>
      <c r="H24" s="20"/>
      <c r="I24" s="293">
        <v>3</v>
      </c>
      <c r="J24" s="279" t="s">
        <v>0</v>
      </c>
      <c r="K24" s="293">
        <v>0</v>
      </c>
      <c r="L24" s="223" t="str">
        <f>IF(AND(K24&lt;&gt;"",I24&lt;&gt;""),IF(K24=I24,"E",IF(K24&gt;I24,"G","P")),"")</f>
        <v>P</v>
      </c>
      <c r="M24" s="19"/>
      <c r="N24" s="224" t="str">
        <f>VLOOKUP(A24,tDatos[],6,0)</f>
        <v>CANADÁ</v>
      </c>
      <c r="O24" s="18"/>
      <c r="P24" s="225" t="str">
        <f>VLOOKUP(A24,tDatos[],9,0)</f>
        <v>Vancouver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SUIZACANADÁ</v>
      </c>
      <c r="AS24" s="148" t="str">
        <f>IF(I24&gt;K24,F24,IF(K24&gt;I24,N24,""))</f>
        <v>SUIZA</v>
      </c>
      <c r="AT24" s="149">
        <f>I24</f>
        <v>3</v>
      </c>
      <c r="AU24" s="149">
        <f>K24</f>
        <v>0</v>
      </c>
      <c r="AV24" s="149">
        <f>AT24-AU24</f>
        <v>3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BOSNIA y HERZEG.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1</v>
      </c>
      <c r="Y25" s="255">
        <f>VLOOKUP(4,$AE$10:$AJ$29,6,0)</f>
        <v>2</v>
      </c>
      <c r="Z25" s="255">
        <f>VLOOKUP(4,$AE$10:$AK$29,7,0)</f>
        <v>0</v>
      </c>
      <c r="AA25" s="255">
        <f>VLOOKUP(4,$AE$10:$AL$29,8,0)</f>
        <v>3</v>
      </c>
      <c r="AB25" s="283">
        <f>Z25-AA25</f>
        <v>-3</v>
      </c>
      <c r="AC25" s="284">
        <f>(W25*3)+X25</f>
        <v>1</v>
      </c>
      <c r="AD25" s="243">
        <f>RANK(AO25,$AO$10:$AO$29,0)</f>
        <v>1</v>
      </c>
      <c r="AE25" s="243">
        <f>RANK(AP25,$AP$10:$AP$29,1)</f>
        <v>1</v>
      </c>
      <c r="AF25" s="243" t="str">
        <f>N12</f>
        <v>SUIZA</v>
      </c>
      <c r="AG25" s="247">
        <f>3-COUNTIF(I35:K35,"")</f>
        <v>3</v>
      </c>
      <c r="AH25" s="243">
        <f>COUNTIF(I35:K35,"G")</f>
        <v>3</v>
      </c>
      <c r="AI25" s="243">
        <f>COUNTIF(I35:K35,"E")</f>
        <v>0</v>
      </c>
      <c r="AJ25" s="243">
        <f>COUNTIF(I35:K35,"P")</f>
        <v>0</v>
      </c>
      <c r="AK25" s="247">
        <f>SUM(K12,I16,I24)</f>
        <v>8</v>
      </c>
      <c r="AL25" s="247">
        <f>SUM(I12,K16,K24)</f>
        <v>0</v>
      </c>
      <c r="AM25" s="243">
        <f>AK25-AL25</f>
        <v>8</v>
      </c>
      <c r="AN25" s="243">
        <f>(AH25*3)+AI25*vcp</f>
        <v>9</v>
      </c>
      <c r="AO25" s="243">
        <f>IF($AO$6&gt;0,AN25*10)</f>
        <v>90</v>
      </c>
      <c r="AP25" s="243">
        <f>IF(AF25=$R$38,BF25-100,IF(AF25=$R$37,BF25-200,IF(AF25=$R$36,BF25-300,BF25)))</f>
        <v>-299</v>
      </c>
      <c r="AQ25" s="243" t="str">
        <f>IF(SUM($V$10:$V$29)&gt;0,VLOOKUP(4,$AE$10:$AF$29,2,0),"")</f>
        <v>BOSNIA y HERZEG.</v>
      </c>
      <c r="AR25" s="148" t="str">
        <f>N24&amp;F24</f>
        <v>CANADÁSUIZA</v>
      </c>
      <c r="AS25" s="148" t="str">
        <f>IF(I24&gt;K24,F24,IF(K24&gt;I24,N24,""))</f>
        <v>SUIZA</v>
      </c>
      <c r="AT25" s="149">
        <f>K24</f>
        <v>0</v>
      </c>
      <c r="AU25" s="149">
        <f>I24</f>
        <v>3</v>
      </c>
      <c r="AV25" s="149">
        <f>AT25-AU25</f>
        <v>-3</v>
      </c>
      <c r="AW25" s="242">
        <f>RANK(AY25,$AY$10:$AY$29,0)</f>
        <v>1</v>
      </c>
      <c r="AX25" s="244">
        <f>IF(AND($AO$6&gt;0,$AP$6&gt;0),AN25*10000+AZ25,AO25)</f>
        <v>90</v>
      </c>
      <c r="AY25" s="244">
        <f>IF(AND($AO$6&gt;0,$AP$6&gt;0),AN25*10000+AZ25-3,AO25)</f>
        <v>90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1</v>
      </c>
      <c r="BB25" s="242">
        <f>AX25+BD25</f>
        <v>90</v>
      </c>
      <c r="BC25" s="244">
        <f>AX25+BD25</f>
        <v>90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90</v>
      </c>
      <c r="BF25" s="242">
        <f>RANK(BE25,$BE$10:$BE$29)</f>
        <v>1</v>
      </c>
      <c r="BG25" s="241">
        <f>BE25</f>
        <v>90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50</v>
      </c>
      <c r="B28" s="232">
        <v>52</v>
      </c>
      <c r="C28" s="235">
        <f>VLOOKUP(A28,tDatos[],IF(UTCElegido="",3,12),0)</f>
        <v>46197</v>
      </c>
      <c r="D28" s="231">
        <f>VLOOKUP(A28,tDatos[],IF(UTCElegido="",4,12),0)</f>
        <v>0.625</v>
      </c>
      <c r="E28" s="18"/>
      <c r="F28" s="233" t="str">
        <f>VLOOKUP(A28,tDatos[],5,0)</f>
        <v>BOSNIA y HERZEG.</v>
      </c>
      <c r="G28" s="223" t="str">
        <f>IF(AND(I28&lt;&gt;"",K28&lt;&gt;""),IF(I28=K28,"E",IF(I28&gt;K28,"G","P")),"")</f>
        <v>P</v>
      </c>
      <c r="H28" s="20"/>
      <c r="I28" s="293">
        <v>0</v>
      </c>
      <c r="J28" s="279" t="s">
        <v>0</v>
      </c>
      <c r="K28" s="293">
        <v>1</v>
      </c>
      <c r="L28" s="223" t="str">
        <f>IF(AND(K28&lt;&gt;"",I28&lt;&gt;""),IF(K28=I28,"E",IF(K28&gt;I28,"G","P")),"")</f>
        <v>G</v>
      </c>
      <c r="M28" s="19"/>
      <c r="N28" s="224" t="str">
        <f>VLOOKUP(A28,tDatos[],6,0)</f>
        <v>CATAR</v>
      </c>
      <c r="O28" s="18"/>
      <c r="P28" s="225" t="str">
        <f>VLOOKUP(A28,tDatos[],9,0)</f>
        <v>Seattle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BOSNIA y HERZEG.CATAR</v>
      </c>
      <c r="AS28" s="148" t="str">
        <f>IF(I28&gt;K28,F28,IF(K28&gt;I28,N28,""))</f>
        <v>CATAR</v>
      </c>
      <c r="AT28" s="149">
        <f>I28</f>
        <v>0</v>
      </c>
      <c r="AU28" s="149">
        <f>K28</f>
        <v>1</v>
      </c>
      <c r="AV28" s="149">
        <f>AT28-AU28</f>
        <v>-1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CATARBOSNIA y HERZEG.</v>
      </c>
      <c r="AS29" s="148" t="str">
        <f>IF(I28&gt;K28,F28,IF(K28&gt;I28,N28,""))</f>
        <v>CATAR</v>
      </c>
      <c r="AT29" s="149">
        <f>K28</f>
        <v>1</v>
      </c>
      <c r="AU29" s="149">
        <f>I28</f>
        <v>0</v>
      </c>
      <c r="AV29" s="149">
        <f>AT29-AU29</f>
        <v>1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CANADÁ</v>
      </c>
      <c r="I32" t="str">
        <f>G8</f>
        <v>E</v>
      </c>
      <c r="J32" t="str">
        <f>G20</f>
        <v>E</v>
      </c>
      <c r="K32" t="str">
        <f>L24</f>
        <v>P</v>
      </c>
    </row>
    <row r="33" spans="6:21" hidden="1" x14ac:dyDescent="0.3">
      <c r="F33" t="str">
        <f>N8</f>
        <v>BOSNIA y HERZEG.</v>
      </c>
      <c r="I33" t="str">
        <f>L8</f>
        <v>E</v>
      </c>
      <c r="J33" t="str">
        <f>L16</f>
        <v>P</v>
      </c>
      <c r="K33" t="str">
        <f>G28</f>
        <v>P</v>
      </c>
    </row>
    <row r="34" spans="6:21" hidden="1" x14ac:dyDescent="0.3">
      <c r="F34" t="str">
        <f>F12</f>
        <v>CATAR</v>
      </c>
      <c r="I34" t="str">
        <f>G12</f>
        <v>P</v>
      </c>
      <c r="J34" t="str">
        <f>L20</f>
        <v>E</v>
      </c>
      <c r="K34" t="str">
        <f>L28</f>
        <v>G</v>
      </c>
    </row>
    <row r="35" spans="6:21" hidden="1" x14ac:dyDescent="0.3">
      <c r="F35" t="str">
        <f>N12</f>
        <v>SUIZA</v>
      </c>
      <c r="I35" t="str">
        <f>L12</f>
        <v>G</v>
      </c>
      <c r="J35" t="str">
        <f>G16</f>
        <v>G</v>
      </c>
      <c r="K35" t="str">
        <f>G24</f>
        <v>G</v>
      </c>
    </row>
    <row r="36" spans="6:21" x14ac:dyDescent="0.3">
      <c r="N36" s="157" t="s">
        <v>391</v>
      </c>
      <c r="Q36" s="3" t="s">
        <v>392</v>
      </c>
      <c r="R36" s="250" t="s">
        <v>16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64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67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6</v>
      </c>
      <c r="B8" s="232">
        <v>7</v>
      </c>
      <c r="C8" s="235">
        <f>VLOOKUP(A8,tDatos[],IF(UTCElegido="",3,12),0)</f>
        <v>46186</v>
      </c>
      <c r="D8" s="231">
        <f>VLOOKUP(A8,tDatos[],IF(UTCElegido="",4,12),0)</f>
        <v>0.75</v>
      </c>
      <c r="E8" s="18"/>
      <c r="F8" s="233" t="str">
        <f>VLOOKUP(A8,tDatos[],5,0)</f>
        <v>BRASIL</v>
      </c>
      <c r="G8" s="223" t="str">
        <f>IF(AND(I8&lt;&gt;"",K8&lt;&gt;""),IF(I8=K8,"E",IF(I8&gt;K8,"G","P")),"")</f>
        <v>E</v>
      </c>
      <c r="H8" s="20"/>
      <c r="I8" s="293">
        <v>1</v>
      </c>
      <c r="J8" s="279" t="s">
        <v>0</v>
      </c>
      <c r="K8" s="293">
        <v>1</v>
      </c>
      <c r="L8" s="223" t="str">
        <f>IF(AND(K8&lt;&gt;"",I8&lt;&gt;""),IF(K8=I8,"E",IF(K8&gt;I8,"G","P")),"")</f>
        <v>E</v>
      </c>
      <c r="M8" s="19"/>
      <c r="N8" s="224" t="str">
        <f>VLOOKUP(A8,tDatos[],6,0)</f>
        <v>MARRUECOS</v>
      </c>
      <c r="O8" s="18"/>
      <c r="P8" s="225" t="str">
        <f>VLOOKUP(A8,tDatos[],9,0)</f>
        <v>N. York/N. Jersey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BRASILMARRUECOS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MARRUECOSBRASIL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BRASIL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10</v>
      </c>
      <c r="AA10" s="253">
        <f>VLOOKUP(1,$AE$10:$AL$29,8,0)</f>
        <v>2</v>
      </c>
      <c r="AB10" s="253">
        <f>Z10-AA10</f>
        <v>8</v>
      </c>
      <c r="AC10" s="257">
        <f>(W10*3)+X10</f>
        <v>7</v>
      </c>
      <c r="AD10" s="243">
        <f>RANK(AO10,$AO$10:$AO$29,0)</f>
        <v>1</v>
      </c>
      <c r="AE10" s="243">
        <f>RANK(AP10,$AP$10:$AP$29,1)</f>
        <v>1</v>
      </c>
      <c r="AF10" s="243" t="str">
        <f>F8</f>
        <v>BRASIL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SUM(I8,I20,K24)</f>
        <v>10</v>
      </c>
      <c r="AL10" s="243">
        <f>SUM(K8,K20,I24)</f>
        <v>2</v>
      </c>
      <c r="AM10" s="243">
        <f>AK10-AL10</f>
        <v>8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BRASIL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70000</v>
      </c>
      <c r="AY10" s="244">
        <f>IF(AND($AO$6&gt;0,$AP$6&gt;0),AN10*10000+AZ10,AO10)</f>
        <v>70000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70000</v>
      </c>
      <c r="BC10" s="244">
        <f>AX10+BD10+3</f>
        <v>70003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70079.03</v>
      </c>
      <c r="BF10" s="242">
        <f>RANK(BE10,$BE$10:$BE$29)</f>
        <v>1</v>
      </c>
      <c r="BG10" s="241">
        <f>BE10-0.03</f>
        <v>70079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7</v>
      </c>
      <c r="B12" s="232">
        <v>5</v>
      </c>
      <c r="C12" s="235">
        <f>VLOOKUP(A12,tDatos[],IF(UTCElegido="",3,12),0)</f>
        <v>46186</v>
      </c>
      <c r="D12" s="231">
        <f>VLOOKUP(A12,tDatos[],IF(UTCElegido="",4,12),0)</f>
        <v>0.875</v>
      </c>
      <c r="E12" s="18"/>
      <c r="F12" s="233" t="str">
        <f>VLOOKUP(A12,tDatos[],5,0)</f>
        <v>HAITÍ</v>
      </c>
      <c r="G12" s="223" t="str">
        <f>IF(AND(I12&lt;&gt;"",K12&lt;&gt;""),IF(I12=K12,"E",IF(I12&gt;K12,"G","P")),"")</f>
        <v>P</v>
      </c>
      <c r="H12" s="20"/>
      <c r="I12" s="293">
        <v>0</v>
      </c>
      <c r="J12" s="279" t="s">
        <v>0</v>
      </c>
      <c r="K12" s="293">
        <v>2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ESCOCIA</v>
      </c>
      <c r="O12" s="18"/>
      <c r="P12" s="225" t="str">
        <f>VLOOKUP(A12,tDatos[],9,0)</f>
        <v>Boston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HAITÍESCOCIA</v>
      </c>
      <c r="AS12" s="148" t="str">
        <f>IF(I12&gt;K12,F12,IF(K12&gt;I12,N12,""))</f>
        <v>ESCOCIA</v>
      </c>
      <c r="AT12" s="149">
        <f>I12</f>
        <v>0</v>
      </c>
      <c r="AU12" s="149">
        <f>K12</f>
        <v>2</v>
      </c>
      <c r="AV12" s="149">
        <f>AT12-AU12</f>
        <v>-2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ESCOCIAHAITÍ</v>
      </c>
      <c r="AS13" s="148" t="str">
        <f>IF(I12&gt;K12,F12,IF(K12&gt;I12,N12,""))</f>
        <v>ESCOCIA</v>
      </c>
      <c r="AT13" s="149">
        <f>K12</f>
        <v>2</v>
      </c>
      <c r="AU13" s="149">
        <f>I12</f>
        <v>0</v>
      </c>
      <c r="AV13" s="149">
        <f>AT13-AU13</f>
        <v>2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MARRUECOS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1</v>
      </c>
      <c r="Y15" s="253">
        <f>VLOOKUP(2,$AE$10:$AJ$29,6,0)</f>
        <v>0</v>
      </c>
      <c r="Z15" s="253">
        <f>VLOOKUP(2,$AE$10:$AK$29,7,0)</f>
        <v>6</v>
      </c>
      <c r="AA15" s="253">
        <f>VLOOKUP(2,$AE$10:$AL$29,8,0)</f>
        <v>2</v>
      </c>
      <c r="AB15" s="253">
        <f>Z15-AA15</f>
        <v>4</v>
      </c>
      <c r="AC15" s="257">
        <f>(W15*3)+X15</f>
        <v>7</v>
      </c>
      <c r="AD15" s="243">
        <f>RANK(AO15,$AO$10:$AO$29,0)</f>
        <v>2</v>
      </c>
      <c r="AE15" s="243">
        <f>RANK(AP15,$AP$10:$AP$29,1)</f>
        <v>2</v>
      </c>
      <c r="AF15" s="243" t="str">
        <f>N8</f>
        <v>MARRUECOS</v>
      </c>
      <c r="AG15" s="247">
        <f>3-COUNTIF(I33:K33,"")</f>
        <v>3</v>
      </c>
      <c r="AH15" s="243">
        <f>COUNTIF(I33:K33,"G")</f>
        <v>2</v>
      </c>
      <c r="AI15" s="243">
        <f>COUNTIF(I33:K33,"E")</f>
        <v>1</v>
      </c>
      <c r="AJ15" s="243">
        <f>COUNTIF(I33:K33,"P")</f>
        <v>0</v>
      </c>
      <c r="AK15" s="247">
        <f>SUM(K8,K16,I28)</f>
        <v>6</v>
      </c>
      <c r="AL15" s="243">
        <f>SUM(I8,I16,K28)</f>
        <v>2</v>
      </c>
      <c r="AM15" s="243">
        <f>AK15-AL15</f>
        <v>4</v>
      </c>
      <c r="AN15" s="243">
        <f>(AH15*3)+AI15*vcp</f>
        <v>7</v>
      </c>
      <c r="AO15" s="243">
        <f>IF($AO$6&gt;0,AN15*10+2)</f>
        <v>72</v>
      </c>
      <c r="AP15" s="243">
        <f>IF(AF15=$R$38,BF15-100,IF(AF15=$R$37,BF15-200,IF(AF15=$R$36,BF15-300,BF15)))</f>
        <v>-198</v>
      </c>
      <c r="AQ15" s="243" t="str">
        <f>IF(R37="",IF(SUM($V$10:$V$29)&gt;0,VLOOKUP(2,$AE$10:$AF$29,2,0),""),R37)</f>
        <v>MARRUECOS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70000</v>
      </c>
      <c r="AY15" s="244">
        <f>IF(AND($AO$6&gt;0,$AP$6&gt;0),AN15*10000+AZ15-1,AO15)</f>
        <v>69999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1</v>
      </c>
      <c r="BB15" s="242">
        <f>AX15+BD15</f>
        <v>70000</v>
      </c>
      <c r="BC15" s="244">
        <f>AX15+BD15+2</f>
        <v>70002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70074.62</v>
      </c>
      <c r="BF15" s="242">
        <f>RANK(BE15,$BE$10:$BE$29)</f>
        <v>2</v>
      </c>
      <c r="BG15" s="241">
        <f>BE15-0.02</f>
        <v>70074.599999999991</v>
      </c>
      <c r="BH15" s="241">
        <f>COUNTIF($BG$10:$BG$29,BG15)</f>
        <v>1</v>
      </c>
    </row>
    <row r="16" spans="1:60" ht="7.5" customHeight="1" x14ac:dyDescent="0.3">
      <c r="A16" s="276">
        <v>30</v>
      </c>
      <c r="B16" s="232">
        <v>30</v>
      </c>
      <c r="C16" s="235">
        <f>VLOOKUP(A16,tDatos[],IF(UTCElegido="",3,12),0)</f>
        <v>46192</v>
      </c>
      <c r="D16" s="231">
        <f>VLOOKUP(A16,tDatos[],IF(UTCElegido="",4,12),0)</f>
        <v>0.75</v>
      </c>
      <c r="E16" s="18"/>
      <c r="F16" s="233" t="str">
        <f>VLOOKUP(A16,tDatos[],5,0)</f>
        <v>ESCOCIA</v>
      </c>
      <c r="G16" s="223" t="str">
        <f>IF(AND(I16&lt;&gt;"",K16&lt;&gt;""),IF(I16=K16,"E",IF(I16&gt;K16,"G","P")),"")</f>
        <v>P</v>
      </c>
      <c r="H16" s="20"/>
      <c r="I16" s="293">
        <v>1</v>
      </c>
      <c r="J16" s="279" t="s">
        <v>0</v>
      </c>
      <c r="K16" s="293">
        <v>3</v>
      </c>
      <c r="L16" s="223" t="str">
        <f>IF(AND(K16&lt;&gt;"",I16&lt;&gt;""),IF(K16=I16,"E",IF(K16&gt;I16,"G","P")),"")</f>
        <v>G</v>
      </c>
      <c r="M16" s="19"/>
      <c r="N16" s="224" t="str">
        <f>VLOOKUP(A16,tDatos[],6,0)</f>
        <v>MARRUECOS</v>
      </c>
      <c r="O16" s="18"/>
      <c r="P16" s="225" t="str">
        <f>VLOOKUP(A16,tDatos[],9,0)</f>
        <v>Boston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ESCOCIAMARRUECOS</v>
      </c>
      <c r="AS16" s="148" t="str">
        <f>IF(I16&gt;K16,F16,IF(K16&gt;I16,N16,""))</f>
        <v>MARRUECOS</v>
      </c>
      <c r="AT16" s="149">
        <f>I16</f>
        <v>1</v>
      </c>
      <c r="AU16" s="149">
        <f>K16</f>
        <v>3</v>
      </c>
      <c r="AV16" s="149">
        <f>AT16-AU16</f>
        <v>-2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MARRUECOSESCOCIA</v>
      </c>
      <c r="AS17" s="148" t="str">
        <f>IF(I16&gt;K16,F16,IF(K16&gt;I16,N16,""))</f>
        <v>MARRUECOS</v>
      </c>
      <c r="AT17" s="149">
        <f>K16</f>
        <v>3</v>
      </c>
      <c r="AU17" s="149">
        <f>I16</f>
        <v>1</v>
      </c>
      <c r="AV17" s="149">
        <f>AT17-AU17</f>
        <v>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31</v>
      </c>
      <c r="B20" s="232">
        <v>29</v>
      </c>
      <c r="C20" s="235">
        <f>VLOOKUP(A20,tDatos[],IF(UTCElegido="",3,12),0)</f>
        <v>46192</v>
      </c>
      <c r="D20" s="231">
        <f>VLOOKUP(A20,tDatos[],IF(UTCElegido="",4,12),0)</f>
        <v>0.85416666666666663</v>
      </c>
      <c r="E20" s="18"/>
      <c r="F20" s="233" t="str">
        <f>VLOOKUP(A20,tDatos[],5,0)</f>
        <v>BRASIL</v>
      </c>
      <c r="G20" s="223" t="str">
        <f>IF(AND(I20&lt;&gt;"",K20&lt;&gt;""),IF(I20=K20,"E",IF(I20&gt;K20,"G","P")),"")</f>
        <v>G</v>
      </c>
      <c r="H20" s="20"/>
      <c r="I20" s="293">
        <v>5</v>
      </c>
      <c r="J20" s="279" t="s">
        <v>0</v>
      </c>
      <c r="K20" s="293">
        <v>0</v>
      </c>
      <c r="L20" s="223" t="str">
        <f>IF(AND(K20&lt;&gt;"",I20&lt;&gt;""),IF(K20=I20,"E",IF(K20&gt;I20,"G","P")),"")</f>
        <v>P</v>
      </c>
      <c r="M20" s="19"/>
      <c r="N20" s="224" t="str">
        <f>VLOOKUP(A20,tDatos[],6,0)</f>
        <v>HAITÍ</v>
      </c>
      <c r="O20" s="18"/>
      <c r="P20" s="225" t="str">
        <f>VLOOKUP(A20,tDatos[],9,0)</f>
        <v>Filadelfia</v>
      </c>
      <c r="R20" s="287" t="str">
        <f>"  3)  " &amp; VLOOKUP(3,$AE$10:$AF$29,2,0)</f>
        <v xml:space="preserve">  3)  ESCOCIA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0</v>
      </c>
      <c r="Y20" s="255">
        <f>VLOOKUP(3,$AE$10:$AJ$29,6,0)</f>
        <v>2</v>
      </c>
      <c r="Z20" s="255">
        <f>VLOOKUP(3,$AE$10:$AK$29,7,0)</f>
        <v>4</v>
      </c>
      <c r="AA20" s="255">
        <f>VLOOKUP(3,$AE$10:$AL$29,8,0)</f>
        <v>7</v>
      </c>
      <c r="AB20" s="283">
        <f>Z20-AA20</f>
        <v>-3</v>
      </c>
      <c r="AC20" s="284">
        <f>(W20*3)+X20</f>
        <v>3</v>
      </c>
      <c r="AD20" s="243">
        <f>RANK(AO20,$AO$10:$AO$29,0)</f>
        <v>4</v>
      </c>
      <c r="AE20" s="243">
        <f>RANK(AP20,$AP$10:$AP$29,1)</f>
        <v>4</v>
      </c>
      <c r="AF20" s="243" t="str">
        <f>F12</f>
        <v>HAITÍ</v>
      </c>
      <c r="AG20" s="247">
        <f>3-COUNTIF(I34:K34,"")</f>
        <v>3</v>
      </c>
      <c r="AH20" s="243">
        <f>COUNTIF(I34:K34,"G")</f>
        <v>0</v>
      </c>
      <c r="AI20" s="243">
        <f>COUNTIF(I34:K34,"E")</f>
        <v>0</v>
      </c>
      <c r="AJ20" s="243">
        <f>COUNTIF(I34:K34,"P")</f>
        <v>3</v>
      </c>
      <c r="AK20" s="247">
        <f>SUM(I12,K20,K28)</f>
        <v>0</v>
      </c>
      <c r="AL20" s="247">
        <f>SUM(K12,I20,I28)</f>
        <v>9</v>
      </c>
      <c r="AM20" s="243">
        <f>AK20-AL20</f>
        <v>-9</v>
      </c>
      <c r="AN20" s="243">
        <f>(AH20*3)+AI20*vcp</f>
        <v>0</v>
      </c>
      <c r="AO20" s="243">
        <f>IF($AO$6&gt;0,AN20*10+1)</f>
        <v>1</v>
      </c>
      <c r="AP20" s="243">
        <f>IF(AF20=$R$38,BF20-100,IF(AF20=$R$37,BF20-200,IF(AF20=$R$36,BF20-300,BF20)))</f>
        <v>4</v>
      </c>
      <c r="AQ20" s="243" t="str">
        <f>IF(R38="",IF(SUM($V$10:$V$29)&gt;0,VLOOKUP(3,$AE$10:$AF$29,2,0),""),R38)</f>
        <v>ESCOCIA</v>
      </c>
      <c r="AR20" s="148" t="str">
        <f>F20&amp;N20</f>
        <v>BRASILHAITÍ</v>
      </c>
      <c r="AS20" s="148" t="str">
        <f>IF(I20&gt;K20,F20,IF(K20&gt;I20,N20,""))</f>
        <v>BRASIL</v>
      </c>
      <c r="AT20" s="149">
        <f>I20</f>
        <v>5</v>
      </c>
      <c r="AU20" s="149">
        <f>K20</f>
        <v>0</v>
      </c>
      <c r="AV20" s="149">
        <f>AT20-AU20</f>
        <v>5</v>
      </c>
      <c r="AW20" s="242">
        <f>RANK(AY20,$AY$10:$AY$29,0)</f>
        <v>4</v>
      </c>
      <c r="AX20" s="244">
        <f>IF(AND($AO$6&gt;0,$AP$6&gt;0),AN20*10000+AZ20,AO20)</f>
        <v>0</v>
      </c>
      <c r="AY20" s="244">
        <f>IF(AND($AO$6&gt;0,$AP$6&gt;0),AN20*10000+AZ20-2,AO20)</f>
        <v>-2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4</v>
      </c>
      <c r="BB20" s="242">
        <f>AX20+BD20</f>
        <v>0</v>
      </c>
      <c r="BC20" s="244">
        <f>AX20+BD20+1</f>
        <v>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-8.99</v>
      </c>
      <c r="BF20" s="242">
        <f>RANK(BE20,$BE$10:$BE$29)</f>
        <v>4</v>
      </c>
      <c r="BG20" s="241">
        <f>BE20-0.01</f>
        <v>-9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HAITÍBRASIL</v>
      </c>
      <c r="AS21" s="148" t="str">
        <f>IF(I20&gt;K20,F20,IF(K20&gt;I20,N20,""))</f>
        <v>BRASIL</v>
      </c>
      <c r="AT21" s="149">
        <f>K20</f>
        <v>0</v>
      </c>
      <c r="AU21" s="149">
        <f>I20</f>
        <v>5</v>
      </c>
      <c r="AV21" s="149">
        <f>AT21-AU21</f>
        <v>-5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51</v>
      </c>
      <c r="B24" s="232">
        <v>49</v>
      </c>
      <c r="C24" s="235">
        <f>VLOOKUP(A24,tDatos[],IF(UTCElegido="",3,12),0)</f>
        <v>46197</v>
      </c>
      <c r="D24" s="231">
        <f>VLOOKUP(A24,tDatos[],IF(UTCElegido="",4,12),0)</f>
        <v>0.75</v>
      </c>
      <c r="E24" s="18"/>
      <c r="F24" s="233" t="str">
        <f>VLOOKUP(A24,tDatos[],5,0)</f>
        <v>ESCOCIA</v>
      </c>
      <c r="G24" s="223" t="str">
        <f>IF(AND(I24&lt;&gt;"",K24&lt;&gt;""),IF(I24=K24,"E",IF(I24&gt;K24,"G","P")),"")</f>
        <v>P</v>
      </c>
      <c r="H24" s="20"/>
      <c r="I24" s="293">
        <v>1</v>
      </c>
      <c r="J24" s="279" t="s">
        <v>0</v>
      </c>
      <c r="K24" s="293">
        <v>4</v>
      </c>
      <c r="L24" s="223" t="str">
        <f>IF(AND(K24&lt;&gt;"",I24&lt;&gt;""),IF(K24=I24,"E",IF(K24&gt;I24,"G","P")),"")</f>
        <v>G</v>
      </c>
      <c r="M24" s="19"/>
      <c r="N24" s="224" t="str">
        <f>VLOOKUP(A24,tDatos[],6,0)</f>
        <v>BRASIL</v>
      </c>
      <c r="O24" s="18"/>
      <c r="P24" s="225" t="str">
        <f>VLOOKUP(A24,tDatos[],9,0)</f>
        <v>Miami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ESCOCIABRASIL</v>
      </c>
      <c r="AS24" s="148" t="str">
        <f>IF(I24&gt;K24,F24,IF(K24&gt;I24,N24,""))</f>
        <v>BRASIL</v>
      </c>
      <c r="AT24" s="149">
        <f>I24</f>
        <v>1</v>
      </c>
      <c r="AU24" s="149">
        <f>K24</f>
        <v>4</v>
      </c>
      <c r="AV24" s="149">
        <f>AT24-AU24</f>
        <v>-3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HAITÍ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0</v>
      </c>
      <c r="AA25" s="255">
        <f>VLOOKUP(4,$AE$10:$AL$29,8,0)</f>
        <v>9</v>
      </c>
      <c r="AB25" s="283">
        <f>Z25-AA25</f>
        <v>-9</v>
      </c>
      <c r="AC25" s="284">
        <f>(W25*3)+X25</f>
        <v>0</v>
      </c>
      <c r="AD25" s="243">
        <f>RANK(AO25,$AO$10:$AO$29,0)</f>
        <v>3</v>
      </c>
      <c r="AE25" s="243">
        <f>RANK(AP25,$AP$10:$AP$29,1)</f>
        <v>3</v>
      </c>
      <c r="AF25" s="243" t="str">
        <f>N12</f>
        <v>ESCOCIA</v>
      </c>
      <c r="AG25" s="247">
        <f>3-COUNTIF(I35:K35,"")</f>
        <v>3</v>
      </c>
      <c r="AH25" s="243">
        <f>COUNTIF(I35:K35,"G")</f>
        <v>1</v>
      </c>
      <c r="AI25" s="243">
        <f>COUNTIF(I35:K35,"E")</f>
        <v>0</v>
      </c>
      <c r="AJ25" s="243">
        <f>COUNTIF(I35:K35,"P")</f>
        <v>2</v>
      </c>
      <c r="AK25" s="247">
        <f>SUM(K12,I16,I24)</f>
        <v>4</v>
      </c>
      <c r="AL25" s="247">
        <f>SUM(I12,K16,K24)</f>
        <v>7</v>
      </c>
      <c r="AM25" s="243">
        <f>AK25-AL25</f>
        <v>-3</v>
      </c>
      <c r="AN25" s="243">
        <f>(AH25*3)+AI25*vcp</f>
        <v>3</v>
      </c>
      <c r="AO25" s="243">
        <f>IF($AO$6&gt;0,AN25*10)</f>
        <v>30</v>
      </c>
      <c r="AP25" s="243">
        <f>IF(AF25=$R$38,BF25-100,IF(AF25=$R$37,BF25-200,IF(AF25=$R$36,BF25-300,BF25)))</f>
        <v>-97</v>
      </c>
      <c r="AQ25" s="243" t="str">
        <f>IF(SUM($V$10:$V$29)&gt;0,VLOOKUP(4,$AE$10:$AF$29,2,0),"")</f>
        <v>HAITÍ</v>
      </c>
      <c r="AR25" s="148" t="str">
        <f>N24&amp;F24</f>
        <v>BRASILESCOCIA</v>
      </c>
      <c r="AS25" s="148" t="str">
        <f>IF(I24&gt;K24,F24,IF(K24&gt;I24,N24,""))</f>
        <v>BRASIL</v>
      </c>
      <c r="AT25" s="149">
        <f>K24</f>
        <v>4</v>
      </c>
      <c r="AU25" s="149">
        <f>I24</f>
        <v>1</v>
      </c>
      <c r="AV25" s="149">
        <f>AT25-AU25</f>
        <v>3</v>
      </c>
      <c r="AW25" s="242">
        <f>RANK(AY25,$AY$10:$AY$29,0)</f>
        <v>3</v>
      </c>
      <c r="AX25" s="244">
        <f>IF(AND($AO$6&gt;0,$AP$6&gt;0),AN25*10000+AZ25,AO25)</f>
        <v>30000</v>
      </c>
      <c r="AY25" s="244">
        <f>IF(AND($AO$6&gt;0,$AP$6&gt;0),AN25*10000+AZ25-3,AO25)</f>
        <v>29997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3</v>
      </c>
      <c r="BB25" s="242">
        <f>AX25+BD25</f>
        <v>30000</v>
      </c>
      <c r="BC25" s="244">
        <f>AX25+BD25</f>
        <v>30000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30027.4</v>
      </c>
      <c r="BF25" s="242">
        <f>RANK(BE25,$BE$10:$BE$29)</f>
        <v>3</v>
      </c>
      <c r="BG25" s="241">
        <f>BE25</f>
        <v>30027.4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52</v>
      </c>
      <c r="B28" s="232">
        <v>50</v>
      </c>
      <c r="C28" s="235">
        <f>VLOOKUP(A28,tDatos[],IF(UTCElegido="",3,12),0)</f>
        <v>46197</v>
      </c>
      <c r="D28" s="231">
        <f>VLOOKUP(A28,tDatos[],IF(UTCElegido="",4,12),0)</f>
        <v>0.75</v>
      </c>
      <c r="E28" s="18"/>
      <c r="F28" s="233" t="str">
        <f>VLOOKUP(A28,tDatos[],5,0)</f>
        <v>MARRUECOS</v>
      </c>
      <c r="G28" s="223" t="str">
        <f>IF(AND(I28&lt;&gt;"",K28&lt;&gt;""),IF(I28=K28,"E",IF(I28&gt;K28,"G","P")),"")</f>
        <v>G</v>
      </c>
      <c r="H28" s="20"/>
      <c r="I28" s="293">
        <v>2</v>
      </c>
      <c r="J28" s="279" t="s">
        <v>0</v>
      </c>
      <c r="K28" s="293">
        <v>0</v>
      </c>
      <c r="L28" s="223" t="str">
        <f>IF(AND(K28&lt;&gt;"",I28&lt;&gt;""),IF(K28=I28,"E",IF(K28&gt;I28,"G","P")),"")</f>
        <v>P</v>
      </c>
      <c r="M28" s="19"/>
      <c r="N28" s="224" t="str">
        <f>VLOOKUP(A28,tDatos[],6,0)</f>
        <v>HAITÍ</v>
      </c>
      <c r="O28" s="18"/>
      <c r="P28" s="225" t="str">
        <f>VLOOKUP(A28,tDatos[],9,0)</f>
        <v>Atlanta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MARRUECOSHAITÍ</v>
      </c>
      <c r="AS28" s="148" t="str">
        <f>IF(I28&gt;K28,F28,IF(K28&gt;I28,N28,""))</f>
        <v>MARRUECOS</v>
      </c>
      <c r="AT28" s="149">
        <f>I28</f>
        <v>2</v>
      </c>
      <c r="AU28" s="149">
        <f>K28</f>
        <v>0</v>
      </c>
      <c r="AV28" s="149">
        <f>AT28-AU28</f>
        <v>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HAITÍMARRUECOS</v>
      </c>
      <c r="AS29" s="148" t="str">
        <f>IF(I28&gt;K28,F28,IF(K28&gt;I28,N28,""))</f>
        <v>MARRUECOS</v>
      </c>
      <c r="AT29" s="149">
        <f>K28</f>
        <v>0</v>
      </c>
      <c r="AU29" s="149">
        <f>I28</f>
        <v>2</v>
      </c>
      <c r="AV29" s="149">
        <f>AT29-AU29</f>
        <v>-2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BRASIL</v>
      </c>
      <c r="I32" t="str">
        <f>G8</f>
        <v>E</v>
      </c>
      <c r="J32" t="str">
        <f>G20</f>
        <v>G</v>
      </c>
      <c r="K32" t="str">
        <f>L24</f>
        <v>G</v>
      </c>
    </row>
    <row r="33" spans="6:21" hidden="1" x14ac:dyDescent="0.3">
      <c r="F33" t="str">
        <f>N8</f>
        <v>MARRUECOS</v>
      </c>
      <c r="I33" t="str">
        <f>L8</f>
        <v>E</v>
      </c>
      <c r="J33" t="str">
        <f>L16</f>
        <v>G</v>
      </c>
      <c r="K33" t="str">
        <f>G28</f>
        <v>G</v>
      </c>
    </row>
    <row r="34" spans="6:21" hidden="1" x14ac:dyDescent="0.3">
      <c r="F34" t="str">
        <f>F12</f>
        <v>HAITÍ</v>
      </c>
      <c r="I34" t="str">
        <f>G12</f>
        <v>P</v>
      </c>
      <c r="J34" t="str">
        <f>L20</f>
        <v>P</v>
      </c>
      <c r="K34" t="str">
        <f>L28</f>
        <v>P</v>
      </c>
    </row>
    <row r="35" spans="6:21" hidden="1" x14ac:dyDescent="0.3">
      <c r="F35" t="str">
        <f>N12</f>
        <v>ESCOCIA</v>
      </c>
      <c r="I35" t="str">
        <f>L12</f>
        <v>G</v>
      </c>
      <c r="J35" t="str">
        <f>G16</f>
        <v>P</v>
      </c>
      <c r="K35" t="str">
        <f>G24</f>
        <v>P</v>
      </c>
    </row>
    <row r="36" spans="6:21" x14ac:dyDescent="0.3">
      <c r="N36" s="157" t="s">
        <v>391</v>
      </c>
      <c r="Q36" s="3" t="s">
        <v>392</v>
      </c>
      <c r="R36" s="250" t="s">
        <v>10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29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211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4</v>
      </c>
      <c r="B8" s="232">
        <v>4</v>
      </c>
      <c r="C8" s="235">
        <f>VLOOKUP(A8,tDatos[],IF(UTCElegido="",3,12),0)</f>
        <v>46185</v>
      </c>
      <c r="D8" s="231">
        <f>VLOOKUP(A8,tDatos[],IF(UTCElegido="",4,12),0)</f>
        <v>0.875</v>
      </c>
      <c r="E8" s="18"/>
      <c r="F8" s="233" t="str">
        <f>VLOOKUP(A8,tDatos[],5,0)</f>
        <v>ESTADOS UNIDOS</v>
      </c>
      <c r="G8" s="223" t="str">
        <f>IF(AND(I8&lt;&gt;"",K8&lt;&gt;""),IF(I8=K8,"E",IF(I8&gt;K8,"G","P")),"")</f>
        <v>E</v>
      </c>
      <c r="H8" s="20"/>
      <c r="I8" s="293">
        <v>2</v>
      </c>
      <c r="J8" s="279" t="s">
        <v>0</v>
      </c>
      <c r="K8" s="293">
        <v>2</v>
      </c>
      <c r="L8" s="223" t="str">
        <f>IF(AND(K8&lt;&gt;"",I8&lt;&gt;""),IF(K8=I8,"E",IF(K8&gt;I8,"G","P")),"")</f>
        <v>E</v>
      </c>
      <c r="M8" s="19"/>
      <c r="N8" s="224" t="str">
        <f>VLOOKUP(A8,tDatos[],6,0)</f>
        <v>PARAGUAY</v>
      </c>
      <c r="O8" s="18"/>
      <c r="P8" s="225" t="str">
        <f>VLOOKUP(A8,tDatos[],9,0)</f>
        <v>Los Angeles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ESTADOS UNIDOSPARAGUAY</v>
      </c>
      <c r="AS8" s="148" t="str">
        <f>IF(I8&gt;K8,F8,IF(K8&gt;I8,N8,""))</f>
        <v/>
      </c>
      <c r="AT8" s="149">
        <f>I8</f>
        <v>2</v>
      </c>
      <c r="AU8" s="149">
        <f>K8</f>
        <v>2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PARAGUAYESTADOS UNIDOS</v>
      </c>
      <c r="AS9" s="148" t="str">
        <f>IF(I8&gt;K8,F8,IF(K8&gt;I8,N8,""))</f>
        <v/>
      </c>
      <c r="AT9" s="149">
        <f>K8</f>
        <v>2</v>
      </c>
      <c r="AU9" s="149">
        <f>I8</f>
        <v>2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ESTADOS UNIDOS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6</v>
      </c>
      <c r="AA10" s="253">
        <f>VLOOKUP(1,$AE$10:$AL$29,8,0)</f>
        <v>3</v>
      </c>
      <c r="AB10" s="253">
        <f>Z10-AA10</f>
        <v>3</v>
      </c>
      <c r="AC10" s="257">
        <f>(W10*3)+X10</f>
        <v>7</v>
      </c>
      <c r="AD10" s="243">
        <f>RANK(AO10,$AO$10:$AO$29,0)</f>
        <v>1</v>
      </c>
      <c r="AE10" s="243">
        <f>RANK(AP10,$AP$10:$AP$29,1)</f>
        <v>1</v>
      </c>
      <c r="AF10" s="243" t="str">
        <f>F8</f>
        <v>ESTADOS UNIDOS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SUM(I8,I16,K24)</f>
        <v>6</v>
      </c>
      <c r="AL10" s="243">
        <f>SUM(K8,K16,I24)</f>
        <v>3</v>
      </c>
      <c r="AM10" s="243">
        <f>AK10-AL10</f>
        <v>3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ESTADOS UNIDOS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73</v>
      </c>
      <c r="AY10" s="244">
        <f>IF(AND($AO$6&gt;0,$AP$6&gt;0),AN10*10000+AZ10,AO10)</f>
        <v>73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73</v>
      </c>
      <c r="BC10" s="244">
        <f>AX10+BD10+3</f>
        <v>76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73.03</v>
      </c>
      <c r="BF10" s="242">
        <f>RANK(BE10,$BE$10:$BE$29)</f>
        <v>1</v>
      </c>
      <c r="BG10" s="241">
        <f>BE10-0.03</f>
        <v>73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8</v>
      </c>
      <c r="B12" s="232">
        <v>6</v>
      </c>
      <c r="C12" s="235">
        <f>VLOOKUP(A12,tDatos[],IF(UTCElegido="",3,12),0)</f>
        <v>46187</v>
      </c>
      <c r="D12" s="231">
        <f>VLOOKUP(A12,tDatos[],IF(UTCElegido="",4,12),0)</f>
        <v>0</v>
      </c>
      <c r="E12" s="18"/>
      <c r="F12" s="233" t="str">
        <f>VLOOKUP(A12,tDatos[],5,0)</f>
        <v>AUSTRALIA</v>
      </c>
      <c r="G12" s="223" t="str">
        <f>IF(AND(I12&lt;&gt;"",K12&lt;&gt;""),IF(I12=K12,"E",IF(I12&gt;K12,"G","P")),"")</f>
        <v>P</v>
      </c>
      <c r="H12" s="20"/>
      <c r="I12" s="293">
        <v>1</v>
      </c>
      <c r="J12" s="279" t="s">
        <v>0</v>
      </c>
      <c r="K12" s="293">
        <v>2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TURQUÍA</v>
      </c>
      <c r="O12" s="18"/>
      <c r="P12" s="225" t="str">
        <f>VLOOKUP(A12,tDatos[],9,0)</f>
        <v>Vancouver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AUSTRALIATURQUÍA</v>
      </c>
      <c r="AS12" s="148" t="str">
        <f>IF(I12&gt;K12,F12,IF(K12&gt;I12,N12,""))</f>
        <v>TURQUÍA</v>
      </c>
      <c r="AT12" s="149">
        <f>I12</f>
        <v>1</v>
      </c>
      <c r="AU12" s="149">
        <f>K12</f>
        <v>2</v>
      </c>
      <c r="AV12" s="149">
        <f>AT12-AU12</f>
        <v>-1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TURQUÍAAUSTRALIA</v>
      </c>
      <c r="AS13" s="148" t="str">
        <f>IF(I12&gt;K12,F12,IF(K12&gt;I12,N12,""))</f>
        <v>TURQUÍA</v>
      </c>
      <c r="AT13" s="149">
        <f>K12</f>
        <v>2</v>
      </c>
      <c r="AU13" s="149">
        <f>I12</f>
        <v>1</v>
      </c>
      <c r="AV13" s="149">
        <f>AT13-AU13</f>
        <v>1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PARAGUAY</v>
      </c>
      <c r="S15" s="266"/>
      <c r="T15" s="266"/>
      <c r="U15" s="267"/>
      <c r="V15" s="274">
        <f>VLOOKUP(2,$AE$10:$AG$29,3,0)</f>
        <v>3</v>
      </c>
      <c r="W15" s="253">
        <f>VLOOKUP(2,$AE$10:$AH$29,4,0)</f>
        <v>1</v>
      </c>
      <c r="X15" s="253">
        <f>VLOOKUP(2,$AE$10:$AI$29,5,0)</f>
        <v>2</v>
      </c>
      <c r="Y15" s="253">
        <f>VLOOKUP(2,$AE$10:$AJ$29,6,0)</f>
        <v>0</v>
      </c>
      <c r="Z15" s="253">
        <f>VLOOKUP(2,$AE$10:$AK$29,7,0)</f>
        <v>7</v>
      </c>
      <c r="AA15" s="253">
        <f>VLOOKUP(2,$AE$10:$AL$29,8,0)</f>
        <v>5</v>
      </c>
      <c r="AB15" s="253">
        <f>Z15-AA15</f>
        <v>2</v>
      </c>
      <c r="AC15" s="257">
        <f>(W15*3)+X15</f>
        <v>5</v>
      </c>
      <c r="AD15" s="243">
        <f>RANK(AO15,$AO$10:$AO$29,0)</f>
        <v>2</v>
      </c>
      <c r="AE15" s="243">
        <f>RANK(AP15,$AP$10:$AP$29,1)</f>
        <v>2</v>
      </c>
      <c r="AF15" s="243" t="str">
        <f>N8</f>
        <v>PARAGUAY</v>
      </c>
      <c r="AG15" s="247">
        <f>3-COUNTIF(I33:K33,"")</f>
        <v>3</v>
      </c>
      <c r="AH15" s="243">
        <f>COUNTIF(I33:K33,"G")</f>
        <v>1</v>
      </c>
      <c r="AI15" s="243">
        <f>COUNTIF(I33:K33,"E")</f>
        <v>2</v>
      </c>
      <c r="AJ15" s="243">
        <f>COUNTIF(I33:K33,"P")</f>
        <v>0</v>
      </c>
      <c r="AK15" s="247">
        <f>SUM(K8,K20,I28)</f>
        <v>7</v>
      </c>
      <c r="AL15" s="243">
        <f>SUM(I8,I20,K28)</f>
        <v>5</v>
      </c>
      <c r="AM15" s="243">
        <f>AK15-AL15</f>
        <v>2</v>
      </c>
      <c r="AN15" s="243">
        <f>(AH15*3)+AI15*vcp</f>
        <v>5</v>
      </c>
      <c r="AO15" s="243">
        <f>IF($AO$6&gt;0,AN15*10+2)</f>
        <v>52</v>
      </c>
      <c r="AP15" s="243">
        <f>IF(AF15=$R$38,BF15-100,IF(AF15=$R$37,BF15-200,IF(AF15=$R$36,BF15-300,BF15)))</f>
        <v>-98</v>
      </c>
      <c r="AQ15" s="243" t="str">
        <f>IF(R37="",IF(SUM($V$10:$V$29)&gt;0,VLOOKUP(2,$AE$10:$AF$29,2,0),""),R37)</f>
        <v>PARAGUAY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52</v>
      </c>
      <c r="AY15" s="244">
        <f>IF(AND($AO$6&gt;0,$AP$6&gt;0),AN15*10000+AZ15-1,AO15)</f>
        <v>52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2</v>
      </c>
      <c r="BB15" s="242">
        <f>AX15+BD15</f>
        <v>52</v>
      </c>
      <c r="BC15" s="244">
        <f>AX15+BD15+2</f>
        <v>54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52.02</v>
      </c>
      <c r="BF15" s="242">
        <f>RANK(BE15,$BE$10:$BE$29)</f>
        <v>2</v>
      </c>
      <c r="BG15" s="241">
        <f>BE15-0.02</f>
        <v>52</v>
      </c>
      <c r="BH15" s="241">
        <f>COUNTIF($BG$10:$BG$29,BG15)</f>
        <v>1</v>
      </c>
    </row>
    <row r="16" spans="1:60" ht="7.5" customHeight="1" x14ac:dyDescent="0.3">
      <c r="A16" s="276">
        <v>29</v>
      </c>
      <c r="B16" s="232">
        <v>32</v>
      </c>
      <c r="C16" s="235">
        <f>VLOOKUP(A16,tDatos[],IF(UTCElegido="",3,12),0)</f>
        <v>46192</v>
      </c>
      <c r="D16" s="231">
        <f>VLOOKUP(A16,tDatos[],IF(UTCElegido="",4,12),0)</f>
        <v>0.625</v>
      </c>
      <c r="E16" s="18"/>
      <c r="F16" s="233" t="str">
        <f>VLOOKUP(A16,tDatos[],5,0)</f>
        <v>ESTADOS UNIDOS</v>
      </c>
      <c r="G16" s="223" t="str">
        <f>IF(AND(I16&lt;&gt;"",K16&lt;&gt;""),IF(I16=K16,"E",IF(I16&gt;K16,"G","P")),"")</f>
        <v>G</v>
      </c>
      <c r="H16" s="20"/>
      <c r="I16" s="293">
        <v>2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AUSTRALIA</v>
      </c>
      <c r="O16" s="18"/>
      <c r="P16" s="225" t="str">
        <f>VLOOKUP(A16,tDatos[],9,0)</f>
        <v>Seattle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ESTADOS UNIDOSAUSTRALIA</v>
      </c>
      <c r="AS16" s="148" t="str">
        <f>IF(I16&gt;K16,F16,IF(K16&gt;I16,N16,""))</f>
        <v>ESTADOS UNIDOS</v>
      </c>
      <c r="AT16" s="149">
        <f>I16</f>
        <v>2</v>
      </c>
      <c r="AU16" s="149">
        <f>K16</f>
        <v>1</v>
      </c>
      <c r="AV16" s="149">
        <f>AT16-AU16</f>
        <v>1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AUSTRALIAESTADOS UNIDOS</v>
      </c>
      <c r="AS17" s="148" t="str">
        <f>IF(I16&gt;K16,F16,IF(K16&gt;I16,N16,""))</f>
        <v>ESTADOS UNIDOS</v>
      </c>
      <c r="AT17" s="149">
        <f>K16</f>
        <v>1</v>
      </c>
      <c r="AU17" s="149">
        <f>I16</f>
        <v>2</v>
      </c>
      <c r="AV17" s="149">
        <f>AT17-AU17</f>
        <v>-1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32</v>
      </c>
      <c r="B20" s="232">
        <v>31</v>
      </c>
      <c r="C20" s="235">
        <f>VLOOKUP(A20,tDatos[],IF(UTCElegido="",3,12),0)</f>
        <v>46192</v>
      </c>
      <c r="D20" s="231">
        <f>VLOOKUP(A20,tDatos[],IF(UTCElegido="",4,12),0)</f>
        <v>0.95833333333333337</v>
      </c>
      <c r="E20" s="18"/>
      <c r="F20" s="233" t="str">
        <f>VLOOKUP(A20,tDatos[],5,0)</f>
        <v>TURQUÍA</v>
      </c>
      <c r="G20" s="223" t="str">
        <f>IF(AND(I20&lt;&gt;"",K20&lt;&gt;""),IF(I20=K20,"E",IF(I20&gt;K20,"G","P")),"")</f>
        <v>E</v>
      </c>
      <c r="H20" s="20"/>
      <c r="I20" s="293">
        <v>2</v>
      </c>
      <c r="J20" s="279" t="s">
        <v>0</v>
      </c>
      <c r="K20" s="293">
        <v>2</v>
      </c>
      <c r="L20" s="223" t="str">
        <f>IF(AND(K20&lt;&gt;"",I20&lt;&gt;""),IF(K20=I20,"E",IF(K20&gt;I20,"G","P")),"")</f>
        <v>E</v>
      </c>
      <c r="M20" s="19"/>
      <c r="N20" s="224" t="str">
        <f>VLOOKUP(A20,tDatos[],6,0)</f>
        <v>PARAGUAY</v>
      </c>
      <c r="O20" s="18"/>
      <c r="P20" s="225" t="str">
        <f>VLOOKUP(A20,tDatos[],9,0)</f>
        <v>San Francisco</v>
      </c>
      <c r="R20" s="287" t="str">
        <f>"  3)  " &amp; VLOOKUP(3,$AE$10:$AF$29,2,0)</f>
        <v xml:space="preserve">  3)  TURQUÍA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1</v>
      </c>
      <c r="Y20" s="255">
        <f>VLOOKUP(3,$AE$10:$AJ$29,6,0)</f>
        <v>1</v>
      </c>
      <c r="Z20" s="255">
        <f>VLOOKUP(3,$AE$10:$AK$29,7,0)</f>
        <v>4</v>
      </c>
      <c r="AA20" s="255">
        <f>VLOOKUP(3,$AE$10:$AL$29,8,0)</f>
        <v>5</v>
      </c>
      <c r="AB20" s="283">
        <f>Z20-AA20</f>
        <v>-1</v>
      </c>
      <c r="AC20" s="284">
        <f>(W20*3)+X20</f>
        <v>4</v>
      </c>
      <c r="AD20" s="243">
        <f>RANK(AO20,$AO$10:$AO$29,0)</f>
        <v>4</v>
      </c>
      <c r="AE20" s="243">
        <f>RANK(AP20,$AP$10:$AP$29,1)</f>
        <v>4</v>
      </c>
      <c r="AF20" s="243" t="str">
        <f>F12</f>
        <v>AUSTRALIA</v>
      </c>
      <c r="AG20" s="247">
        <f>3-COUNTIF(I34:K34,"")</f>
        <v>3</v>
      </c>
      <c r="AH20" s="243">
        <f>COUNTIF(I34:K34,"G")</f>
        <v>0</v>
      </c>
      <c r="AI20" s="243">
        <f>COUNTIF(I34:K34,"E")</f>
        <v>0</v>
      </c>
      <c r="AJ20" s="243">
        <f>COUNTIF(I34:K34,"P")</f>
        <v>3</v>
      </c>
      <c r="AK20" s="247">
        <f>SUM(I12,K16,K28)</f>
        <v>3</v>
      </c>
      <c r="AL20" s="247">
        <f>SUM(K12,I16,I28)</f>
        <v>7</v>
      </c>
      <c r="AM20" s="243">
        <f>AK20-AL20</f>
        <v>-4</v>
      </c>
      <c r="AN20" s="243">
        <f>(AH20*3)+AI20*vcp</f>
        <v>0</v>
      </c>
      <c r="AO20" s="243">
        <f>IF($AO$6&gt;0,AN20*10+1)</f>
        <v>1</v>
      </c>
      <c r="AP20" s="243">
        <f>IF(AF20=$R$38,BF20-100,IF(AF20=$R$37,BF20-200,IF(AF20=$R$36,BF20-300,BF20)))</f>
        <v>4</v>
      </c>
      <c r="AQ20" s="243" t="str">
        <f>IF(R38="",IF(SUM($V$10:$V$29)&gt;0,VLOOKUP(3,$AE$10:$AF$29,2,0),""),R38)</f>
        <v>PARAGUAY</v>
      </c>
      <c r="AR20" s="148" t="str">
        <f>F20&amp;N20</f>
        <v>TURQUÍAPARAGUAY</v>
      </c>
      <c r="AS20" s="148" t="str">
        <f>IF(I20&gt;K20,F20,IF(K20&gt;I20,N20,""))</f>
        <v/>
      </c>
      <c r="AT20" s="149">
        <f>I20</f>
        <v>2</v>
      </c>
      <c r="AU20" s="149">
        <f>K20</f>
        <v>2</v>
      </c>
      <c r="AV20" s="149">
        <f>AT20-AU20</f>
        <v>0</v>
      </c>
      <c r="AW20" s="242">
        <f>RANK(AY20,$AY$10:$AY$29,0)</f>
        <v>4</v>
      </c>
      <c r="AX20" s="244">
        <f>IF(AND($AO$6&gt;0,$AP$6&gt;0),AN20*10000+AZ20,AO20)</f>
        <v>1</v>
      </c>
      <c r="AY20" s="244">
        <f>IF(AND($AO$6&gt;0,$AP$6&gt;0),AN20*10000+AZ20-2,AO20)</f>
        <v>1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4</v>
      </c>
      <c r="BB20" s="242">
        <f>AX20+BD20</f>
        <v>1</v>
      </c>
      <c r="BC20" s="244">
        <f>AX20+BD20+1</f>
        <v>2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1.01</v>
      </c>
      <c r="BF20" s="242">
        <f>RANK(BE20,$BE$10:$BE$29)</f>
        <v>4</v>
      </c>
      <c r="BG20" s="241">
        <f>BE20-0.01</f>
        <v>1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PARAGUAYTURQUÍA</v>
      </c>
      <c r="AS21" s="148" t="str">
        <f>IF(I20&gt;K20,F20,IF(K20&gt;I20,N20,""))</f>
        <v/>
      </c>
      <c r="AT21" s="149">
        <f>K20</f>
        <v>2</v>
      </c>
      <c r="AU21" s="149">
        <f>I20</f>
        <v>2</v>
      </c>
      <c r="AV21" s="149">
        <f>AT21-AU21</f>
        <v>0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59</v>
      </c>
      <c r="B24" s="232">
        <v>59</v>
      </c>
      <c r="C24" s="235">
        <f>VLOOKUP(A24,tDatos[],IF(UTCElegido="",3,12),0)</f>
        <v>46198</v>
      </c>
      <c r="D24" s="231">
        <f>VLOOKUP(A24,tDatos[],IF(UTCElegido="",4,12),0)</f>
        <v>0.91666666666666663</v>
      </c>
      <c r="E24" s="18"/>
      <c r="F24" s="233" t="str">
        <f>VLOOKUP(A24,tDatos[],5,0)</f>
        <v>TURQUÍA</v>
      </c>
      <c r="G24" s="223" t="str">
        <f>IF(AND(I24&lt;&gt;"",K24&lt;&gt;""),IF(I24=K24,"E",IF(I24&gt;K24,"G","P")),"")</f>
        <v>P</v>
      </c>
      <c r="H24" s="20"/>
      <c r="I24" s="293">
        <v>0</v>
      </c>
      <c r="J24" s="279" t="s">
        <v>0</v>
      </c>
      <c r="K24" s="293">
        <v>2</v>
      </c>
      <c r="L24" s="223" t="str">
        <f>IF(AND(K24&lt;&gt;"",I24&lt;&gt;""),IF(K24=I24,"E",IF(K24&gt;I24,"G","P")),"")</f>
        <v>G</v>
      </c>
      <c r="M24" s="19"/>
      <c r="N24" s="224" t="str">
        <f>VLOOKUP(A24,tDatos[],6,0)</f>
        <v>ESTADOS UNIDOS</v>
      </c>
      <c r="O24" s="18"/>
      <c r="P24" s="225" t="str">
        <f>VLOOKUP(A24,tDatos[],9,0)</f>
        <v>Los Angeles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TURQUÍAESTADOS UNIDOS</v>
      </c>
      <c r="AS24" s="148" t="str">
        <f>IF(I24&gt;K24,F24,IF(K24&gt;I24,N24,""))</f>
        <v>ESTADOS UNIDOS</v>
      </c>
      <c r="AT24" s="149">
        <f>I24</f>
        <v>0</v>
      </c>
      <c r="AU24" s="149">
        <f>K24</f>
        <v>2</v>
      </c>
      <c r="AV24" s="149">
        <f>AT24-AU24</f>
        <v>-2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AUSTRALIA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3</v>
      </c>
      <c r="AA25" s="255">
        <f>VLOOKUP(4,$AE$10:$AL$29,8,0)</f>
        <v>7</v>
      </c>
      <c r="AB25" s="283">
        <f>Z25-AA25</f>
        <v>-4</v>
      </c>
      <c r="AC25" s="284">
        <f>(W25*3)+X25</f>
        <v>0</v>
      </c>
      <c r="AD25" s="243">
        <f>RANK(AO25,$AO$10:$AO$29,0)</f>
        <v>3</v>
      </c>
      <c r="AE25" s="243">
        <f>RANK(AP25,$AP$10:$AP$29,1)</f>
        <v>3</v>
      </c>
      <c r="AF25" s="243" t="str">
        <f>N12</f>
        <v>TURQUÍA</v>
      </c>
      <c r="AG25" s="247">
        <f>3-COUNTIF(I35:K35,"")</f>
        <v>3</v>
      </c>
      <c r="AH25" s="243">
        <f>COUNTIF(I35:K35,"G")</f>
        <v>1</v>
      </c>
      <c r="AI25" s="243">
        <f>COUNTIF(I35:K35,"E")</f>
        <v>1</v>
      </c>
      <c r="AJ25" s="243">
        <f>COUNTIF(I35:K35,"P")</f>
        <v>1</v>
      </c>
      <c r="AK25" s="247">
        <f>SUM(K12,I20,I24)</f>
        <v>4</v>
      </c>
      <c r="AL25" s="247">
        <f>SUM(I12,K20,K24)</f>
        <v>5</v>
      </c>
      <c r="AM25" s="243">
        <f>AK25-AL25</f>
        <v>-1</v>
      </c>
      <c r="AN25" s="243">
        <f>(AH25*3)+AI25*vcp</f>
        <v>4</v>
      </c>
      <c r="AO25" s="243">
        <f>IF($AO$6&gt;0,AN25*10)</f>
        <v>40</v>
      </c>
      <c r="AP25" s="243">
        <f>IF(AF25=$R$38,BF25-100,IF(AF25=$R$37,BF25-200,IF(AF25=$R$36,BF25-300,BF25)))</f>
        <v>3</v>
      </c>
      <c r="AQ25" s="243" t="str">
        <f>IF(SUM($V$10:$V$29)&gt;0,VLOOKUP(4,$AE$10:$AF$29,2,0),"")</f>
        <v>AUSTRALIA</v>
      </c>
      <c r="AR25" s="148" t="str">
        <f>N24&amp;F24</f>
        <v>ESTADOS UNIDOSTURQUÍA</v>
      </c>
      <c r="AS25" s="148" t="str">
        <f>IF(I24&gt;K24,F24,IF(K24&gt;I24,N24,""))</f>
        <v>ESTADOS UNIDOS</v>
      </c>
      <c r="AT25" s="149">
        <f>K24</f>
        <v>2</v>
      </c>
      <c r="AU25" s="149">
        <f>I24</f>
        <v>0</v>
      </c>
      <c r="AV25" s="149">
        <f>AT25-AU25</f>
        <v>2</v>
      </c>
      <c r="AW25" s="242">
        <f>RANK(AY25,$AY$10:$AY$29,0)</f>
        <v>3</v>
      </c>
      <c r="AX25" s="244">
        <f>IF(AND($AO$6&gt;0,$AP$6&gt;0),AN25*10000+AZ25,AO25)</f>
        <v>40</v>
      </c>
      <c r="AY25" s="244">
        <f>IF(AND($AO$6&gt;0,$AP$6&gt;0),AN25*10000+AZ25-3,AO25)</f>
        <v>40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3</v>
      </c>
      <c r="BB25" s="242">
        <f>AX25+BD25</f>
        <v>40</v>
      </c>
      <c r="BC25" s="244">
        <f>AX25+BD25</f>
        <v>40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40</v>
      </c>
      <c r="BF25" s="242">
        <f>RANK(BE25,$BE$10:$BE$29)</f>
        <v>3</v>
      </c>
      <c r="BG25" s="241">
        <f>BE25</f>
        <v>40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60</v>
      </c>
      <c r="B28" s="232">
        <v>60</v>
      </c>
      <c r="C28" s="235">
        <f>VLOOKUP(A28,tDatos[],IF(UTCElegido="",3,12),0)</f>
        <v>46198</v>
      </c>
      <c r="D28" s="231">
        <f>VLOOKUP(A28,tDatos[],IF(UTCElegido="",4,12),0)</f>
        <v>0.91666666666666663</v>
      </c>
      <c r="E28" s="18"/>
      <c r="F28" s="233" t="str">
        <f>VLOOKUP(A28,tDatos[],5,0)</f>
        <v>PARAGUAY</v>
      </c>
      <c r="G28" s="223" t="str">
        <f>IF(AND(I28&lt;&gt;"",K28&lt;&gt;""),IF(I28=K28,"E",IF(I28&gt;K28,"G","P")),"")</f>
        <v>G</v>
      </c>
      <c r="H28" s="20"/>
      <c r="I28" s="293">
        <v>3</v>
      </c>
      <c r="J28" s="279" t="s">
        <v>0</v>
      </c>
      <c r="K28" s="293">
        <v>1</v>
      </c>
      <c r="L28" s="223" t="str">
        <f>IF(AND(K28&lt;&gt;"",I28&lt;&gt;""),IF(K28=I28,"E",IF(K28&gt;I28,"G","P")),"")</f>
        <v>P</v>
      </c>
      <c r="M28" s="19"/>
      <c r="N28" s="224" t="str">
        <f>VLOOKUP(A28,tDatos[],6,0)</f>
        <v>AUSTRALIA</v>
      </c>
      <c r="O28" s="18"/>
      <c r="P28" s="225" t="str">
        <f>VLOOKUP(A28,tDatos[],9,0)</f>
        <v>San Francisco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PARAGUAYAUSTRALIA</v>
      </c>
      <c r="AS28" s="148" t="str">
        <f>IF(I28&gt;K28,F28,IF(K28&gt;I28,N28,""))</f>
        <v>PARAGUAY</v>
      </c>
      <c r="AT28" s="149">
        <f>I28</f>
        <v>3</v>
      </c>
      <c r="AU28" s="149">
        <f>K28</f>
        <v>1</v>
      </c>
      <c r="AV28" s="149">
        <f>AT28-AU28</f>
        <v>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AUSTRALIAPARAGUAY</v>
      </c>
      <c r="AS29" s="148" t="str">
        <f>IF(I28&gt;K28,F28,IF(K28&gt;I28,N28,""))</f>
        <v>PARAGUAY</v>
      </c>
      <c r="AT29" s="149">
        <f>K28</f>
        <v>1</v>
      </c>
      <c r="AU29" s="149">
        <f>I28</f>
        <v>3</v>
      </c>
      <c r="AV29" s="149">
        <f>AT29-AU29</f>
        <v>-2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ESTADOS UNIDOS</v>
      </c>
      <c r="I32" t="str">
        <f>G8</f>
        <v>E</v>
      </c>
      <c r="J32" t="str">
        <f>G16</f>
        <v>G</v>
      </c>
      <c r="K32" t="str">
        <f>L24</f>
        <v>G</v>
      </c>
    </row>
    <row r="33" spans="6:21" hidden="1" x14ac:dyDescent="0.3">
      <c r="F33" t="str">
        <f>N8</f>
        <v>PARAGUAY</v>
      </c>
      <c r="I33" t="str">
        <f>L8</f>
        <v>E</v>
      </c>
      <c r="J33" t="str">
        <f>L20</f>
        <v>E</v>
      </c>
      <c r="K33" t="str">
        <f>G28</f>
        <v>G</v>
      </c>
    </row>
    <row r="34" spans="6:21" hidden="1" x14ac:dyDescent="0.3">
      <c r="F34" t="str">
        <f>F12</f>
        <v>AUSTRALIA</v>
      </c>
      <c r="I34" t="str">
        <f>G12</f>
        <v>P</v>
      </c>
      <c r="J34" t="str">
        <f>L16</f>
        <v>P</v>
      </c>
      <c r="K34" t="str">
        <f>L28</f>
        <v>P</v>
      </c>
    </row>
    <row r="35" spans="6:21" hidden="1" x14ac:dyDescent="0.3">
      <c r="F35" t="str">
        <f>N12</f>
        <v>TURQUÍA</v>
      </c>
      <c r="I35" t="str">
        <f>L12</f>
        <v>G</v>
      </c>
      <c r="J35" t="str">
        <f>G20</f>
        <v>E</v>
      </c>
      <c r="K35" t="str">
        <f>G24</f>
        <v>P</v>
      </c>
    </row>
    <row r="36" spans="6:21" x14ac:dyDescent="0.3">
      <c r="N36" s="157" t="s">
        <v>391</v>
      </c>
      <c r="Q36" s="3" t="s">
        <v>392</v>
      </c>
      <c r="R36" s="250" t="s">
        <v>69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208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208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>
      <selection activeCell="R43" sqref="R43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9</v>
      </c>
      <c r="B8" s="232">
        <v>10</v>
      </c>
      <c r="C8" s="235">
        <f>VLOOKUP(A8,tDatos[],IF(UTCElegido="",3,12),0)</f>
        <v>46187</v>
      </c>
      <c r="D8" s="231">
        <f>VLOOKUP(A8,tDatos[],IF(UTCElegido="",4,12),0)</f>
        <v>0.54166666666666663</v>
      </c>
      <c r="E8" s="18"/>
      <c r="F8" s="233" t="str">
        <f>VLOOKUP(A8,tDatos[],5,0)</f>
        <v>ALEMANIA</v>
      </c>
      <c r="G8" s="223" t="str">
        <f>IF(AND(I8&lt;&gt;"",K8&lt;&gt;""),IF(I8=K8,"E",IF(I8&gt;K8,"G","P")),"")</f>
        <v>G</v>
      </c>
      <c r="H8" s="20"/>
      <c r="I8" s="293">
        <v>3</v>
      </c>
      <c r="J8" s="279" t="s">
        <v>0</v>
      </c>
      <c r="K8" s="293">
        <v>0</v>
      </c>
      <c r="L8" s="223" t="str">
        <f>IF(AND(K8&lt;&gt;"",I8&lt;&gt;""),IF(K8=I8,"E",IF(K8&gt;I8,"G","P")),"")</f>
        <v>P</v>
      </c>
      <c r="M8" s="19"/>
      <c r="N8" s="224" t="str">
        <f>VLOOKUP(A8,tDatos[],6,0)</f>
        <v>CURAZAO</v>
      </c>
      <c r="O8" s="18"/>
      <c r="P8" s="225" t="str">
        <f>VLOOKUP(A8,tDatos[],9,0)</f>
        <v>Houston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ALEMANIACURAZAO</v>
      </c>
      <c r="AS8" s="148" t="str">
        <f>IF(I8&gt;K8,F8,IF(K8&gt;I8,N8,""))</f>
        <v>ALEMANIA</v>
      </c>
      <c r="AT8" s="149">
        <f>I8</f>
        <v>3</v>
      </c>
      <c r="AU8" s="149">
        <f>K8</f>
        <v>0</v>
      </c>
      <c r="AV8" s="149">
        <f>AT8-AU8</f>
        <v>3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CURAZAOALEMANIA</v>
      </c>
      <c r="AS9" s="148" t="str">
        <f>IF(I8&gt;K8,F8,IF(K8&gt;I8,N8,""))</f>
        <v>ALEMANIA</v>
      </c>
      <c r="AT9" s="149">
        <f>K8</f>
        <v>0</v>
      </c>
      <c r="AU9" s="149">
        <f>I8</f>
        <v>3</v>
      </c>
      <c r="AV9" s="149">
        <f>AT9-AU9</f>
        <v>-3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ALEMANIA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8</v>
      </c>
      <c r="AA10" s="253">
        <f>VLOOKUP(1,$AE$10:$AL$29,8,0)</f>
        <v>1</v>
      </c>
      <c r="AB10" s="253">
        <f>Z10-AA10</f>
        <v>7</v>
      </c>
      <c r="AC10" s="257">
        <f>(W10*3)+X10</f>
        <v>7</v>
      </c>
      <c r="AD10" s="243">
        <f>RANK(AO10,$AO$10:$AO$29,0)</f>
        <v>1</v>
      </c>
      <c r="AE10" s="243">
        <f>RANK(AP10,$AP$10:$AP$29,1)</f>
        <v>1</v>
      </c>
      <c r="AF10" s="243" t="str">
        <f>F8</f>
        <v>ALEMANIA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SUM(I8,I16,K28)</f>
        <v>8</v>
      </c>
      <c r="AL10" s="243">
        <f>SUM(K8,K16,I28)</f>
        <v>1</v>
      </c>
      <c r="AM10" s="243">
        <f>AK10-AL10</f>
        <v>7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ALEMANIA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70000</v>
      </c>
      <c r="AY10" s="244">
        <f>IF(AND($AO$6&gt;0,$AP$6&gt;0),AN10*10000+AZ10,AO10)</f>
        <v>70000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70000</v>
      </c>
      <c r="BC10" s="244">
        <f>AX10+BD10+3</f>
        <v>70003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70077.83</v>
      </c>
      <c r="BF10" s="242">
        <f>RANK(BE10,$BE$10:$BE$29)</f>
        <v>1</v>
      </c>
      <c r="BG10" s="241">
        <f>BE10-0.03</f>
        <v>70077.8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11</v>
      </c>
      <c r="B12" s="232">
        <v>9</v>
      </c>
      <c r="C12" s="235">
        <f>VLOOKUP(A12,tDatos[],IF(UTCElegido="",3,12),0)</f>
        <v>46187</v>
      </c>
      <c r="D12" s="231">
        <f>VLOOKUP(A12,tDatos[],IF(UTCElegido="",4,12),0)</f>
        <v>0.79166666666666663</v>
      </c>
      <c r="E12" s="18"/>
      <c r="F12" s="233" t="str">
        <f>VLOOKUP(A12,tDatos[],5,0)</f>
        <v>COSTA de MARFIL</v>
      </c>
      <c r="G12" s="223" t="str">
        <f>IF(AND(I12&lt;&gt;"",K12&lt;&gt;""),IF(I12=K12,"E",IF(I12&gt;K12,"G","P")),"")</f>
        <v>P</v>
      </c>
      <c r="H12" s="20"/>
      <c r="I12" s="293">
        <v>1</v>
      </c>
      <c r="J12" s="279" t="s">
        <v>0</v>
      </c>
      <c r="K12" s="293">
        <v>3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ECUADOR</v>
      </c>
      <c r="O12" s="18"/>
      <c r="P12" s="225" t="str">
        <f>VLOOKUP(A12,tDatos[],9,0)</f>
        <v>Filadelfia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COSTA de MARFILECUADOR</v>
      </c>
      <c r="AS12" s="148" t="str">
        <f>IF(I12&gt;K12,F12,IF(K12&gt;I12,N12,""))</f>
        <v>ECUADOR</v>
      </c>
      <c r="AT12" s="149">
        <f>I12</f>
        <v>1</v>
      </c>
      <c r="AU12" s="149">
        <f>K12</f>
        <v>3</v>
      </c>
      <c r="AV12" s="149">
        <f>AT12-AU12</f>
        <v>-2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ECUADORCOSTA de MARFIL</v>
      </c>
      <c r="AS13" s="148" t="str">
        <f>IF(I12&gt;K12,F12,IF(K12&gt;I12,N12,""))</f>
        <v>ECUADOR</v>
      </c>
      <c r="AT13" s="149">
        <f>K12</f>
        <v>3</v>
      </c>
      <c r="AU13" s="149">
        <f>I12</f>
        <v>1</v>
      </c>
      <c r="AV13" s="149">
        <f>AT13-AU13</f>
        <v>2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ECUADOR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1</v>
      </c>
      <c r="Y15" s="253">
        <f>VLOOKUP(2,$AE$10:$AJ$29,6,0)</f>
        <v>0</v>
      </c>
      <c r="Z15" s="253">
        <f>VLOOKUP(2,$AE$10:$AK$29,7,0)</f>
        <v>6</v>
      </c>
      <c r="AA15" s="253">
        <f>VLOOKUP(2,$AE$10:$AL$29,8,0)</f>
        <v>2</v>
      </c>
      <c r="AB15" s="253">
        <f>Z15-AA15</f>
        <v>4</v>
      </c>
      <c r="AC15" s="257">
        <f>(W15*3)+X15</f>
        <v>7</v>
      </c>
      <c r="AD15" s="243">
        <f>RANK(AO15,$AO$10:$AO$29,0)</f>
        <v>4</v>
      </c>
      <c r="AE15" s="243">
        <f>RANK(AP15,$AP$10:$AP$29,1)</f>
        <v>4</v>
      </c>
      <c r="AF15" s="243" t="str">
        <f>N8</f>
        <v>CURAZAO</v>
      </c>
      <c r="AG15" s="247">
        <f>3-COUNTIF(I33:K33,"")</f>
        <v>3</v>
      </c>
      <c r="AH15" s="243">
        <f>COUNTIF(I33:K33,"G")</f>
        <v>0</v>
      </c>
      <c r="AI15" s="243">
        <f>COUNTIF(I33:K33,"E")</f>
        <v>0</v>
      </c>
      <c r="AJ15" s="243">
        <f>COUNTIF(I33:K33,"P")</f>
        <v>3</v>
      </c>
      <c r="AK15" s="247">
        <f>SUM(K8,K20,I24)</f>
        <v>0</v>
      </c>
      <c r="AL15" s="243">
        <f>SUM(I8,I20,K24)</f>
        <v>8</v>
      </c>
      <c r="AM15" s="243">
        <f>AK15-AL15</f>
        <v>-8</v>
      </c>
      <c r="AN15" s="243">
        <f>(AH15*3)+AI15*vcp</f>
        <v>0</v>
      </c>
      <c r="AO15" s="243">
        <f>IF($AO$6&gt;0,AN15*10+2)</f>
        <v>2</v>
      </c>
      <c r="AP15" s="243">
        <f>IF(AF15=$R$38,BF15-100,IF(AF15=$R$37,BF15-200,IF(AF15=$R$36,BF15-300,BF15)))</f>
        <v>4</v>
      </c>
      <c r="AQ15" s="243" t="str">
        <f>IF(R37="",IF(SUM($V$10:$V$29)&gt;0,VLOOKUP(2,$AE$10:$AF$29,2,0),""),R37)</f>
        <v>ECUADOR</v>
      </c>
      <c r="AR15" s="151"/>
      <c r="AS15" s="148"/>
      <c r="AT15" s="148"/>
      <c r="AU15" s="148"/>
      <c r="AV15" s="152"/>
      <c r="AW15" s="242">
        <f>RANK(AY15,$AY$10:$AY$29,0)</f>
        <v>4</v>
      </c>
      <c r="AX15" s="244">
        <f>IF(AND($AO$6&gt;0,$AP$6&gt;0),AN15*10000+AZ15,AO15)</f>
        <v>0</v>
      </c>
      <c r="AY15" s="244">
        <f>IF(AND($AO$6&gt;0,$AP$6&gt;0),AN15*10000+AZ15-1,AO15)</f>
        <v>-1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4</v>
      </c>
      <c r="BB15" s="242">
        <f>AX15+BD15</f>
        <v>0</v>
      </c>
      <c r="BC15" s="244">
        <f>AX15+BD15+2</f>
        <v>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-7.98</v>
      </c>
      <c r="BF15" s="242">
        <f>RANK(BE15,$BE$10:$BE$29)</f>
        <v>4</v>
      </c>
      <c r="BG15" s="241">
        <f>BE15-0.02</f>
        <v>-8</v>
      </c>
      <c r="BH15" s="241">
        <f>COUNTIF($BG$10:$BG$29,BG15)</f>
        <v>1</v>
      </c>
    </row>
    <row r="16" spans="1:60" ht="7.5" customHeight="1" x14ac:dyDescent="0.3">
      <c r="A16" s="276">
        <v>34</v>
      </c>
      <c r="B16" s="232">
        <v>33</v>
      </c>
      <c r="C16" s="235">
        <f>VLOOKUP(A16,tDatos[],IF(UTCElegido="",3,12),0)</f>
        <v>46193</v>
      </c>
      <c r="D16" s="231">
        <f>VLOOKUP(A16,tDatos[],IF(UTCElegido="",4,12),0)</f>
        <v>0.66666666666666663</v>
      </c>
      <c r="E16" s="18"/>
      <c r="F16" s="233" t="str">
        <f>VLOOKUP(A16,tDatos[],5,0)</f>
        <v>ALEMANIA</v>
      </c>
      <c r="G16" s="223" t="str">
        <f>IF(AND(I16&lt;&gt;"",K16&lt;&gt;""),IF(I16=K16,"E",IF(I16&gt;K16,"G","P")),"")</f>
        <v>G</v>
      </c>
      <c r="H16" s="20"/>
      <c r="I16" s="293">
        <v>4</v>
      </c>
      <c r="J16" s="279" t="s">
        <v>0</v>
      </c>
      <c r="K16" s="293">
        <v>0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COSTA de MARFIL</v>
      </c>
      <c r="O16" s="18"/>
      <c r="P16" s="225" t="str">
        <f>VLOOKUP(A16,tDatos[],9,0)</f>
        <v>Toronto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ALEMANIACOSTA de MARFIL</v>
      </c>
      <c r="AS16" s="148" t="str">
        <f>IF(I16&gt;K16,F16,IF(K16&gt;I16,N16,""))</f>
        <v>ALEMANIA</v>
      </c>
      <c r="AT16" s="149">
        <f>I16</f>
        <v>4</v>
      </c>
      <c r="AU16" s="149">
        <f>K16</f>
        <v>0</v>
      </c>
      <c r="AV16" s="149">
        <f>AT16-AU16</f>
        <v>4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COSTA de MARFILALEMANIA</v>
      </c>
      <c r="AS17" s="148" t="str">
        <f>IF(I16&gt;K16,F16,IF(K16&gt;I16,N16,""))</f>
        <v>ALEMANIA</v>
      </c>
      <c r="AT17" s="149">
        <f>K16</f>
        <v>0</v>
      </c>
      <c r="AU17" s="149">
        <f>I16</f>
        <v>4</v>
      </c>
      <c r="AV17" s="149">
        <f>AT17-AU17</f>
        <v>-4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35</v>
      </c>
      <c r="B20" s="232">
        <v>34</v>
      </c>
      <c r="C20" s="235">
        <f>VLOOKUP(A20,tDatos[],IF(UTCElegido="",3,12),0)</f>
        <v>46193</v>
      </c>
      <c r="D20" s="231">
        <f>VLOOKUP(A20,tDatos[],IF(UTCElegido="",4,12),0)</f>
        <v>0.83333333333333337</v>
      </c>
      <c r="E20" s="18"/>
      <c r="F20" s="233" t="str">
        <f>VLOOKUP(A20,tDatos[],5,0)</f>
        <v>ECUADOR</v>
      </c>
      <c r="G20" s="223" t="str">
        <f>IF(AND(I20&lt;&gt;"",K20&lt;&gt;""),IF(I20=K20,"E",IF(I20&gt;K20,"G","P")),"")</f>
        <v>G</v>
      </c>
      <c r="H20" s="20"/>
      <c r="I20" s="293">
        <v>2</v>
      </c>
      <c r="J20" s="279" t="s">
        <v>0</v>
      </c>
      <c r="K20" s="293">
        <v>0</v>
      </c>
      <c r="L20" s="223" t="str">
        <f>IF(AND(K20&lt;&gt;"",I20&lt;&gt;""),IF(K20=I20,"E",IF(K20&gt;I20,"G","P")),"")</f>
        <v>P</v>
      </c>
      <c r="M20" s="19"/>
      <c r="N20" s="224" t="str">
        <f>VLOOKUP(A20,tDatos[],6,0)</f>
        <v>CURAZAO</v>
      </c>
      <c r="O20" s="18"/>
      <c r="P20" s="225" t="str">
        <f>VLOOKUP(A20,tDatos[],9,0)</f>
        <v>Kansas City</v>
      </c>
      <c r="R20" s="287" t="str">
        <f>"  3)  " &amp; VLOOKUP(3,$AE$10:$AF$29,2,0)</f>
        <v xml:space="preserve">  3)  COSTA de MARFIL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0</v>
      </c>
      <c r="Y20" s="255">
        <f>VLOOKUP(3,$AE$10:$AJ$29,6,0)</f>
        <v>2</v>
      </c>
      <c r="Z20" s="255">
        <f>VLOOKUP(3,$AE$10:$AK$29,7,0)</f>
        <v>4</v>
      </c>
      <c r="AA20" s="255">
        <f>VLOOKUP(3,$AE$10:$AL$29,8,0)</f>
        <v>7</v>
      </c>
      <c r="AB20" s="283">
        <f>Z20-AA20</f>
        <v>-3</v>
      </c>
      <c r="AC20" s="284">
        <f>(W20*3)+X20</f>
        <v>3</v>
      </c>
      <c r="AD20" s="243">
        <f>RANK(AO20,$AO$10:$AO$29,0)</f>
        <v>3</v>
      </c>
      <c r="AE20" s="243">
        <f>RANK(AP20,$AP$10:$AP$29,1)</f>
        <v>3</v>
      </c>
      <c r="AF20" s="243" t="str">
        <f>F12</f>
        <v>COSTA de MARFIL</v>
      </c>
      <c r="AG20" s="247">
        <f>3-COUNTIF(I34:K34,"")</f>
        <v>3</v>
      </c>
      <c r="AH20" s="243">
        <f>COUNTIF(I34:K34,"G")</f>
        <v>1</v>
      </c>
      <c r="AI20" s="243">
        <f>COUNTIF(I34:K34,"E")</f>
        <v>0</v>
      </c>
      <c r="AJ20" s="243">
        <f>COUNTIF(I34:K34,"P")</f>
        <v>2</v>
      </c>
      <c r="AK20" s="247">
        <f>SUM(I12,K16,K24)</f>
        <v>4</v>
      </c>
      <c r="AL20" s="247">
        <f>SUM(K12,I16,I24)</f>
        <v>7</v>
      </c>
      <c r="AM20" s="243">
        <f>AK20-AL20</f>
        <v>-3</v>
      </c>
      <c r="AN20" s="243">
        <f>(AH20*3)+AI20*vcp</f>
        <v>3</v>
      </c>
      <c r="AO20" s="243">
        <f>IF($AO$6&gt;0,AN20*10+1)</f>
        <v>31</v>
      </c>
      <c r="AP20" s="243">
        <f>IF(AF20=$R$38,BF20-100,IF(AF20=$R$37,BF20-200,IF(AF20=$R$36,BF20-300,BF20)))</f>
        <v>-97</v>
      </c>
      <c r="AQ20" s="243" t="str">
        <f>IF(R38="",IF(SUM($V$10:$V$29)&gt;0,VLOOKUP(3,$AE$10:$AF$29,2,0),""),R38)</f>
        <v>COSTA de MARFIL</v>
      </c>
      <c r="AR20" s="148" t="str">
        <f>F20&amp;N20</f>
        <v>ECUADORCURAZAO</v>
      </c>
      <c r="AS20" s="148" t="str">
        <f>IF(I20&gt;K20,F20,IF(K20&gt;I20,N20,""))</f>
        <v>ECUADOR</v>
      </c>
      <c r="AT20" s="149">
        <f>I20</f>
        <v>2</v>
      </c>
      <c r="AU20" s="149">
        <f>K20</f>
        <v>0</v>
      </c>
      <c r="AV20" s="149">
        <f>AT20-AU20</f>
        <v>2</v>
      </c>
      <c r="AW20" s="242">
        <f>RANK(AY20,$AY$10:$AY$29,0)</f>
        <v>3</v>
      </c>
      <c r="AX20" s="244">
        <f>IF(AND($AO$6&gt;0,$AP$6&gt;0),AN20*10000+AZ20,AO20)</f>
        <v>30000</v>
      </c>
      <c r="AY20" s="244">
        <f>IF(AND($AO$6&gt;0,$AP$6&gt;0),AN20*10000+AZ20-2,AO20)</f>
        <v>29998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3</v>
      </c>
      <c r="BB20" s="242">
        <f>AX20+BD20</f>
        <v>30000</v>
      </c>
      <c r="BC20" s="244">
        <f>AX20+BD20+1</f>
        <v>30001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30027.41</v>
      </c>
      <c r="BF20" s="242">
        <f>RANK(BE20,$BE$10:$BE$29)</f>
        <v>3</v>
      </c>
      <c r="BG20" s="241">
        <f>BE20-0.01</f>
        <v>30027.4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CURAZAOECUADOR</v>
      </c>
      <c r="AS21" s="148" t="str">
        <f>IF(I20&gt;K20,F20,IF(K20&gt;I20,N20,""))</f>
        <v>ECUADOR</v>
      </c>
      <c r="AT21" s="149">
        <f>K20</f>
        <v>0</v>
      </c>
      <c r="AU21" s="149">
        <f>I20</f>
        <v>2</v>
      </c>
      <c r="AV21" s="149">
        <f>AT21-AU21</f>
        <v>-2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55</v>
      </c>
      <c r="B24" s="232">
        <v>55</v>
      </c>
      <c r="C24" s="235">
        <f>VLOOKUP(A24,tDatos[],IF(UTCElegido="",3,12),0)</f>
        <v>46198</v>
      </c>
      <c r="D24" s="231">
        <f>VLOOKUP(A24,tDatos[],IF(UTCElegido="",4,12),0)</f>
        <v>0.66666666666666663</v>
      </c>
      <c r="E24" s="18"/>
      <c r="F24" s="233" t="str">
        <f>VLOOKUP(A24,tDatos[],5,0)</f>
        <v>CURAZAO</v>
      </c>
      <c r="G24" s="223" t="str">
        <f>IF(AND(I24&lt;&gt;"",K24&lt;&gt;""),IF(I24=K24,"E",IF(I24&gt;K24,"G","P")),"")</f>
        <v>P</v>
      </c>
      <c r="H24" s="20"/>
      <c r="I24" s="293">
        <v>0</v>
      </c>
      <c r="J24" s="279" t="s">
        <v>0</v>
      </c>
      <c r="K24" s="293">
        <v>3</v>
      </c>
      <c r="L24" s="223" t="str">
        <f>IF(AND(K24&lt;&gt;"",I24&lt;&gt;""),IF(K24=I24,"E",IF(K24&gt;I24,"G","P")),"")</f>
        <v>G</v>
      </c>
      <c r="M24" s="19"/>
      <c r="N24" s="224" t="str">
        <f>VLOOKUP(A24,tDatos[],6,0)</f>
        <v>COSTA de MARFIL</v>
      </c>
      <c r="O24" s="18"/>
      <c r="P24" s="225" t="str">
        <f>VLOOKUP(A24,tDatos[],9,0)</f>
        <v>Filadelfia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CURAZAOCOSTA de MARFIL</v>
      </c>
      <c r="AS24" s="148" t="str">
        <f>IF(I24&gt;K24,F24,IF(K24&gt;I24,N24,""))</f>
        <v>COSTA de MARFIL</v>
      </c>
      <c r="AT24" s="149">
        <f>I24</f>
        <v>0</v>
      </c>
      <c r="AU24" s="149">
        <f>K24</f>
        <v>3</v>
      </c>
      <c r="AV24" s="149">
        <f>AT24-AU24</f>
        <v>-3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CURAZAO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0</v>
      </c>
      <c r="AA25" s="255">
        <f>VLOOKUP(4,$AE$10:$AL$29,8,0)</f>
        <v>8</v>
      </c>
      <c r="AB25" s="283">
        <f>Z25-AA25</f>
        <v>-8</v>
      </c>
      <c r="AC25" s="284">
        <f>(W25*3)+X25</f>
        <v>0</v>
      </c>
      <c r="AD25" s="243">
        <f>RANK(AO25,$AO$10:$AO$29,0)</f>
        <v>2</v>
      </c>
      <c r="AE25" s="243">
        <f>RANK(AP25,$AP$10:$AP$29,1)</f>
        <v>2</v>
      </c>
      <c r="AF25" s="243" t="str">
        <f>N12</f>
        <v>ECUADOR</v>
      </c>
      <c r="AG25" s="247">
        <f>3-COUNTIF(I35:K35,"")</f>
        <v>3</v>
      </c>
      <c r="AH25" s="243">
        <f>COUNTIF(I35:K35,"G")</f>
        <v>2</v>
      </c>
      <c r="AI25" s="243">
        <f>COUNTIF(I35:K35,"E")</f>
        <v>1</v>
      </c>
      <c r="AJ25" s="243">
        <f>COUNTIF(I35:K35,"P")</f>
        <v>0</v>
      </c>
      <c r="AK25" s="247">
        <f>SUM(K12,I20,I28)</f>
        <v>6</v>
      </c>
      <c r="AL25" s="247">
        <f>SUM(I12,K20,K28)</f>
        <v>2</v>
      </c>
      <c r="AM25" s="243">
        <f>AK25-AL25</f>
        <v>4</v>
      </c>
      <c r="AN25" s="243">
        <f>(AH25*3)+AI25*vcp</f>
        <v>7</v>
      </c>
      <c r="AO25" s="243">
        <f>IF($AO$6&gt;0,AN25*10)</f>
        <v>70</v>
      </c>
      <c r="AP25" s="243">
        <f>IF(AF25=$R$38,BF25-100,IF(AF25=$R$37,BF25-200,IF(AF25=$R$36,BF25-300,BF25)))</f>
        <v>-198</v>
      </c>
      <c r="AQ25" s="243" t="str">
        <f>IF(SUM($V$10:$V$29)&gt;0,VLOOKUP(4,$AE$10:$AF$29,2,0),"")</f>
        <v>CURAZAO</v>
      </c>
      <c r="AR25" s="148" t="str">
        <f>N24&amp;F24</f>
        <v>COSTA de MARFILCURAZAO</v>
      </c>
      <c r="AS25" s="148" t="str">
        <f>IF(I24&gt;K24,F24,IF(K24&gt;I24,N24,""))</f>
        <v>COSTA de MARFIL</v>
      </c>
      <c r="AT25" s="149">
        <f>K24</f>
        <v>3</v>
      </c>
      <c r="AU25" s="149">
        <f>I24</f>
        <v>0</v>
      </c>
      <c r="AV25" s="149">
        <f>AT25-AU25</f>
        <v>3</v>
      </c>
      <c r="AW25" s="242">
        <f>RANK(AY25,$AY$10:$AY$29,0)</f>
        <v>2</v>
      </c>
      <c r="AX25" s="244">
        <f>IF(AND($AO$6&gt;0,$AP$6&gt;0),AN25*10000+AZ25,AO25)</f>
        <v>70000</v>
      </c>
      <c r="AY25" s="244">
        <f>IF(AND($AO$6&gt;0,$AP$6&gt;0),AN25*10000+AZ25-3,AO25)</f>
        <v>69997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1</v>
      </c>
      <c r="BB25" s="242">
        <f>AX25+BD25</f>
        <v>70000</v>
      </c>
      <c r="BC25" s="244">
        <f>AX25+BD25</f>
        <v>70000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70074.600000000006</v>
      </c>
      <c r="BF25" s="242">
        <f>RANK(BE25,$BE$10:$BE$29)</f>
        <v>2</v>
      </c>
      <c r="BG25" s="241">
        <f>BE25</f>
        <v>70074.600000000006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56</v>
      </c>
      <c r="B28" s="232">
        <v>56</v>
      </c>
      <c r="C28" s="235">
        <f>VLOOKUP(A28,tDatos[],IF(UTCElegido="",3,12),0)</f>
        <v>46198</v>
      </c>
      <c r="D28" s="231">
        <f>VLOOKUP(A28,tDatos[],IF(UTCElegido="",4,12),0)</f>
        <v>0.66666666666666663</v>
      </c>
      <c r="E28" s="18"/>
      <c r="F28" s="233" t="str">
        <f>VLOOKUP(A28,tDatos[],5,0)</f>
        <v>ECUADOR</v>
      </c>
      <c r="G28" s="223" t="str">
        <f>IF(AND(I28&lt;&gt;"",K28&lt;&gt;""),IF(I28=K28,"E",IF(I28&gt;K28,"G","P")),"")</f>
        <v>E</v>
      </c>
      <c r="H28" s="20"/>
      <c r="I28" s="293">
        <v>1</v>
      </c>
      <c r="J28" s="279" t="s">
        <v>0</v>
      </c>
      <c r="K28" s="293">
        <v>1</v>
      </c>
      <c r="L28" s="223" t="str">
        <f>IF(AND(K28&lt;&gt;"",I28&lt;&gt;""),IF(K28=I28,"E",IF(K28&gt;I28,"G","P")),"")</f>
        <v>E</v>
      </c>
      <c r="M28" s="19"/>
      <c r="N28" s="224" t="str">
        <f>VLOOKUP(A28,tDatos[],6,0)</f>
        <v>ALEMANIA</v>
      </c>
      <c r="O28" s="18"/>
      <c r="P28" s="225" t="str">
        <f>VLOOKUP(A28,tDatos[],9,0)</f>
        <v>N. York/N. Jersey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ECUADORALEMANIA</v>
      </c>
      <c r="AS28" s="148" t="str">
        <f>IF(I28&gt;K28,F28,IF(K28&gt;I28,N28,""))</f>
        <v/>
      </c>
      <c r="AT28" s="149">
        <f>I28</f>
        <v>1</v>
      </c>
      <c r="AU28" s="149">
        <f>K28</f>
        <v>1</v>
      </c>
      <c r="AV28" s="149">
        <f>AT28-AU28</f>
        <v>0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ALEMANIAECUADOR</v>
      </c>
      <c r="AS29" s="148" t="str">
        <f>IF(I28&gt;K28,F28,IF(K28&gt;I28,N28,""))</f>
        <v/>
      </c>
      <c r="AT29" s="149">
        <f>K28</f>
        <v>1</v>
      </c>
      <c r="AU29" s="149">
        <f>I28</f>
        <v>1</v>
      </c>
      <c r="AV29" s="149">
        <f>AT29-AU29</f>
        <v>0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ALEMANIA</v>
      </c>
      <c r="I32" t="str">
        <f>G8</f>
        <v>G</v>
      </c>
      <c r="J32" t="str">
        <f>G16</f>
        <v>G</v>
      </c>
      <c r="K32" t="str">
        <f>L28</f>
        <v>E</v>
      </c>
    </row>
    <row r="33" spans="6:21" hidden="1" x14ac:dyDescent="0.3">
      <c r="F33" t="str">
        <f>N8</f>
        <v>CURAZAO</v>
      </c>
      <c r="I33" t="str">
        <f>L8</f>
        <v>P</v>
      </c>
      <c r="J33" t="str">
        <f>L20</f>
        <v>P</v>
      </c>
      <c r="K33" t="str">
        <f>G24</f>
        <v>P</v>
      </c>
    </row>
    <row r="34" spans="6:21" hidden="1" x14ac:dyDescent="0.3">
      <c r="F34" t="str">
        <f>F12</f>
        <v>COSTA de MARFIL</v>
      </c>
      <c r="I34" t="str">
        <f>G12</f>
        <v>P</v>
      </c>
      <c r="J34" t="str">
        <f>L16</f>
        <v>P</v>
      </c>
      <c r="K34" t="str">
        <f>L24</f>
        <v>G</v>
      </c>
    </row>
    <row r="35" spans="6:21" hidden="1" x14ac:dyDescent="0.3">
      <c r="F35" t="str">
        <f>N12</f>
        <v>ECUADOR</v>
      </c>
      <c r="I35" t="str">
        <f>L12</f>
        <v>G</v>
      </c>
      <c r="J35" t="str">
        <f>G20</f>
        <v>G</v>
      </c>
      <c r="K35" t="str">
        <f>G28</f>
        <v>E</v>
      </c>
    </row>
    <row r="36" spans="6:21" x14ac:dyDescent="0.3">
      <c r="N36" s="157" t="s">
        <v>391</v>
      </c>
      <c r="Q36" s="3" t="s">
        <v>392</v>
      </c>
      <c r="R36" s="250" t="s">
        <v>19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65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194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10</v>
      </c>
      <c r="B8" s="232">
        <v>11</v>
      </c>
      <c r="C8" s="235">
        <f>VLOOKUP(A8,tDatos[],IF(UTCElegido="",3,12),0)</f>
        <v>46187</v>
      </c>
      <c r="D8" s="231">
        <f>VLOOKUP(A8,tDatos[],IF(UTCElegido="",4,12),0)</f>
        <v>0.66666666666666663</v>
      </c>
      <c r="E8" s="18"/>
      <c r="F8" s="233" t="str">
        <f>VLOOKUP(A8,tDatos[],5,0)</f>
        <v>PAÍSES BAJOS</v>
      </c>
      <c r="G8" s="223" t="str">
        <f>IF(AND(I8&lt;&gt;"",K8&lt;&gt;""),IF(I8=K8,"E",IF(I8&gt;K8,"G","P")),"")</f>
        <v>G</v>
      </c>
      <c r="H8" s="20"/>
      <c r="I8" s="293">
        <v>3</v>
      </c>
      <c r="J8" s="279" t="s">
        <v>0</v>
      </c>
      <c r="K8" s="293">
        <v>1</v>
      </c>
      <c r="L8" s="223" t="str">
        <f>IF(AND(K8&lt;&gt;"",I8&lt;&gt;""),IF(K8=I8,"E",IF(K8&gt;I8,"G","P")),"")</f>
        <v>P</v>
      </c>
      <c r="M8" s="19"/>
      <c r="N8" s="224" t="str">
        <f>VLOOKUP(A8,tDatos[],6,0)</f>
        <v>JAPÓN</v>
      </c>
      <c r="O8" s="18"/>
      <c r="P8" s="225" t="str">
        <f>VLOOKUP(A8,tDatos[],9,0)</f>
        <v>Dallas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PAÍSES BAJOSJAPÓN</v>
      </c>
      <c r="AS8" s="148" t="str">
        <f>IF(I8&gt;K8,F8,IF(K8&gt;I8,N8,""))</f>
        <v>PAÍSES BAJOS</v>
      </c>
      <c r="AT8" s="149">
        <f>I8</f>
        <v>3</v>
      </c>
      <c r="AU8" s="149">
        <f>K8</f>
        <v>1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JAPÓNPAÍSES BAJOS</v>
      </c>
      <c r="AS9" s="148" t="str">
        <f>IF(I8&gt;K8,F8,IF(K8&gt;I8,N8,""))</f>
        <v>PAÍSES BAJOS</v>
      </c>
      <c r="AT9" s="149">
        <f>K8</f>
        <v>1</v>
      </c>
      <c r="AU9" s="149">
        <f>I8</f>
        <v>3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PAÍSES BAJOS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8</v>
      </c>
      <c r="AA10" s="253">
        <f>VLOOKUP(1,$AE$10:$AL$29,8,0)</f>
        <v>2</v>
      </c>
      <c r="AB10" s="253">
        <f>Z10-AA10</f>
        <v>6</v>
      </c>
      <c r="AC10" s="257">
        <f>(W10*3)+X10</f>
        <v>9</v>
      </c>
      <c r="AD10" s="243">
        <f>RANK(AO10,$AO$10:$AO$29,0)</f>
        <v>1</v>
      </c>
      <c r="AE10" s="243">
        <f>RANK(AP10,$AP$10:$AP$29,1)</f>
        <v>1</v>
      </c>
      <c r="AF10" s="243" t="str">
        <f>F8</f>
        <v>PAÍSES BAJOS</v>
      </c>
      <c r="AG10" s="247">
        <f>3-COUNTIF(I32:K32,"")</f>
        <v>3</v>
      </c>
      <c r="AH10" s="243">
        <f>COUNTIF(I32:K32,"G")</f>
        <v>3</v>
      </c>
      <c r="AI10" s="243">
        <f>COUNTIF(I32:K32,"E")</f>
        <v>0</v>
      </c>
      <c r="AJ10" s="243">
        <f>COUNTIF(I32:K32,"P")</f>
        <v>0</v>
      </c>
      <c r="AK10" s="243">
        <f>SUM(I8,I16,K28)</f>
        <v>8</v>
      </c>
      <c r="AL10" s="243">
        <f>SUM(K8,K16,I28)</f>
        <v>2</v>
      </c>
      <c r="AM10" s="243">
        <f>AK10-AL10</f>
        <v>6</v>
      </c>
      <c r="AN10" s="243">
        <f>(AH10*3)+AI10*vcp</f>
        <v>9</v>
      </c>
      <c r="AO10" s="243">
        <f>IF($AO$6&gt;0,AN10*10+3)</f>
        <v>93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PAÍSES BAJOS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90000</v>
      </c>
      <c r="AY10" s="244">
        <f>IF(AND($AO$6&gt;0,$AP$6&gt;0),AN10*10000+AZ10,AO10)</f>
        <v>90000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90000</v>
      </c>
      <c r="BC10" s="244">
        <f>AX10+BD10+3</f>
        <v>90003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90096.83</v>
      </c>
      <c r="BF10" s="242">
        <f>RANK(BE10,$BE$10:$BE$29)</f>
        <v>1</v>
      </c>
      <c r="BG10" s="241">
        <f>BE10-0.03</f>
        <v>90096.8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12</v>
      </c>
      <c r="B12" s="232">
        <v>12</v>
      </c>
      <c r="C12" s="235">
        <f>VLOOKUP(A12,tDatos[],IF(UTCElegido="",3,12),0)</f>
        <v>46187</v>
      </c>
      <c r="D12" s="231">
        <f>VLOOKUP(A12,tDatos[],IF(UTCElegido="",4,12),0)</f>
        <v>0.91666666666666663</v>
      </c>
      <c r="E12" s="18"/>
      <c r="F12" s="233" t="str">
        <f>VLOOKUP(A12,tDatos[],5,0)</f>
        <v>SUECIA</v>
      </c>
      <c r="G12" s="223" t="str">
        <f>IF(AND(I12&lt;&gt;"",K12&lt;&gt;""),IF(I12=K12,"E",IF(I12&gt;K12,"G","P")),"")</f>
        <v>G</v>
      </c>
      <c r="H12" s="20"/>
      <c r="I12" s="293">
        <v>2</v>
      </c>
      <c r="J12" s="279" t="s">
        <v>0</v>
      </c>
      <c r="K12" s="293">
        <v>1</v>
      </c>
      <c r="L12" s="223" t="str">
        <f>IF(AND(K12&lt;&gt;"",I12&lt;&gt;""),IF(K12=I12,"E",IF(K12&gt;I12,"G","P")),"")</f>
        <v>P</v>
      </c>
      <c r="M12" s="19"/>
      <c r="N12" s="224" t="str">
        <f>VLOOKUP(A12,tDatos[],6,0)</f>
        <v>TÚNEZ</v>
      </c>
      <c r="O12" s="18"/>
      <c r="P12" s="225" t="str">
        <f>VLOOKUP(A12,tDatos[],9,0)</f>
        <v>Monterrey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SUECIATÚNEZ</v>
      </c>
      <c r="AS12" s="148" t="str">
        <f>IF(I12&gt;K12,F12,IF(K12&gt;I12,N12,""))</f>
        <v>SUECIA</v>
      </c>
      <c r="AT12" s="149">
        <f>I12</f>
        <v>2</v>
      </c>
      <c r="AU12" s="149">
        <f>K12</f>
        <v>1</v>
      </c>
      <c r="AV12" s="149">
        <f>AT12-AU12</f>
        <v>1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TÚNEZSUECIA</v>
      </c>
      <c r="AS13" s="148" t="str">
        <f>IF(I12&gt;K12,F12,IF(K12&gt;I12,N12,""))</f>
        <v>SUECIA</v>
      </c>
      <c r="AT13" s="149">
        <f>K12</f>
        <v>1</v>
      </c>
      <c r="AU13" s="149">
        <f>I12</f>
        <v>2</v>
      </c>
      <c r="AV13" s="149">
        <f>AT13-AU13</f>
        <v>-1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SUECIA</v>
      </c>
      <c r="S15" s="266"/>
      <c r="T15" s="266"/>
      <c r="U15" s="267"/>
      <c r="V15" s="274">
        <f>VLOOKUP(2,$AE$10:$AG$29,3,0)</f>
        <v>3</v>
      </c>
      <c r="W15" s="253">
        <f>VLOOKUP(2,$AE$10:$AH$29,4,0)</f>
        <v>1</v>
      </c>
      <c r="X15" s="253">
        <f>VLOOKUP(2,$AE$10:$AI$29,5,0)</f>
        <v>1</v>
      </c>
      <c r="Y15" s="253">
        <f>VLOOKUP(2,$AE$10:$AJ$29,6,0)</f>
        <v>1</v>
      </c>
      <c r="Z15" s="253">
        <f>VLOOKUP(2,$AE$10:$AK$29,7,0)</f>
        <v>5</v>
      </c>
      <c r="AA15" s="253">
        <f>VLOOKUP(2,$AE$10:$AL$29,8,0)</f>
        <v>5</v>
      </c>
      <c r="AB15" s="253">
        <f>Z15-AA15</f>
        <v>0</v>
      </c>
      <c r="AC15" s="257">
        <f>(W15*3)+X15</f>
        <v>4</v>
      </c>
      <c r="AD15" s="243">
        <f>RANK(AO15,$AO$10:$AO$29,0)</f>
        <v>2</v>
      </c>
      <c r="AE15" s="243">
        <f>RANK(AP15,$AP$10:$AP$29,1)</f>
        <v>3</v>
      </c>
      <c r="AF15" s="243" t="str">
        <f>N8</f>
        <v>JAPÓN</v>
      </c>
      <c r="AG15" s="247">
        <f>3-COUNTIF(I33:K33,"")</f>
        <v>3</v>
      </c>
      <c r="AH15" s="243">
        <f>COUNTIF(I33:K33,"G")</f>
        <v>1</v>
      </c>
      <c r="AI15" s="243">
        <f>COUNTIF(I33:K33,"E")</f>
        <v>1</v>
      </c>
      <c r="AJ15" s="243">
        <f>COUNTIF(I33:K33,"P")</f>
        <v>1</v>
      </c>
      <c r="AK15" s="247">
        <f>SUM(K8,K20,I24)</f>
        <v>5</v>
      </c>
      <c r="AL15" s="243">
        <f>SUM(I8,I20,K24)</f>
        <v>6</v>
      </c>
      <c r="AM15" s="243">
        <f>AK15-AL15</f>
        <v>-1</v>
      </c>
      <c r="AN15" s="243">
        <f>(AH15*3)+AI15*vcp</f>
        <v>4</v>
      </c>
      <c r="AO15" s="243">
        <f>IF($AO$6&gt;0,AN15*10+2)</f>
        <v>42</v>
      </c>
      <c r="AP15" s="243">
        <f>IF(AF15=$R$38,BF15-100,IF(AF15=$R$37,BF15-200,IF(AF15=$R$36,BF15-300,BF15)))</f>
        <v>-97</v>
      </c>
      <c r="AQ15" s="243" t="str">
        <f>IF(R37="",IF(SUM($V$10:$V$29)&gt;0,VLOOKUP(2,$AE$10:$AF$29,2,0),""),R37)</f>
        <v>SUECIA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40000</v>
      </c>
      <c r="AY15" s="244">
        <f>IF(AND($AO$6&gt;0,$AP$6&gt;0),AN15*10000+AZ15-1,AO15)</f>
        <v>39999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2</v>
      </c>
      <c r="BB15" s="242">
        <f>AX15+BD15</f>
        <v>40000</v>
      </c>
      <c r="BC15" s="244">
        <f>AX15+BD15+2</f>
        <v>40002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40039.519999999997</v>
      </c>
      <c r="BF15" s="242">
        <f>RANK(BE15,$BE$10:$BE$29)</f>
        <v>3</v>
      </c>
      <c r="BG15" s="241">
        <f>BE15-0.02</f>
        <v>40039.5</v>
      </c>
      <c r="BH15" s="241">
        <f>COUNTIF($BG$10:$BG$29,BG15)</f>
        <v>1</v>
      </c>
    </row>
    <row r="16" spans="1:60" ht="7.5" customHeight="1" x14ac:dyDescent="0.3">
      <c r="A16" s="276">
        <v>33</v>
      </c>
      <c r="B16" s="232">
        <v>35</v>
      </c>
      <c r="C16" s="235">
        <f>VLOOKUP(A16,tDatos[],IF(UTCElegido="",3,12),0)</f>
        <v>46193</v>
      </c>
      <c r="D16" s="231">
        <f>VLOOKUP(A16,tDatos[],IF(UTCElegido="",4,12),0)</f>
        <v>0.54166666666666663</v>
      </c>
      <c r="E16" s="18"/>
      <c r="F16" s="233" t="str">
        <f>VLOOKUP(A16,tDatos[],5,0)</f>
        <v>PAÍSES BAJOS</v>
      </c>
      <c r="G16" s="223" t="str">
        <f>IF(AND(I16&lt;&gt;"",K16&lt;&gt;""),IF(I16=K16,"E",IF(I16&gt;K16,"G","P")),"")</f>
        <v>G</v>
      </c>
      <c r="H16" s="20"/>
      <c r="I16" s="293">
        <v>2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SUECIA</v>
      </c>
      <c r="O16" s="18"/>
      <c r="P16" s="225" t="str">
        <f>VLOOKUP(A16,tDatos[],9,0)</f>
        <v>Houston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PAÍSES BAJOSSUECIA</v>
      </c>
      <c r="AS16" s="148" t="str">
        <f>IF(I16&gt;K16,F16,IF(K16&gt;I16,N16,""))</f>
        <v>PAÍSES BAJOS</v>
      </c>
      <c r="AT16" s="149">
        <f>I16</f>
        <v>2</v>
      </c>
      <c r="AU16" s="149">
        <f>K16</f>
        <v>1</v>
      </c>
      <c r="AV16" s="149">
        <f>AT16-AU16</f>
        <v>1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SUECIAPAÍSES BAJOS</v>
      </c>
      <c r="AS17" s="148" t="str">
        <f>IF(I16&gt;K16,F16,IF(K16&gt;I16,N16,""))</f>
        <v>PAÍSES BAJOS</v>
      </c>
      <c r="AT17" s="149">
        <f>K16</f>
        <v>1</v>
      </c>
      <c r="AU17" s="149">
        <f>I16</f>
        <v>2</v>
      </c>
      <c r="AV17" s="149">
        <f>AT17-AU17</f>
        <v>-1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36</v>
      </c>
      <c r="B20" s="232">
        <v>36</v>
      </c>
      <c r="C20" s="235">
        <f>VLOOKUP(A20,tDatos[],IF(UTCElegido="",3,12),0)</f>
        <v>46194</v>
      </c>
      <c r="D20" s="231">
        <f>VLOOKUP(A20,tDatos[],IF(UTCElegido="",4,12),0)</f>
        <v>0</v>
      </c>
      <c r="E20" s="18"/>
      <c r="F20" s="233" t="str">
        <f>VLOOKUP(A20,tDatos[],5,0)</f>
        <v>TÚNEZ</v>
      </c>
      <c r="G20" s="223" t="str">
        <f>IF(AND(I20&lt;&gt;"",K20&lt;&gt;""),IF(I20=K20,"E",IF(I20&gt;K20,"G","P")),"")</f>
        <v>P</v>
      </c>
      <c r="H20" s="20"/>
      <c r="I20" s="293">
        <v>1</v>
      </c>
      <c r="J20" s="279" t="s">
        <v>0</v>
      </c>
      <c r="K20" s="293">
        <v>2</v>
      </c>
      <c r="L20" s="223" t="str">
        <f>IF(AND(K20&lt;&gt;"",I20&lt;&gt;""),IF(K20=I20,"E",IF(K20&gt;I20,"G","P")),"")</f>
        <v>G</v>
      </c>
      <c r="M20" s="19"/>
      <c r="N20" s="224" t="str">
        <f>VLOOKUP(A20,tDatos[],6,0)</f>
        <v>JAPÓN</v>
      </c>
      <c r="O20" s="18"/>
      <c r="P20" s="225" t="str">
        <f>VLOOKUP(A20,tDatos[],9,0)</f>
        <v>Monterrey</v>
      </c>
      <c r="R20" s="287" t="str">
        <f>"  3)  " &amp; VLOOKUP(3,$AE$10:$AF$29,2,0)</f>
        <v xml:space="preserve">  3)  JAPÓN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1</v>
      </c>
      <c r="Y20" s="255">
        <f>VLOOKUP(3,$AE$10:$AJ$29,6,0)</f>
        <v>1</v>
      </c>
      <c r="Z20" s="255">
        <f>VLOOKUP(3,$AE$10:$AK$29,7,0)</f>
        <v>5</v>
      </c>
      <c r="AA20" s="255">
        <f>VLOOKUP(3,$AE$10:$AL$29,8,0)</f>
        <v>6</v>
      </c>
      <c r="AB20" s="283">
        <f>Z20-AA20</f>
        <v>-1</v>
      </c>
      <c r="AC20" s="284">
        <f>(W20*3)+X20</f>
        <v>4</v>
      </c>
      <c r="AD20" s="243">
        <f>RANK(AO20,$AO$10:$AO$29,0)</f>
        <v>3</v>
      </c>
      <c r="AE20" s="243">
        <f>RANK(AP20,$AP$10:$AP$29,1)</f>
        <v>2</v>
      </c>
      <c r="AF20" s="243" t="str">
        <f>F12</f>
        <v>SUECIA</v>
      </c>
      <c r="AG20" s="247">
        <f>3-COUNTIF(I34:K34,"")</f>
        <v>3</v>
      </c>
      <c r="AH20" s="243">
        <f>COUNTIF(I34:K34,"G")</f>
        <v>1</v>
      </c>
      <c r="AI20" s="243">
        <f>COUNTIF(I34:K34,"E")</f>
        <v>1</v>
      </c>
      <c r="AJ20" s="243">
        <f>COUNTIF(I34:K34,"P")</f>
        <v>1</v>
      </c>
      <c r="AK20" s="247">
        <f>SUM(I12,K16,K24)</f>
        <v>5</v>
      </c>
      <c r="AL20" s="247">
        <f>SUM(K12,I16,I24)</f>
        <v>5</v>
      </c>
      <c r="AM20" s="243">
        <f>AK20-AL20</f>
        <v>0</v>
      </c>
      <c r="AN20" s="243">
        <f>(AH20*3)+AI20*vcp</f>
        <v>4</v>
      </c>
      <c r="AO20" s="243">
        <f>IF($AO$6&gt;0,AN20*10+1)</f>
        <v>41</v>
      </c>
      <c r="AP20" s="243">
        <f>IF(AF20=$R$38,BF20-100,IF(AF20=$R$37,BF20-200,IF(AF20=$R$36,BF20-300,BF20)))</f>
        <v>-198</v>
      </c>
      <c r="AQ20" s="243" t="str">
        <f>IF(R38="",IF(SUM($V$10:$V$29)&gt;0,VLOOKUP(3,$AE$10:$AF$29,2,0),""),R38)</f>
        <v>JAPÓN</v>
      </c>
      <c r="AR20" s="148" t="str">
        <f>F20&amp;N20</f>
        <v>TÚNEZJAPÓN</v>
      </c>
      <c r="AS20" s="148" t="str">
        <f>IF(I20&gt;K20,F20,IF(K20&gt;I20,N20,""))</f>
        <v>JAPÓN</v>
      </c>
      <c r="AT20" s="149">
        <f>I20</f>
        <v>1</v>
      </c>
      <c r="AU20" s="149">
        <f>K20</f>
        <v>2</v>
      </c>
      <c r="AV20" s="149">
        <f>AT20-AU20</f>
        <v>-1</v>
      </c>
      <c r="AW20" s="242">
        <f>RANK(AY20,$AY$10:$AY$29,0)</f>
        <v>3</v>
      </c>
      <c r="AX20" s="244">
        <f>IF(AND($AO$6&gt;0,$AP$6&gt;0),AN20*10000+AZ20,AO20)</f>
        <v>40000</v>
      </c>
      <c r="AY20" s="244">
        <f>IF(AND($AO$6&gt;0,$AP$6&gt;0),AN20*10000+AZ20-2,AO20)</f>
        <v>39998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2</v>
      </c>
      <c r="BB20" s="242">
        <f>AX20+BD20</f>
        <v>40000</v>
      </c>
      <c r="BC20" s="244">
        <f>AX20+BD20+1</f>
        <v>40001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40040.51</v>
      </c>
      <c r="BF20" s="242">
        <f>RANK(BE20,$BE$10:$BE$29)</f>
        <v>2</v>
      </c>
      <c r="BG20" s="241">
        <f>BE20-0.01</f>
        <v>40040.5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JAPÓNTÚNEZ</v>
      </c>
      <c r="AS21" s="148" t="str">
        <f>IF(I20&gt;K20,F20,IF(K20&gt;I20,N20,""))</f>
        <v>JAPÓN</v>
      </c>
      <c r="AT21" s="149">
        <f>K20</f>
        <v>2</v>
      </c>
      <c r="AU21" s="149">
        <f>I20</f>
        <v>1</v>
      </c>
      <c r="AV21" s="149">
        <f>AT21-AU21</f>
        <v>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57</v>
      </c>
      <c r="B24" s="232">
        <v>57</v>
      </c>
      <c r="C24" s="235">
        <f>VLOOKUP(A24,tDatos[],IF(UTCElegido="",3,12),0)</f>
        <v>46198</v>
      </c>
      <c r="D24" s="231">
        <f>VLOOKUP(A24,tDatos[],IF(UTCElegido="",4,12),0)</f>
        <v>0.79166666666666663</v>
      </c>
      <c r="E24" s="18"/>
      <c r="F24" s="233" t="str">
        <f>VLOOKUP(A24,tDatos[],5,0)</f>
        <v>JAPÓN</v>
      </c>
      <c r="G24" s="223" t="str">
        <f>IF(AND(I24&lt;&gt;"",K24&lt;&gt;""),IF(I24=K24,"E",IF(I24&gt;K24,"G","P")),"")</f>
        <v>E</v>
      </c>
      <c r="H24" s="20"/>
      <c r="I24" s="293">
        <v>2</v>
      </c>
      <c r="J24" s="279" t="s">
        <v>0</v>
      </c>
      <c r="K24" s="293">
        <v>2</v>
      </c>
      <c r="L24" s="223" t="str">
        <f>IF(AND(K24&lt;&gt;"",I24&lt;&gt;""),IF(K24=I24,"E",IF(K24&gt;I24,"G","P")),"")</f>
        <v>E</v>
      </c>
      <c r="M24" s="19"/>
      <c r="N24" s="224" t="str">
        <f>VLOOKUP(A24,tDatos[],6,0)</f>
        <v>SUECIA</v>
      </c>
      <c r="O24" s="18"/>
      <c r="P24" s="225" t="str">
        <f>VLOOKUP(A24,tDatos[],9,0)</f>
        <v>Dallas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JAPÓNSUECIA</v>
      </c>
      <c r="AS24" s="148" t="str">
        <f>IF(I24&gt;K24,F24,IF(K24&gt;I24,N24,""))</f>
        <v/>
      </c>
      <c r="AT24" s="149">
        <f>I24</f>
        <v>2</v>
      </c>
      <c r="AU24" s="149">
        <f>K24</f>
        <v>2</v>
      </c>
      <c r="AV24" s="149">
        <f>AT24-AU24</f>
        <v>0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TÚNEZ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2</v>
      </c>
      <c r="AA25" s="255">
        <f>VLOOKUP(4,$AE$10:$AL$29,8,0)</f>
        <v>7</v>
      </c>
      <c r="AB25" s="283">
        <f>Z25-AA25</f>
        <v>-5</v>
      </c>
      <c r="AC25" s="284">
        <f>(W25*3)+X25</f>
        <v>0</v>
      </c>
      <c r="AD25" s="243">
        <f>RANK(AO25,$AO$10:$AO$29,0)</f>
        <v>4</v>
      </c>
      <c r="AE25" s="243">
        <f>RANK(AP25,$AP$10:$AP$29,1)</f>
        <v>4</v>
      </c>
      <c r="AF25" s="243" t="str">
        <f>N12</f>
        <v>TÚNEZ</v>
      </c>
      <c r="AG25" s="247">
        <f>3-COUNTIF(I35:K35,"")</f>
        <v>3</v>
      </c>
      <c r="AH25" s="243">
        <f>COUNTIF(I35:K35,"G")</f>
        <v>0</v>
      </c>
      <c r="AI25" s="243">
        <f>COUNTIF(I35:K35,"E")</f>
        <v>0</v>
      </c>
      <c r="AJ25" s="243">
        <f>COUNTIF(I35:K35,"P")</f>
        <v>3</v>
      </c>
      <c r="AK25" s="247">
        <f>SUM(K12,I20,I28)</f>
        <v>2</v>
      </c>
      <c r="AL25" s="247">
        <f>SUM(I12,K20,K28)</f>
        <v>7</v>
      </c>
      <c r="AM25" s="243">
        <f>AK25-AL25</f>
        <v>-5</v>
      </c>
      <c r="AN25" s="243">
        <f>(AH25*3)+AI25*vcp</f>
        <v>0</v>
      </c>
      <c r="AO25" s="243">
        <f>IF($AO$6&gt;0,AN25*10)</f>
        <v>0</v>
      </c>
      <c r="AP25" s="243">
        <f>IF(AF25=$R$38,BF25-100,IF(AF25=$R$37,BF25-200,IF(AF25=$R$36,BF25-300,BF25)))</f>
        <v>4</v>
      </c>
      <c r="AQ25" s="243" t="str">
        <f>IF(SUM($V$10:$V$29)&gt;0,VLOOKUP(4,$AE$10:$AF$29,2,0),"")</f>
        <v>TÚNEZ</v>
      </c>
      <c r="AR25" s="148" t="str">
        <f>N24&amp;F24</f>
        <v>SUECIAJAPÓN</v>
      </c>
      <c r="AS25" s="148" t="str">
        <f>IF(I24&gt;K24,F24,IF(K24&gt;I24,N24,""))</f>
        <v/>
      </c>
      <c r="AT25" s="149">
        <f>K24</f>
        <v>2</v>
      </c>
      <c r="AU25" s="149">
        <f>I24</f>
        <v>2</v>
      </c>
      <c r="AV25" s="149">
        <f>AT25-AU25</f>
        <v>0</v>
      </c>
      <c r="AW25" s="242">
        <f>RANK(AY25,$AY$10:$AY$29,0)</f>
        <v>4</v>
      </c>
      <c r="AX25" s="244">
        <f>IF(AND($AO$6&gt;0,$AP$6&gt;0),AN25*10000+AZ25,AO25)</f>
        <v>0</v>
      </c>
      <c r="AY25" s="244">
        <f>IF(AND($AO$6&gt;0,$AP$6&gt;0),AN25*10000+AZ25-3,AO25)</f>
        <v>-3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4</v>
      </c>
      <c r="BB25" s="242">
        <f>AX25+BD25</f>
        <v>0</v>
      </c>
      <c r="BC25" s="244">
        <f>AX25+BD25</f>
        <v>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-4.8</v>
      </c>
      <c r="BF25" s="242">
        <f>RANK(BE25,$BE$10:$BE$29)</f>
        <v>4</v>
      </c>
      <c r="BG25" s="241">
        <f>BE25</f>
        <v>-4.8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58</v>
      </c>
      <c r="B28" s="232">
        <v>58</v>
      </c>
      <c r="C28" s="235">
        <f>VLOOKUP(A28,tDatos[],IF(UTCElegido="",3,12),0)</f>
        <v>46198</v>
      </c>
      <c r="D28" s="231">
        <f>VLOOKUP(A28,tDatos[],IF(UTCElegido="",4,12),0)</f>
        <v>0.79166666666666663</v>
      </c>
      <c r="E28" s="18"/>
      <c r="F28" s="233" t="str">
        <f>VLOOKUP(A28,tDatos[],5,0)</f>
        <v>TÚNEZ</v>
      </c>
      <c r="G28" s="223" t="str">
        <f>IF(AND(I28&lt;&gt;"",K28&lt;&gt;""),IF(I28=K28,"E",IF(I28&gt;K28,"G","P")),"")</f>
        <v>P</v>
      </c>
      <c r="H28" s="20"/>
      <c r="I28" s="293">
        <v>0</v>
      </c>
      <c r="J28" s="279" t="s">
        <v>0</v>
      </c>
      <c r="K28" s="293">
        <v>3</v>
      </c>
      <c r="L28" s="223" t="str">
        <f>IF(AND(K28&lt;&gt;"",I28&lt;&gt;""),IF(K28=I28,"E",IF(K28&gt;I28,"G","P")),"")</f>
        <v>G</v>
      </c>
      <c r="M28" s="19"/>
      <c r="N28" s="224" t="str">
        <f>VLOOKUP(A28,tDatos[],6,0)</f>
        <v>PAÍSES BAJOS</v>
      </c>
      <c r="O28" s="18"/>
      <c r="P28" s="225" t="str">
        <f>VLOOKUP(A28,tDatos[],9,0)</f>
        <v>Kansas City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TÚNEZPAÍSES BAJOS</v>
      </c>
      <c r="AS28" s="148" t="str">
        <f>IF(I28&gt;K28,F28,IF(K28&gt;I28,N28,""))</f>
        <v>PAÍSES BAJOS</v>
      </c>
      <c r="AT28" s="149">
        <f>I28</f>
        <v>0</v>
      </c>
      <c r="AU28" s="149">
        <f>K28</f>
        <v>3</v>
      </c>
      <c r="AV28" s="149">
        <f>AT28-AU28</f>
        <v>-3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PAÍSES BAJOSTÚNEZ</v>
      </c>
      <c r="AS29" s="148" t="str">
        <f>IF(I28&gt;K28,F28,IF(K28&gt;I28,N28,""))</f>
        <v>PAÍSES BAJOS</v>
      </c>
      <c r="AT29" s="149">
        <f>K28</f>
        <v>3</v>
      </c>
      <c r="AU29" s="149">
        <f>I28</f>
        <v>0</v>
      </c>
      <c r="AV29" s="149">
        <f>AT29-AU29</f>
        <v>3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PAÍSES BAJOS</v>
      </c>
      <c r="I32" t="str">
        <f>G8</f>
        <v>G</v>
      </c>
      <c r="J32" t="str">
        <f>G16</f>
        <v>G</v>
      </c>
      <c r="K32" t="str">
        <f>L28</f>
        <v>G</v>
      </c>
    </row>
    <row r="33" spans="6:21" hidden="1" x14ac:dyDescent="0.3">
      <c r="F33" t="str">
        <f>N8</f>
        <v>JAPÓN</v>
      </c>
      <c r="I33" t="str">
        <f>L8</f>
        <v>P</v>
      </c>
      <c r="J33" t="str">
        <f>L20</f>
        <v>G</v>
      </c>
      <c r="K33" t="str">
        <f>G24</f>
        <v>E</v>
      </c>
    </row>
    <row r="34" spans="6:21" hidden="1" x14ac:dyDescent="0.3">
      <c r="F34" t="str">
        <f>F12</f>
        <v>SUECIA</v>
      </c>
      <c r="I34" t="str">
        <f>G12</f>
        <v>G</v>
      </c>
      <c r="J34" t="str">
        <f>L16</f>
        <v>P</v>
      </c>
      <c r="K34" t="str">
        <f>L24</f>
        <v>E</v>
      </c>
    </row>
    <row r="35" spans="6:21" hidden="1" x14ac:dyDescent="0.3">
      <c r="F35" t="str">
        <f>N12</f>
        <v>TÚNEZ</v>
      </c>
      <c r="I35" t="str">
        <f>L12</f>
        <v>P</v>
      </c>
      <c r="J35" t="str">
        <f>G20</f>
        <v>P</v>
      </c>
      <c r="K35" t="str">
        <f>G28</f>
        <v>P</v>
      </c>
    </row>
    <row r="36" spans="6:21" x14ac:dyDescent="0.3">
      <c r="N36" s="157" t="s">
        <v>391</v>
      </c>
      <c r="Q36" s="3" t="s">
        <v>392</v>
      </c>
      <c r="R36" s="250" t="s">
        <v>66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276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34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14</v>
      </c>
      <c r="B8" s="232">
        <v>16</v>
      </c>
      <c r="C8" s="235">
        <f>VLOOKUP(A8,tDatos[],IF(UTCElegido="",3,12),0)</f>
        <v>46188</v>
      </c>
      <c r="D8" s="231">
        <f>VLOOKUP(A8,tDatos[],IF(UTCElegido="",4,12),0)</f>
        <v>0.625</v>
      </c>
      <c r="E8" s="18"/>
      <c r="F8" s="233" t="str">
        <f>VLOOKUP(A8,tDatos[],5,0)</f>
        <v>BÉLGICA</v>
      </c>
      <c r="G8" s="223" t="str">
        <f>IF(AND(I8&lt;&gt;"",K8&lt;&gt;""),IF(I8=K8,"E",IF(I8&gt;K8,"G","P")),"")</f>
        <v>G</v>
      </c>
      <c r="H8" s="20"/>
      <c r="I8" s="293">
        <v>3</v>
      </c>
      <c r="J8" s="279" t="s">
        <v>0</v>
      </c>
      <c r="K8" s="293">
        <v>1</v>
      </c>
      <c r="L8" s="223" t="str">
        <f>IF(AND(K8&lt;&gt;"",I8&lt;&gt;""),IF(K8=I8,"E",IF(K8&gt;I8,"G","P")),"")</f>
        <v>P</v>
      </c>
      <c r="M8" s="19"/>
      <c r="N8" s="224" t="str">
        <f>VLOOKUP(A8,tDatos[],6,0)</f>
        <v>EGIPTO</v>
      </c>
      <c r="O8" s="18"/>
      <c r="P8" s="225" t="str">
        <f>VLOOKUP(A8,tDatos[],9,0)</f>
        <v>Seattle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BÉLGICAEGIPTO</v>
      </c>
      <c r="AS8" s="148" t="str">
        <f>IF(I8&gt;K8,F8,IF(K8&gt;I8,N8,""))</f>
        <v>BÉLGICA</v>
      </c>
      <c r="AT8" s="149">
        <f>I8</f>
        <v>3</v>
      </c>
      <c r="AU8" s="149">
        <f>K8</f>
        <v>1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EGIPTOBÉLGICA</v>
      </c>
      <c r="AS9" s="148" t="str">
        <f>IF(I8&gt;K8,F8,IF(K8&gt;I8,N8,""))</f>
        <v>BÉLGICA</v>
      </c>
      <c r="AT9" s="149">
        <f>K8</f>
        <v>1</v>
      </c>
      <c r="AU9" s="149">
        <f>I8</f>
        <v>3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BÉLGICA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9</v>
      </c>
      <c r="AA10" s="253">
        <f>VLOOKUP(1,$AE$10:$AL$29,8,0)</f>
        <v>1</v>
      </c>
      <c r="AB10" s="253">
        <f>Z10-AA10</f>
        <v>8</v>
      </c>
      <c r="AC10" s="257">
        <f>(W10*3)+X10</f>
        <v>9</v>
      </c>
      <c r="AD10" s="243">
        <f>RANK(AO10,$AO$10:$AO$29,0)</f>
        <v>1</v>
      </c>
      <c r="AE10" s="243">
        <f>RANK(AP10,$AP$10:$AP$29,1)</f>
        <v>1</v>
      </c>
      <c r="AF10" s="243" t="str">
        <f>F8</f>
        <v>BÉLGICA</v>
      </c>
      <c r="AG10" s="247">
        <f>3-COUNTIF(I32:K32,"")</f>
        <v>3</v>
      </c>
      <c r="AH10" s="243">
        <f>COUNTIF(I32:K32,"G")</f>
        <v>3</v>
      </c>
      <c r="AI10" s="243">
        <f>COUNTIF(I32:K32,"E")</f>
        <v>0</v>
      </c>
      <c r="AJ10" s="243">
        <f>COUNTIF(I32:K32,"P")</f>
        <v>0</v>
      </c>
      <c r="AK10" s="243">
        <f>SUM(I8,I16,K28)</f>
        <v>9</v>
      </c>
      <c r="AL10" s="243">
        <f>SUM(K8,K16,I28)</f>
        <v>1</v>
      </c>
      <c r="AM10" s="243">
        <f>AK10-AL10</f>
        <v>8</v>
      </c>
      <c r="AN10" s="243">
        <f>(AH10*3)+AI10*vcp</f>
        <v>9</v>
      </c>
      <c r="AO10" s="243">
        <f>IF($AO$6&gt;0,AN10*10+3)</f>
        <v>93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BÉLGICA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90000</v>
      </c>
      <c r="AY10" s="244">
        <f>IF(AND($AO$6&gt;0,$AP$6&gt;0),AN10*10000+AZ10,AO10)</f>
        <v>90000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90000</v>
      </c>
      <c r="BC10" s="244">
        <f>AX10+BD10+3</f>
        <v>90003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90098.93</v>
      </c>
      <c r="BF10" s="242">
        <f>RANK(BE10,$BE$10:$BE$29)</f>
        <v>1</v>
      </c>
      <c r="BG10" s="241">
        <f>BE10-0.03</f>
        <v>90098.9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16</v>
      </c>
      <c r="B12" s="232">
        <v>15</v>
      </c>
      <c r="C12" s="235">
        <f>VLOOKUP(A12,tDatos[],IF(UTCElegido="",3,12),0)</f>
        <v>46188</v>
      </c>
      <c r="D12" s="231">
        <f>VLOOKUP(A12,tDatos[],IF(UTCElegido="",4,12),0)</f>
        <v>0.875</v>
      </c>
      <c r="E12" s="18"/>
      <c r="F12" s="233" t="str">
        <f>VLOOKUP(A12,tDatos[],5,0)</f>
        <v>IRÁN</v>
      </c>
      <c r="G12" s="223" t="str">
        <f>IF(AND(I12&lt;&gt;"",K12&lt;&gt;""),IF(I12=K12,"E",IF(I12&gt;K12,"G","P")),"")</f>
        <v>E</v>
      </c>
      <c r="H12" s="20"/>
      <c r="I12" s="293">
        <v>1</v>
      </c>
      <c r="J12" s="279" t="s">
        <v>0</v>
      </c>
      <c r="K12" s="293">
        <v>1</v>
      </c>
      <c r="L12" s="223" t="str">
        <f>IF(AND(K12&lt;&gt;"",I12&lt;&gt;""),IF(K12=I12,"E",IF(K12&gt;I12,"G","P")),"")</f>
        <v>E</v>
      </c>
      <c r="M12" s="19"/>
      <c r="N12" s="224" t="str">
        <f>VLOOKUP(A12,tDatos[],6,0)</f>
        <v>NUEVA ZELANDA</v>
      </c>
      <c r="O12" s="18"/>
      <c r="P12" s="225" t="str">
        <f>VLOOKUP(A12,tDatos[],9,0)</f>
        <v>Los Angeles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IRÁNNUEVA ZELANDA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NUEVA ZELANDAIRÁN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EGIPTO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0</v>
      </c>
      <c r="Y15" s="253">
        <f>VLOOKUP(2,$AE$10:$AJ$29,6,0)</f>
        <v>1</v>
      </c>
      <c r="Z15" s="253">
        <f>VLOOKUP(2,$AE$10:$AK$29,7,0)</f>
        <v>5</v>
      </c>
      <c r="AA15" s="253">
        <f>VLOOKUP(2,$AE$10:$AL$29,8,0)</f>
        <v>5</v>
      </c>
      <c r="AB15" s="253">
        <f>Z15-AA15</f>
        <v>0</v>
      </c>
      <c r="AC15" s="257">
        <f>(W15*3)+X15</f>
        <v>6</v>
      </c>
      <c r="AD15" s="243">
        <f>RANK(AO15,$AO$10:$AO$29,0)</f>
        <v>2</v>
      </c>
      <c r="AE15" s="243">
        <f>RANK(AP15,$AP$10:$AP$29,1)</f>
        <v>2</v>
      </c>
      <c r="AF15" s="243" t="str">
        <f>N8</f>
        <v>EGIPTO</v>
      </c>
      <c r="AG15" s="247">
        <f>3-COUNTIF(I33:K33,"")</f>
        <v>3</v>
      </c>
      <c r="AH15" s="243">
        <f>COUNTIF(I33:K33,"G")</f>
        <v>2</v>
      </c>
      <c r="AI15" s="243">
        <f>COUNTIF(I33:K33,"E")</f>
        <v>0</v>
      </c>
      <c r="AJ15" s="243">
        <f>COUNTIF(I33:K33,"P")</f>
        <v>1</v>
      </c>
      <c r="AK15" s="247">
        <f>SUM(K8,K20,I24)</f>
        <v>5</v>
      </c>
      <c r="AL15" s="243">
        <f>SUM(I8,I20,K24)</f>
        <v>5</v>
      </c>
      <c r="AM15" s="243">
        <f>AK15-AL15</f>
        <v>0</v>
      </c>
      <c r="AN15" s="243">
        <f>(AH15*3)+AI15*vcp</f>
        <v>6</v>
      </c>
      <c r="AO15" s="243">
        <f>IF($AO$6&gt;0,AN15*10+2)</f>
        <v>62</v>
      </c>
      <c r="AP15" s="243">
        <f>IF(AF15=$R$38,BF15-100,IF(AF15=$R$37,BF15-200,IF(AF15=$R$36,BF15-300,BF15)))</f>
        <v>-198</v>
      </c>
      <c r="AQ15" s="243" t="str">
        <f>IF(R37="",IF(SUM($V$10:$V$29)&gt;0,VLOOKUP(2,$AE$10:$AF$29,2,0),""),R37)</f>
        <v>EGIPTO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60000</v>
      </c>
      <c r="AY15" s="244">
        <f>IF(AND($AO$6&gt;0,$AP$6&gt;0),AN15*10000+AZ15-1,AO15)</f>
        <v>59999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2</v>
      </c>
      <c r="BB15" s="242">
        <f>AX15+BD15</f>
        <v>60000</v>
      </c>
      <c r="BC15" s="244">
        <f>AX15+BD15+2</f>
        <v>60002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60060.52</v>
      </c>
      <c r="BF15" s="242">
        <f>RANK(BE15,$BE$10:$BE$29)</f>
        <v>2</v>
      </c>
      <c r="BG15" s="241">
        <f>BE15-0.02</f>
        <v>60060.5</v>
      </c>
      <c r="BH15" s="241">
        <f>COUNTIF($BG$10:$BG$29,BG15)</f>
        <v>1</v>
      </c>
    </row>
    <row r="16" spans="1:60" ht="7.5" customHeight="1" x14ac:dyDescent="0.3">
      <c r="A16" s="276">
        <v>38</v>
      </c>
      <c r="B16" s="232">
        <v>39</v>
      </c>
      <c r="C16" s="235">
        <f>VLOOKUP(A16,tDatos[],IF(UTCElegido="",3,12),0)</f>
        <v>46194</v>
      </c>
      <c r="D16" s="231">
        <f>VLOOKUP(A16,tDatos[],IF(UTCElegido="",4,12),0)</f>
        <v>0.625</v>
      </c>
      <c r="E16" s="18"/>
      <c r="F16" s="233" t="str">
        <f>VLOOKUP(A16,tDatos[],5,0)</f>
        <v>BÉLGICA</v>
      </c>
      <c r="G16" s="223" t="str">
        <f>IF(AND(I16&lt;&gt;"",K16&lt;&gt;""),IF(I16=K16,"E",IF(I16&gt;K16,"G","P")),"")</f>
        <v>G</v>
      </c>
      <c r="H16" s="20"/>
      <c r="I16" s="293">
        <v>3</v>
      </c>
      <c r="J16" s="279" t="s">
        <v>0</v>
      </c>
      <c r="K16" s="293">
        <v>0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IRÁN</v>
      </c>
      <c r="O16" s="18"/>
      <c r="P16" s="225" t="str">
        <f>VLOOKUP(A16,tDatos[],9,0)</f>
        <v>Los Angeles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BÉLGICAIRÁN</v>
      </c>
      <c r="AS16" s="148" t="str">
        <f>IF(I16&gt;K16,F16,IF(K16&gt;I16,N16,""))</f>
        <v>BÉLGICA</v>
      </c>
      <c r="AT16" s="149">
        <f>I16</f>
        <v>3</v>
      </c>
      <c r="AU16" s="149">
        <f>K16</f>
        <v>0</v>
      </c>
      <c r="AV16" s="149">
        <f>AT16-AU16</f>
        <v>3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IRÁNBÉLGICA</v>
      </c>
      <c r="AS17" s="148" t="str">
        <f>IF(I16&gt;K16,F16,IF(K16&gt;I16,N16,""))</f>
        <v>BÉLGICA</v>
      </c>
      <c r="AT17" s="149">
        <f>K16</f>
        <v>0</v>
      </c>
      <c r="AU17" s="149">
        <f>I16</f>
        <v>3</v>
      </c>
      <c r="AV17" s="149">
        <f>AT17-AU17</f>
        <v>-3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40</v>
      </c>
      <c r="B20" s="232">
        <v>40</v>
      </c>
      <c r="C20" s="235">
        <f>VLOOKUP(A20,tDatos[],IF(UTCElegido="",3,12),0)</f>
        <v>46194</v>
      </c>
      <c r="D20" s="231">
        <f>VLOOKUP(A20,tDatos[],IF(UTCElegido="",4,12),0)</f>
        <v>0.875</v>
      </c>
      <c r="E20" s="18"/>
      <c r="F20" s="233" t="str">
        <f>VLOOKUP(A20,tDatos[],5,0)</f>
        <v>NUEVA ZELANDA</v>
      </c>
      <c r="G20" s="223" t="str">
        <f>IF(AND(I20&lt;&gt;"",K20&lt;&gt;""),IF(I20=K20,"E",IF(I20&gt;K20,"G","P")),"")</f>
        <v>P</v>
      </c>
      <c r="H20" s="20"/>
      <c r="I20" s="293">
        <v>0</v>
      </c>
      <c r="J20" s="279" t="s">
        <v>0</v>
      </c>
      <c r="K20" s="293">
        <v>1</v>
      </c>
      <c r="L20" s="223" t="str">
        <f>IF(AND(K20&lt;&gt;"",I20&lt;&gt;""),IF(K20=I20,"E",IF(K20&gt;I20,"G","P")),"")</f>
        <v>G</v>
      </c>
      <c r="M20" s="19"/>
      <c r="N20" s="224" t="str">
        <f>VLOOKUP(A20,tDatos[],6,0)</f>
        <v>EGIPTO</v>
      </c>
      <c r="O20" s="18"/>
      <c r="P20" s="225" t="str">
        <f>VLOOKUP(A20,tDatos[],9,0)</f>
        <v>Vancouver</v>
      </c>
      <c r="R20" s="287" t="str">
        <f>"  3)  " &amp; VLOOKUP(3,$AE$10:$AF$29,2,0)</f>
        <v xml:space="preserve">  3)  IRÁN</v>
      </c>
      <c r="S20" s="288"/>
      <c r="T20" s="288"/>
      <c r="U20" s="288"/>
      <c r="V20" s="254">
        <f>VLOOKUP(3,$AE$10:$AG$29,3,0)</f>
        <v>3</v>
      </c>
      <c r="W20" s="255">
        <f>VLOOKUP(3,$AE$10:$AH$29,4,0)</f>
        <v>0</v>
      </c>
      <c r="X20" s="255">
        <f>VLOOKUP(3,$AE$10:$AI$29,5,0)</f>
        <v>1</v>
      </c>
      <c r="Y20" s="255">
        <f>VLOOKUP(3,$AE$10:$AJ$29,6,0)</f>
        <v>2</v>
      </c>
      <c r="Z20" s="255">
        <f>VLOOKUP(3,$AE$10:$AK$29,7,0)</f>
        <v>3</v>
      </c>
      <c r="AA20" s="255">
        <f>VLOOKUP(3,$AE$10:$AL$29,8,0)</f>
        <v>7</v>
      </c>
      <c r="AB20" s="283">
        <f>Z20-AA20</f>
        <v>-4</v>
      </c>
      <c r="AC20" s="284">
        <f>(W20*3)+X20</f>
        <v>1</v>
      </c>
      <c r="AD20" s="243">
        <f>RANK(AO20,$AO$10:$AO$29,0)</f>
        <v>3</v>
      </c>
      <c r="AE20" s="243">
        <f>RANK(AP20,$AP$10:$AP$29,1)</f>
        <v>3</v>
      </c>
      <c r="AF20" s="243" t="str">
        <f>F12</f>
        <v>IRÁN</v>
      </c>
      <c r="AG20" s="247">
        <f>3-COUNTIF(I34:K34,"")</f>
        <v>3</v>
      </c>
      <c r="AH20" s="243">
        <f>COUNTIF(I34:K34,"G")</f>
        <v>0</v>
      </c>
      <c r="AI20" s="243">
        <f>COUNTIF(I34:K34,"E")</f>
        <v>1</v>
      </c>
      <c r="AJ20" s="243">
        <f>COUNTIF(I34:K34,"P")</f>
        <v>2</v>
      </c>
      <c r="AK20" s="247">
        <f>SUM(I12,K16,K24)</f>
        <v>3</v>
      </c>
      <c r="AL20" s="247">
        <f>SUM(K12,I16,I24)</f>
        <v>7</v>
      </c>
      <c r="AM20" s="243">
        <f>AK20-AL20</f>
        <v>-4</v>
      </c>
      <c r="AN20" s="243">
        <f>(AH20*3)+AI20*vcp</f>
        <v>1</v>
      </c>
      <c r="AO20" s="243">
        <f>IF($AO$6&gt;0,AN20*10+1)</f>
        <v>11</v>
      </c>
      <c r="AP20" s="243">
        <f>IF(AF20=$R$38,BF20-100,IF(AF20=$R$37,BF20-200,IF(AF20=$R$36,BF20-300,BF20)))</f>
        <v>-97</v>
      </c>
      <c r="AQ20" s="243" t="str">
        <f>IF(R38="",IF(SUM($V$10:$V$29)&gt;0,VLOOKUP(3,$AE$10:$AF$29,2,0),""),R38)</f>
        <v>IRÁN</v>
      </c>
      <c r="AR20" s="148" t="str">
        <f>F20&amp;N20</f>
        <v>NUEVA ZELANDAEGIPTO</v>
      </c>
      <c r="AS20" s="148" t="str">
        <f>IF(I20&gt;K20,F20,IF(K20&gt;I20,N20,""))</f>
        <v>EGIPTO</v>
      </c>
      <c r="AT20" s="149">
        <f>I20</f>
        <v>0</v>
      </c>
      <c r="AU20" s="149">
        <f>K20</f>
        <v>1</v>
      </c>
      <c r="AV20" s="149">
        <f>AT20-AU20</f>
        <v>-1</v>
      </c>
      <c r="AW20" s="242">
        <f>RANK(AY20,$AY$10:$AY$29,0)</f>
        <v>3</v>
      </c>
      <c r="AX20" s="244">
        <f>IF(AND($AO$6&gt;0,$AP$6&gt;0),AN20*10000+AZ20,AO20)</f>
        <v>10000</v>
      </c>
      <c r="AY20" s="244">
        <f>IF(AND($AO$6&gt;0,$AP$6&gt;0),AN20*10000+AZ20-2,AO20)</f>
        <v>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3</v>
      </c>
      <c r="BB20" s="242">
        <f>AX20+BD20</f>
        <v>10000</v>
      </c>
      <c r="BC20" s="244">
        <f>AX20+BD20+1</f>
        <v>10001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10006.31</v>
      </c>
      <c r="BF20" s="242">
        <f>RANK(BE20,$BE$10:$BE$29)</f>
        <v>3</v>
      </c>
      <c r="BG20" s="241">
        <f>BE20-0.01</f>
        <v>10006.299999999999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EGIPTONUEVA ZELANDA</v>
      </c>
      <c r="AS21" s="148" t="str">
        <f>IF(I20&gt;K20,F20,IF(K20&gt;I20,N20,""))</f>
        <v>EGIPTO</v>
      </c>
      <c r="AT21" s="149">
        <f>K20</f>
        <v>1</v>
      </c>
      <c r="AU21" s="149">
        <f>I20</f>
        <v>0</v>
      </c>
      <c r="AV21" s="149">
        <f>AT21-AU21</f>
        <v>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65</v>
      </c>
      <c r="B24" s="232">
        <v>63</v>
      </c>
      <c r="C24" s="235">
        <f>VLOOKUP(A24,tDatos[],IF(UTCElegido="",3,12),0)</f>
        <v>46199</v>
      </c>
      <c r="D24" s="231">
        <f>VLOOKUP(A24,tDatos[],IF(UTCElegido="",4,12),0)</f>
        <v>0.95833333333333337</v>
      </c>
      <c r="E24" s="18"/>
      <c r="F24" s="233" t="str">
        <f>VLOOKUP(A24,tDatos[],5,0)</f>
        <v>EGIPTO</v>
      </c>
      <c r="G24" s="223" t="str">
        <f>IF(AND(I24&lt;&gt;"",K24&lt;&gt;""),IF(I24=K24,"E",IF(I24&gt;K24,"G","P")),"")</f>
        <v>G</v>
      </c>
      <c r="H24" s="20"/>
      <c r="I24" s="293">
        <v>3</v>
      </c>
      <c r="J24" s="279" t="s">
        <v>0</v>
      </c>
      <c r="K24" s="293">
        <v>2</v>
      </c>
      <c r="L24" s="223" t="str">
        <f>IF(AND(K24&lt;&gt;"",I24&lt;&gt;""),IF(K24=I24,"E",IF(K24&gt;I24,"G","P")),"")</f>
        <v>P</v>
      </c>
      <c r="M24" s="19"/>
      <c r="N24" s="224" t="str">
        <f>VLOOKUP(A24,tDatos[],6,0)</f>
        <v>IRÁN</v>
      </c>
      <c r="O24" s="18"/>
      <c r="P24" s="225" t="str">
        <f>VLOOKUP(A24,tDatos[],9,0)</f>
        <v>Seattle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EGIPTOIRÁN</v>
      </c>
      <c r="AS24" s="148" t="str">
        <f>IF(I24&gt;K24,F24,IF(K24&gt;I24,N24,""))</f>
        <v>EGIPTO</v>
      </c>
      <c r="AT24" s="149">
        <f>I24</f>
        <v>3</v>
      </c>
      <c r="AU24" s="149">
        <f>K24</f>
        <v>2</v>
      </c>
      <c r="AV24" s="149">
        <f>AT24-AU24</f>
        <v>1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NUEVA ZELANDA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1</v>
      </c>
      <c r="Y25" s="255">
        <f>VLOOKUP(4,$AE$10:$AJ$29,6,0)</f>
        <v>2</v>
      </c>
      <c r="Z25" s="255">
        <f>VLOOKUP(4,$AE$10:$AK$29,7,0)</f>
        <v>1</v>
      </c>
      <c r="AA25" s="255">
        <f>VLOOKUP(4,$AE$10:$AL$29,8,0)</f>
        <v>5</v>
      </c>
      <c r="AB25" s="283">
        <f>Z25-AA25</f>
        <v>-4</v>
      </c>
      <c r="AC25" s="284">
        <f>(W25*3)+X25</f>
        <v>1</v>
      </c>
      <c r="AD25" s="243">
        <f>RANK(AO25,$AO$10:$AO$29,0)</f>
        <v>4</v>
      </c>
      <c r="AE25" s="243">
        <f>RANK(AP25,$AP$10:$AP$29,1)</f>
        <v>4</v>
      </c>
      <c r="AF25" s="243" t="str">
        <f>N12</f>
        <v>NUEVA ZELANDA</v>
      </c>
      <c r="AG25" s="247">
        <f>3-COUNTIF(I35:K35,"")</f>
        <v>3</v>
      </c>
      <c r="AH25" s="243">
        <f>COUNTIF(I35:K35,"G")</f>
        <v>0</v>
      </c>
      <c r="AI25" s="243">
        <f>COUNTIF(I35:K35,"E")</f>
        <v>1</v>
      </c>
      <c r="AJ25" s="243">
        <f>COUNTIF(I35:K35,"P")</f>
        <v>2</v>
      </c>
      <c r="AK25" s="247">
        <f>SUM(K12,I20,I28)</f>
        <v>1</v>
      </c>
      <c r="AL25" s="247">
        <f>SUM(I12,K20,K28)</f>
        <v>5</v>
      </c>
      <c r="AM25" s="243">
        <f>AK25-AL25</f>
        <v>-4</v>
      </c>
      <c r="AN25" s="243">
        <f>(AH25*3)+AI25*vcp</f>
        <v>1</v>
      </c>
      <c r="AO25" s="243">
        <f>IF($AO$6&gt;0,AN25*10)</f>
        <v>10</v>
      </c>
      <c r="AP25" s="243">
        <f>IF(AF25=$R$38,BF25-100,IF(AF25=$R$37,BF25-200,IF(AF25=$R$36,BF25-300,BF25)))</f>
        <v>4</v>
      </c>
      <c r="AQ25" s="243" t="str">
        <f>IF(SUM($V$10:$V$29)&gt;0,VLOOKUP(4,$AE$10:$AF$29,2,0),"")</f>
        <v>NUEVA ZELANDA</v>
      </c>
      <c r="AR25" s="148" t="str">
        <f>N24&amp;F24</f>
        <v>IRÁNEGIPTO</v>
      </c>
      <c r="AS25" s="148" t="str">
        <f>IF(I24&gt;K24,F24,IF(K24&gt;I24,N24,""))</f>
        <v>EGIPTO</v>
      </c>
      <c r="AT25" s="149">
        <f>K24</f>
        <v>2</v>
      </c>
      <c r="AU25" s="149">
        <f>I24</f>
        <v>3</v>
      </c>
      <c r="AV25" s="149">
        <f>AT25-AU25</f>
        <v>-1</v>
      </c>
      <c r="AW25" s="242">
        <f>RANK(AY25,$AY$10:$AY$29,0)</f>
        <v>4</v>
      </c>
      <c r="AX25" s="244">
        <f>IF(AND($AO$6&gt;0,$AP$6&gt;0),AN25*10000+AZ25,AO25)</f>
        <v>10000</v>
      </c>
      <c r="AY25" s="244">
        <f>IF(AND($AO$6&gt;0,$AP$6&gt;0),AN25*10000+AZ25-3,AO25)</f>
        <v>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3</v>
      </c>
      <c r="BB25" s="242">
        <f>AX25+BD25</f>
        <v>10000</v>
      </c>
      <c r="BC25" s="244">
        <f>AX25+BD25</f>
        <v>10000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10006.1</v>
      </c>
      <c r="BF25" s="242">
        <f>RANK(BE25,$BE$10:$BE$29)</f>
        <v>4</v>
      </c>
      <c r="BG25" s="241">
        <f>BE25</f>
        <v>10006.1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66</v>
      </c>
      <c r="B28" s="232">
        <v>64</v>
      </c>
      <c r="C28" s="235">
        <f>VLOOKUP(A28,tDatos[],IF(UTCElegido="",3,12),0)</f>
        <v>46199</v>
      </c>
      <c r="D28" s="231">
        <f>VLOOKUP(A28,tDatos[],IF(UTCElegido="",4,12),0)</f>
        <v>0.95833333333333337</v>
      </c>
      <c r="E28" s="18"/>
      <c r="F28" s="233" t="str">
        <f>VLOOKUP(A28,tDatos[],5,0)</f>
        <v>NUEVA ZELANDA</v>
      </c>
      <c r="G28" s="223" t="str">
        <f>IF(AND(I28&lt;&gt;"",K28&lt;&gt;""),IF(I28=K28,"E",IF(I28&gt;K28,"G","P")),"")</f>
        <v>P</v>
      </c>
      <c r="H28" s="20"/>
      <c r="I28" s="293">
        <v>0</v>
      </c>
      <c r="J28" s="279" t="s">
        <v>0</v>
      </c>
      <c r="K28" s="293">
        <v>3</v>
      </c>
      <c r="L28" s="223" t="str">
        <f>IF(AND(K28&lt;&gt;"",I28&lt;&gt;""),IF(K28=I28,"E",IF(K28&gt;I28,"G","P")),"")</f>
        <v>G</v>
      </c>
      <c r="M28" s="19"/>
      <c r="N28" s="224" t="str">
        <f>VLOOKUP(A28,tDatos[],6,0)</f>
        <v>BÉLGICA</v>
      </c>
      <c r="O28" s="18"/>
      <c r="P28" s="225" t="str">
        <f>VLOOKUP(A28,tDatos[],9,0)</f>
        <v>Vancouver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NUEVA ZELANDABÉLGICA</v>
      </c>
      <c r="AS28" s="148" t="str">
        <f>IF(I28&gt;K28,F28,IF(K28&gt;I28,N28,""))</f>
        <v>BÉLGICA</v>
      </c>
      <c r="AT28" s="149">
        <f>I28</f>
        <v>0</v>
      </c>
      <c r="AU28" s="149">
        <f>K28</f>
        <v>3</v>
      </c>
      <c r="AV28" s="149">
        <f>AT28-AU28</f>
        <v>-3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BÉLGICANUEVA ZELANDA</v>
      </c>
      <c r="AS29" s="148" t="str">
        <f>IF(I28&gt;K28,F28,IF(K28&gt;I28,N28,""))</f>
        <v>BÉLGICA</v>
      </c>
      <c r="AT29" s="149">
        <f>K28</f>
        <v>3</v>
      </c>
      <c r="AU29" s="149">
        <f>I28</f>
        <v>0</v>
      </c>
      <c r="AV29" s="149">
        <f>AT29-AU29</f>
        <v>3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BÉLGICA</v>
      </c>
      <c r="I32" t="str">
        <f>G8</f>
        <v>G</v>
      </c>
      <c r="J32" t="str">
        <f>G16</f>
        <v>G</v>
      </c>
      <c r="K32" t="str">
        <f>L28</f>
        <v>G</v>
      </c>
    </row>
    <row r="33" spans="6:21" hidden="1" x14ac:dyDescent="0.3">
      <c r="F33" t="str">
        <f>N8</f>
        <v>EGIPTO</v>
      </c>
      <c r="I33" t="str">
        <f>L8</f>
        <v>P</v>
      </c>
      <c r="J33" t="str">
        <f>L20</f>
        <v>G</v>
      </c>
      <c r="K33" t="str">
        <f>G24</f>
        <v>G</v>
      </c>
    </row>
    <row r="34" spans="6:21" hidden="1" x14ac:dyDescent="0.3">
      <c r="F34" t="str">
        <f>F12</f>
        <v>IRÁN</v>
      </c>
      <c r="I34" t="str">
        <f>G12</f>
        <v>E</v>
      </c>
      <c r="J34" t="str">
        <f>L16</f>
        <v>P</v>
      </c>
      <c r="K34" t="str">
        <f>L24</f>
        <v>P</v>
      </c>
    </row>
    <row r="35" spans="6:21" hidden="1" x14ac:dyDescent="0.3">
      <c r="F35" t="str">
        <f>N12</f>
        <v>NUEVA ZELANDA</v>
      </c>
      <c r="I35" t="str">
        <f>L12</f>
        <v>E</v>
      </c>
      <c r="J35" t="str">
        <f>G20</f>
        <v>P</v>
      </c>
      <c r="K35" t="str">
        <f>G28</f>
        <v>P</v>
      </c>
    </row>
    <row r="36" spans="6:21" x14ac:dyDescent="0.3">
      <c r="N36" s="157" t="s">
        <v>391</v>
      </c>
      <c r="Q36" s="3" t="s">
        <v>392</v>
      </c>
      <c r="R36" s="250" t="s">
        <v>32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220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30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13</v>
      </c>
      <c r="B8" s="232">
        <v>14</v>
      </c>
      <c r="C8" s="235">
        <f>VLOOKUP(A8,tDatos[],IF(UTCElegido="",3,12),0)</f>
        <v>46188</v>
      </c>
      <c r="D8" s="231">
        <f>VLOOKUP(A8,tDatos[],IF(UTCElegido="",4,12),0)</f>
        <v>0.5</v>
      </c>
      <c r="E8" s="18"/>
      <c r="F8" s="233" t="str">
        <f>VLOOKUP(A8,tDatos[],5,0)</f>
        <v>ESPAÑA</v>
      </c>
      <c r="G8" s="223" t="str">
        <f>IF(AND(I8&lt;&gt;"",K8&lt;&gt;""),IF(I8=K8,"E",IF(I8&gt;K8,"G","P")),"")</f>
        <v>G</v>
      </c>
      <c r="H8" s="20"/>
      <c r="I8" s="293">
        <v>3</v>
      </c>
      <c r="J8" s="279" t="s">
        <v>0</v>
      </c>
      <c r="K8" s="293">
        <v>0</v>
      </c>
      <c r="L8" s="223" t="str">
        <f>IF(AND(K8&lt;&gt;"",I8&lt;&gt;""),IF(K8=I8,"E",IF(K8&gt;I8,"G","P")),"")</f>
        <v>P</v>
      </c>
      <c r="M8" s="19"/>
      <c r="N8" s="224" t="str">
        <f>VLOOKUP(A8,tDatos[],6,0)</f>
        <v>CABO VERDE</v>
      </c>
      <c r="O8" s="18"/>
      <c r="P8" s="225" t="str">
        <f>VLOOKUP(A8,tDatos[],9,0)</f>
        <v>Atlanta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ESPAÑACABO VERDE</v>
      </c>
      <c r="AS8" s="148" t="str">
        <f>IF(I8&gt;K8,F8,IF(K8&gt;I8,N8,""))</f>
        <v>ESPAÑA</v>
      </c>
      <c r="AT8" s="149">
        <f>I8</f>
        <v>3</v>
      </c>
      <c r="AU8" s="149">
        <f>K8</f>
        <v>0</v>
      </c>
      <c r="AV8" s="149">
        <f>AT8-AU8</f>
        <v>3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CABO VERDEESPAÑA</v>
      </c>
      <c r="AS9" s="148" t="str">
        <f>IF(I8&gt;K8,F8,IF(K8&gt;I8,N8,""))</f>
        <v>ESPAÑA</v>
      </c>
      <c r="AT9" s="149">
        <f>K8</f>
        <v>0</v>
      </c>
      <c r="AU9" s="149">
        <f>I8</f>
        <v>3</v>
      </c>
      <c r="AV9" s="149">
        <f>AT9-AU9</f>
        <v>-3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ESPAÑA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8</v>
      </c>
      <c r="AA10" s="253">
        <f>VLOOKUP(1,$AE$10:$AL$29,8,0)</f>
        <v>2</v>
      </c>
      <c r="AB10" s="253">
        <f>Z10-AA10</f>
        <v>6</v>
      </c>
      <c r="AC10" s="257">
        <f>(W10*3)+X10</f>
        <v>9</v>
      </c>
      <c r="AD10" s="243">
        <f>RANK(AO10,$AO$10:$AO$29,0)</f>
        <v>1</v>
      </c>
      <c r="AE10" s="243">
        <f>RANK(AP10,$AP$10:$AP$29,1)</f>
        <v>1</v>
      </c>
      <c r="AF10" s="243" t="str">
        <f>F8</f>
        <v>ESPAÑA</v>
      </c>
      <c r="AG10" s="247">
        <f>3-COUNTIF(I32:K32,"")</f>
        <v>3</v>
      </c>
      <c r="AH10" s="243">
        <f>COUNTIF(I32:K32,"G")</f>
        <v>3</v>
      </c>
      <c r="AI10" s="243">
        <f>COUNTIF(I32:K32,"E")</f>
        <v>0</v>
      </c>
      <c r="AJ10" s="243">
        <f>COUNTIF(I32:K32,"P")</f>
        <v>0</v>
      </c>
      <c r="AK10" s="243">
        <f>SUM(I8,I16,K28)</f>
        <v>8</v>
      </c>
      <c r="AL10" s="243">
        <f>SUM(K8,K16,I28)</f>
        <v>2</v>
      </c>
      <c r="AM10" s="243">
        <f>AK10-AL10</f>
        <v>6</v>
      </c>
      <c r="AN10" s="243">
        <f>(AH10*3)+AI10*vcp</f>
        <v>9</v>
      </c>
      <c r="AO10" s="243">
        <f>IF($AO$6&gt;0,AN10*10+3)</f>
        <v>93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ESPAÑA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90000</v>
      </c>
      <c r="AY10" s="244">
        <f>IF(AND($AO$6&gt;0,$AP$6&gt;0),AN10*10000+AZ10,AO10)</f>
        <v>90000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90000</v>
      </c>
      <c r="BC10" s="244">
        <f>AX10+BD10+3</f>
        <v>90003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90096.83</v>
      </c>
      <c r="BF10" s="242">
        <f>RANK(BE10,$BE$10:$BE$29)</f>
        <v>1</v>
      </c>
      <c r="BG10" s="241">
        <f>BE10-0.03</f>
        <v>90096.8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15</v>
      </c>
      <c r="B12" s="232">
        <v>13</v>
      </c>
      <c r="C12" s="235">
        <f>VLOOKUP(A12,tDatos[],IF(UTCElegido="",3,12),0)</f>
        <v>46188</v>
      </c>
      <c r="D12" s="231">
        <f>VLOOKUP(A12,tDatos[],IF(UTCElegido="",4,12),0)</f>
        <v>0.75</v>
      </c>
      <c r="E12" s="18"/>
      <c r="F12" s="233" t="str">
        <f>VLOOKUP(A12,tDatos[],5,0)</f>
        <v>ARABIA SAUDITA</v>
      </c>
      <c r="G12" s="223" t="str">
        <f>IF(AND(I12&lt;&gt;"",K12&lt;&gt;""),IF(I12=K12,"E",IF(I12&gt;K12,"G","P")),"")</f>
        <v>P</v>
      </c>
      <c r="H12" s="20"/>
      <c r="I12" s="293">
        <v>1</v>
      </c>
      <c r="J12" s="279" t="s">
        <v>0</v>
      </c>
      <c r="K12" s="293">
        <v>3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URUGUAY</v>
      </c>
      <c r="O12" s="18"/>
      <c r="P12" s="225" t="str">
        <f>VLOOKUP(A12,tDatos[],9,0)</f>
        <v>Miami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ARABIA SAUDITAURUGUAY</v>
      </c>
      <c r="AS12" s="148" t="str">
        <f>IF(I12&gt;K12,F12,IF(K12&gt;I12,N12,""))</f>
        <v>URUGUAY</v>
      </c>
      <c r="AT12" s="149">
        <f>I12</f>
        <v>1</v>
      </c>
      <c r="AU12" s="149">
        <f>K12</f>
        <v>3</v>
      </c>
      <c r="AV12" s="149">
        <f>AT12-AU12</f>
        <v>-2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URUGUAYARABIA SAUDITA</v>
      </c>
      <c r="AS13" s="148" t="str">
        <f>IF(I12&gt;K12,F12,IF(K12&gt;I12,N12,""))</f>
        <v>URUGUAY</v>
      </c>
      <c r="AT13" s="149">
        <f>K12</f>
        <v>3</v>
      </c>
      <c r="AU13" s="149">
        <f>I12</f>
        <v>1</v>
      </c>
      <c r="AV13" s="149">
        <f>AT13-AU13</f>
        <v>2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URUGUAY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0</v>
      </c>
      <c r="Y15" s="253">
        <f>VLOOKUP(2,$AE$10:$AJ$29,6,0)</f>
        <v>1</v>
      </c>
      <c r="Z15" s="253">
        <f>VLOOKUP(2,$AE$10:$AK$29,7,0)</f>
        <v>5</v>
      </c>
      <c r="AA15" s="253">
        <f>VLOOKUP(2,$AE$10:$AL$29,8,0)</f>
        <v>3</v>
      </c>
      <c r="AB15" s="253">
        <f>Z15-AA15</f>
        <v>2</v>
      </c>
      <c r="AC15" s="257">
        <f>(W15*3)+X15</f>
        <v>6</v>
      </c>
      <c r="AD15" s="243">
        <f>RANK(AO15,$AO$10:$AO$29,0)</f>
        <v>3</v>
      </c>
      <c r="AE15" s="243">
        <f>RANK(AP15,$AP$10:$AP$29,1)</f>
        <v>4</v>
      </c>
      <c r="AF15" s="243" t="str">
        <f>N8</f>
        <v>CABO VERDE</v>
      </c>
      <c r="AG15" s="247">
        <f>3-COUNTIF(I33:K33,"")</f>
        <v>3</v>
      </c>
      <c r="AH15" s="243">
        <f>COUNTIF(I33:K33,"G")</f>
        <v>0</v>
      </c>
      <c r="AI15" s="243">
        <f>COUNTIF(I33:K33,"E")</f>
        <v>1</v>
      </c>
      <c r="AJ15" s="243">
        <f>COUNTIF(I33:K33,"P")</f>
        <v>2</v>
      </c>
      <c r="AK15" s="247">
        <f>SUM(K8,K20,I24)</f>
        <v>0</v>
      </c>
      <c r="AL15" s="243">
        <f>SUM(I8,I20,K24)</f>
        <v>4</v>
      </c>
      <c r="AM15" s="243">
        <f>AK15-AL15</f>
        <v>-4</v>
      </c>
      <c r="AN15" s="243">
        <f>(AH15*3)+AI15*vcp</f>
        <v>1</v>
      </c>
      <c r="AO15" s="243">
        <f>IF($AO$6&gt;0,AN15*10+2)</f>
        <v>12</v>
      </c>
      <c r="AP15" s="243">
        <f>IF(AF15=$R$38,BF15-100,IF(AF15=$R$37,BF15-200,IF(AF15=$R$36,BF15-300,BF15)))</f>
        <v>4</v>
      </c>
      <c r="AQ15" s="243" t="str">
        <f>IF(R37="",IF(SUM($V$10:$V$29)&gt;0,VLOOKUP(2,$AE$10:$AF$29,2,0),""),R37)</f>
        <v>URUGUAY</v>
      </c>
      <c r="AR15" s="151"/>
      <c r="AS15" s="148"/>
      <c r="AT15" s="148"/>
      <c r="AU15" s="148"/>
      <c r="AV15" s="152"/>
      <c r="AW15" s="242">
        <f>RANK(AY15,$AY$10:$AY$29,0)</f>
        <v>3</v>
      </c>
      <c r="AX15" s="244">
        <f>IF(AND($AO$6&gt;0,$AP$6&gt;0),AN15*10000+AZ15,AO15)</f>
        <v>10000</v>
      </c>
      <c r="AY15" s="244">
        <f>IF(AND($AO$6&gt;0,$AP$6&gt;0),AN15*10000+AZ15-1,AO15)</f>
        <v>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3</v>
      </c>
      <c r="BB15" s="242">
        <f>AX15+BD15</f>
        <v>10000</v>
      </c>
      <c r="BC15" s="244">
        <f>AX15+BD15+2</f>
        <v>10002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10006.02</v>
      </c>
      <c r="BF15" s="242">
        <f>RANK(BE15,$BE$10:$BE$29)</f>
        <v>4</v>
      </c>
      <c r="BG15" s="241">
        <f>BE15-0.02</f>
        <v>10006</v>
      </c>
      <c r="BH15" s="241">
        <f>COUNTIF($BG$10:$BG$29,BG15)</f>
        <v>1</v>
      </c>
    </row>
    <row r="16" spans="1:60" ht="7.5" customHeight="1" x14ac:dyDescent="0.3">
      <c r="A16" s="276">
        <v>37</v>
      </c>
      <c r="B16" s="232">
        <v>38</v>
      </c>
      <c r="C16" s="235">
        <f>VLOOKUP(A16,tDatos[],IF(UTCElegido="",3,12),0)</f>
        <v>46194</v>
      </c>
      <c r="D16" s="231">
        <f>VLOOKUP(A16,tDatos[],IF(UTCElegido="",4,12),0)</f>
        <v>0.5</v>
      </c>
      <c r="E16" s="18"/>
      <c r="F16" s="233" t="str">
        <f>VLOOKUP(A16,tDatos[],5,0)</f>
        <v>ESPAÑA</v>
      </c>
      <c r="G16" s="223" t="str">
        <f>IF(AND(I16&lt;&gt;"",K16&lt;&gt;""),IF(I16=K16,"E",IF(I16&gt;K16,"G","P")),"")</f>
        <v>G</v>
      </c>
      <c r="H16" s="20"/>
      <c r="I16" s="293">
        <v>3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ARABIA SAUDITA</v>
      </c>
      <c r="O16" s="18"/>
      <c r="P16" s="225" t="str">
        <f>VLOOKUP(A16,tDatos[],9,0)</f>
        <v>Atlanta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ESPAÑAARABIA SAUDITA</v>
      </c>
      <c r="AS16" s="148" t="str">
        <f>IF(I16&gt;K16,F16,IF(K16&gt;I16,N16,""))</f>
        <v>ESPAÑA</v>
      </c>
      <c r="AT16" s="149">
        <f>I16</f>
        <v>3</v>
      </c>
      <c r="AU16" s="149">
        <f>K16</f>
        <v>1</v>
      </c>
      <c r="AV16" s="149">
        <f>AT16-AU16</f>
        <v>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ARABIA SAUDITAESPAÑA</v>
      </c>
      <c r="AS17" s="148" t="str">
        <f>IF(I16&gt;K16,F16,IF(K16&gt;I16,N16,""))</f>
        <v>ESPAÑA</v>
      </c>
      <c r="AT17" s="149">
        <f>K16</f>
        <v>1</v>
      </c>
      <c r="AU17" s="149">
        <f>I16</f>
        <v>3</v>
      </c>
      <c r="AV17" s="149">
        <f>AT17-AU17</f>
        <v>-2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39</v>
      </c>
      <c r="B20" s="232">
        <v>37</v>
      </c>
      <c r="C20" s="235">
        <f>VLOOKUP(A20,tDatos[],IF(UTCElegido="",3,12),0)</f>
        <v>46194</v>
      </c>
      <c r="D20" s="231">
        <f>VLOOKUP(A20,tDatos[],IF(UTCElegido="",4,12),0)</f>
        <v>0.75</v>
      </c>
      <c r="E20" s="18"/>
      <c r="F20" s="233" t="str">
        <f>VLOOKUP(A20,tDatos[],5,0)</f>
        <v>URUGUAY</v>
      </c>
      <c r="G20" s="223" t="str">
        <f>IF(AND(I20&lt;&gt;"",K20&lt;&gt;""),IF(I20=K20,"E",IF(I20&gt;K20,"G","P")),"")</f>
        <v>G</v>
      </c>
      <c r="H20" s="20"/>
      <c r="I20" s="293">
        <v>1</v>
      </c>
      <c r="J20" s="279" t="s">
        <v>0</v>
      </c>
      <c r="K20" s="293">
        <v>0</v>
      </c>
      <c r="L20" s="223" t="str">
        <f>IF(AND(K20&lt;&gt;"",I20&lt;&gt;""),IF(K20=I20,"E",IF(K20&gt;I20,"G","P")),"")</f>
        <v>P</v>
      </c>
      <c r="M20" s="19"/>
      <c r="N20" s="224" t="str">
        <f>VLOOKUP(A20,tDatos[],6,0)</f>
        <v>CABO VERDE</v>
      </c>
      <c r="O20" s="18"/>
      <c r="P20" s="225" t="str">
        <f>VLOOKUP(A20,tDatos[],9,0)</f>
        <v>Miami</v>
      </c>
      <c r="R20" s="287" t="str">
        <f>"  3)  " &amp; VLOOKUP(3,$AE$10:$AF$29,2,0)</f>
        <v xml:space="preserve">  3)  ARABIA SAUDITA</v>
      </c>
      <c r="S20" s="288"/>
      <c r="T20" s="288"/>
      <c r="U20" s="288"/>
      <c r="V20" s="254">
        <f>VLOOKUP(3,$AE$10:$AG$29,3,0)</f>
        <v>3</v>
      </c>
      <c r="W20" s="255">
        <f>VLOOKUP(3,$AE$10:$AH$29,4,0)</f>
        <v>0</v>
      </c>
      <c r="X20" s="255">
        <f>VLOOKUP(3,$AE$10:$AI$29,5,0)</f>
        <v>1</v>
      </c>
      <c r="Y20" s="255">
        <f>VLOOKUP(3,$AE$10:$AJ$29,6,0)</f>
        <v>2</v>
      </c>
      <c r="Z20" s="255">
        <f>VLOOKUP(3,$AE$10:$AK$29,7,0)</f>
        <v>2</v>
      </c>
      <c r="AA20" s="255">
        <f>VLOOKUP(3,$AE$10:$AL$29,8,0)</f>
        <v>6</v>
      </c>
      <c r="AB20" s="283">
        <f>Z20-AA20</f>
        <v>-4</v>
      </c>
      <c r="AC20" s="284">
        <f>(W20*3)+X20</f>
        <v>1</v>
      </c>
      <c r="AD20" s="243">
        <f>RANK(AO20,$AO$10:$AO$29,0)</f>
        <v>4</v>
      </c>
      <c r="AE20" s="243">
        <f>RANK(AP20,$AP$10:$AP$29,1)</f>
        <v>3</v>
      </c>
      <c r="AF20" s="243" t="str">
        <f>F12</f>
        <v>ARABIA SAUDITA</v>
      </c>
      <c r="AG20" s="247">
        <f>3-COUNTIF(I34:K34,"")</f>
        <v>3</v>
      </c>
      <c r="AH20" s="243">
        <f>COUNTIF(I34:K34,"G")</f>
        <v>0</v>
      </c>
      <c r="AI20" s="243">
        <f>COUNTIF(I34:K34,"E")</f>
        <v>1</v>
      </c>
      <c r="AJ20" s="243">
        <f>COUNTIF(I34:K34,"P")</f>
        <v>2</v>
      </c>
      <c r="AK20" s="247">
        <f>SUM(I12,K16,K24)</f>
        <v>2</v>
      </c>
      <c r="AL20" s="247">
        <f>SUM(K12,I16,I24)</f>
        <v>6</v>
      </c>
      <c r="AM20" s="243">
        <f>AK20-AL20</f>
        <v>-4</v>
      </c>
      <c r="AN20" s="243">
        <f>(AH20*3)+AI20*vcp</f>
        <v>1</v>
      </c>
      <c r="AO20" s="243">
        <f>IF($AO$6&gt;0,AN20*10+1)</f>
        <v>11</v>
      </c>
      <c r="AP20" s="243">
        <f>IF(AF20=$R$38,BF20-100,IF(AF20=$R$37,BF20-200,IF(AF20=$R$36,BF20-300,BF20)))</f>
        <v>-97</v>
      </c>
      <c r="AQ20" s="243" t="str">
        <f>IF(R38="",IF(SUM($V$10:$V$29)&gt;0,VLOOKUP(3,$AE$10:$AF$29,2,0),""),R38)</f>
        <v>ARABIA SAUDITA</v>
      </c>
      <c r="AR20" s="148" t="str">
        <f>F20&amp;N20</f>
        <v>URUGUAYCABO VERDE</v>
      </c>
      <c r="AS20" s="148" t="str">
        <f>IF(I20&gt;K20,F20,IF(K20&gt;I20,N20,""))</f>
        <v>URUGUAY</v>
      </c>
      <c r="AT20" s="149">
        <f>I20</f>
        <v>1</v>
      </c>
      <c r="AU20" s="149">
        <f>K20</f>
        <v>0</v>
      </c>
      <c r="AV20" s="149">
        <f>AT20-AU20</f>
        <v>1</v>
      </c>
      <c r="AW20" s="242">
        <f>RANK(AY20,$AY$10:$AY$29,0)</f>
        <v>4</v>
      </c>
      <c r="AX20" s="244">
        <f>IF(AND($AO$6&gt;0,$AP$6&gt;0),AN20*10000+AZ20,AO20)</f>
        <v>10000</v>
      </c>
      <c r="AY20" s="244">
        <f>IF(AND($AO$6&gt;0,$AP$6&gt;0),AN20*10000+AZ20-2,AO20)</f>
        <v>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3</v>
      </c>
      <c r="BB20" s="242">
        <f>AX20+BD20</f>
        <v>10000</v>
      </c>
      <c r="BC20" s="244">
        <f>AX20+BD20+1</f>
        <v>10001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10006.209999999999</v>
      </c>
      <c r="BF20" s="242">
        <f>RANK(BE20,$BE$10:$BE$29)</f>
        <v>3</v>
      </c>
      <c r="BG20" s="241">
        <f>BE20-0.01</f>
        <v>10006.199999999999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CABO VERDEURUGUAY</v>
      </c>
      <c r="AS21" s="148" t="str">
        <f>IF(I20&gt;K20,F20,IF(K20&gt;I20,N20,""))</f>
        <v>URUGUAY</v>
      </c>
      <c r="AT21" s="149">
        <f>K20</f>
        <v>0</v>
      </c>
      <c r="AU21" s="149">
        <f>I20</f>
        <v>1</v>
      </c>
      <c r="AV21" s="149">
        <f>AT21-AU21</f>
        <v>-1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63</v>
      </c>
      <c r="B24" s="232">
        <v>65</v>
      </c>
      <c r="C24" s="235">
        <f>VLOOKUP(A24,tDatos[],IF(UTCElegido="",3,12),0)</f>
        <v>46199</v>
      </c>
      <c r="D24" s="231">
        <f>VLOOKUP(A24,tDatos[],IF(UTCElegido="",4,12),0)</f>
        <v>0.83333333333333337</v>
      </c>
      <c r="E24" s="18"/>
      <c r="F24" s="233" t="str">
        <f>VLOOKUP(A24,tDatos[],5,0)</f>
        <v>CABO VERDE</v>
      </c>
      <c r="G24" s="223" t="str">
        <f>IF(AND(I24&lt;&gt;"",K24&lt;&gt;""),IF(I24=K24,"E",IF(I24&gt;K24,"G","P")),"")</f>
        <v>E</v>
      </c>
      <c r="H24" s="20"/>
      <c r="I24" s="293">
        <v>0</v>
      </c>
      <c r="J24" s="279" t="s">
        <v>0</v>
      </c>
      <c r="K24" s="293">
        <v>0</v>
      </c>
      <c r="L24" s="223" t="str">
        <f>IF(AND(K24&lt;&gt;"",I24&lt;&gt;""),IF(K24=I24,"E",IF(K24&gt;I24,"G","P")),"")</f>
        <v>E</v>
      </c>
      <c r="M24" s="19"/>
      <c r="N24" s="224" t="str">
        <f>VLOOKUP(A24,tDatos[],6,0)</f>
        <v>ARABIA SAUDITA</v>
      </c>
      <c r="O24" s="18"/>
      <c r="P24" s="225" t="str">
        <f>VLOOKUP(A24,tDatos[],9,0)</f>
        <v>Houston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CABO VERDEARABIA SAUDITA</v>
      </c>
      <c r="AS24" s="148" t="str">
        <f>IF(I24&gt;K24,F24,IF(K24&gt;I24,N24,""))</f>
        <v/>
      </c>
      <c r="AT24" s="149">
        <f>I24</f>
        <v>0</v>
      </c>
      <c r="AU24" s="149">
        <f>K24</f>
        <v>0</v>
      </c>
      <c r="AV24" s="149">
        <f>AT24-AU24</f>
        <v>0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CABO VERDE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1</v>
      </c>
      <c r="Y25" s="255">
        <f>VLOOKUP(4,$AE$10:$AJ$29,6,0)</f>
        <v>2</v>
      </c>
      <c r="Z25" s="255">
        <f>VLOOKUP(4,$AE$10:$AK$29,7,0)</f>
        <v>0</v>
      </c>
      <c r="AA25" s="255">
        <f>VLOOKUP(4,$AE$10:$AL$29,8,0)</f>
        <v>4</v>
      </c>
      <c r="AB25" s="283">
        <f>Z25-AA25</f>
        <v>-4</v>
      </c>
      <c r="AC25" s="284">
        <f>(W25*3)+X25</f>
        <v>1</v>
      </c>
      <c r="AD25" s="243">
        <f>RANK(AO25,$AO$10:$AO$29,0)</f>
        <v>2</v>
      </c>
      <c r="AE25" s="243">
        <f>RANK(AP25,$AP$10:$AP$29,1)</f>
        <v>2</v>
      </c>
      <c r="AF25" s="243" t="str">
        <f>N12</f>
        <v>URUGUAY</v>
      </c>
      <c r="AG25" s="247">
        <f>3-COUNTIF(I35:K35,"")</f>
        <v>3</v>
      </c>
      <c r="AH25" s="243">
        <f>COUNTIF(I35:K35,"G")</f>
        <v>2</v>
      </c>
      <c r="AI25" s="243">
        <f>COUNTIF(I35:K35,"E")</f>
        <v>0</v>
      </c>
      <c r="AJ25" s="243">
        <f>COUNTIF(I35:K35,"P")</f>
        <v>1</v>
      </c>
      <c r="AK25" s="247">
        <f>SUM(K12,I20,I28)</f>
        <v>5</v>
      </c>
      <c r="AL25" s="247">
        <f>SUM(I12,K20,K28)</f>
        <v>3</v>
      </c>
      <c r="AM25" s="243">
        <f>AK25-AL25</f>
        <v>2</v>
      </c>
      <c r="AN25" s="243">
        <f>(AH25*3)+AI25*vcp</f>
        <v>6</v>
      </c>
      <c r="AO25" s="243">
        <f>IF($AO$6&gt;0,AN25*10)</f>
        <v>60</v>
      </c>
      <c r="AP25" s="243">
        <f>IF(AF25=$R$38,BF25-100,IF(AF25=$R$37,BF25-200,IF(AF25=$R$36,BF25-300,BF25)))</f>
        <v>-198</v>
      </c>
      <c r="AQ25" s="243" t="str">
        <f>IF(SUM($V$10:$V$29)&gt;0,VLOOKUP(4,$AE$10:$AF$29,2,0),"")</f>
        <v>CABO VERDE</v>
      </c>
      <c r="AR25" s="148" t="str">
        <f>N24&amp;F24</f>
        <v>ARABIA SAUDITACABO VERDE</v>
      </c>
      <c r="AS25" s="148" t="str">
        <f>IF(I24&gt;K24,F24,IF(K24&gt;I24,N24,""))</f>
        <v/>
      </c>
      <c r="AT25" s="149">
        <f>K24</f>
        <v>0</v>
      </c>
      <c r="AU25" s="149">
        <f>I24</f>
        <v>0</v>
      </c>
      <c r="AV25" s="149">
        <f>AT25-AU25</f>
        <v>0</v>
      </c>
      <c r="AW25" s="242">
        <f>RANK(AY25,$AY$10:$AY$29,0)</f>
        <v>2</v>
      </c>
      <c r="AX25" s="244">
        <f>IF(AND($AO$6&gt;0,$AP$6&gt;0),AN25*10000+AZ25,AO25)</f>
        <v>60000</v>
      </c>
      <c r="AY25" s="244">
        <f>IF(AND($AO$6&gt;0,$AP$6&gt;0),AN25*10000+AZ25-3,AO25)</f>
        <v>59997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2</v>
      </c>
      <c r="BB25" s="242">
        <f>AX25+BD25</f>
        <v>60000</v>
      </c>
      <c r="BC25" s="244">
        <f>AX25+BD25</f>
        <v>60000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60062.5</v>
      </c>
      <c r="BF25" s="242">
        <f>RANK(BE25,$BE$10:$BE$29)</f>
        <v>2</v>
      </c>
      <c r="BG25" s="241">
        <f>BE25</f>
        <v>60062.5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64</v>
      </c>
      <c r="B28" s="232">
        <v>66</v>
      </c>
      <c r="C28" s="235">
        <f>VLOOKUP(A28,tDatos[],IF(UTCElegido="",3,12),0)</f>
        <v>46199</v>
      </c>
      <c r="D28" s="231">
        <f>VLOOKUP(A28,tDatos[],IF(UTCElegido="",4,12),0)</f>
        <v>0.83333333333333337</v>
      </c>
      <c r="E28" s="18"/>
      <c r="F28" s="233" t="str">
        <f>VLOOKUP(A28,tDatos[],5,0)</f>
        <v>URUGUAY</v>
      </c>
      <c r="G28" s="223" t="str">
        <f>IF(AND(I28&lt;&gt;"",K28&lt;&gt;""),IF(I28=K28,"E",IF(I28&gt;K28,"G","P")),"")</f>
        <v>P</v>
      </c>
      <c r="H28" s="20"/>
      <c r="I28" s="293">
        <v>1</v>
      </c>
      <c r="J28" s="279" t="s">
        <v>0</v>
      </c>
      <c r="K28" s="293">
        <v>2</v>
      </c>
      <c r="L28" s="223" t="str">
        <f>IF(AND(K28&lt;&gt;"",I28&lt;&gt;""),IF(K28=I28,"E",IF(K28&gt;I28,"G","P")),"")</f>
        <v>G</v>
      </c>
      <c r="M28" s="19"/>
      <c r="N28" s="224" t="str">
        <f>VLOOKUP(A28,tDatos[],6,0)</f>
        <v>ESPAÑA</v>
      </c>
      <c r="O28" s="18"/>
      <c r="P28" s="225" t="str">
        <f>VLOOKUP(A28,tDatos[],9,0)</f>
        <v>Guadalajara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URUGUAYESPAÑA</v>
      </c>
      <c r="AS28" s="148" t="str">
        <f>IF(I28&gt;K28,F28,IF(K28&gt;I28,N28,""))</f>
        <v>ESPAÑA</v>
      </c>
      <c r="AT28" s="149">
        <f>I28</f>
        <v>1</v>
      </c>
      <c r="AU28" s="149">
        <f>K28</f>
        <v>2</v>
      </c>
      <c r="AV28" s="149">
        <f>AT28-AU28</f>
        <v>-1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ESPAÑAURUGUAY</v>
      </c>
      <c r="AS29" s="148" t="str">
        <f>IF(I28&gt;K28,F28,IF(K28&gt;I28,N28,""))</f>
        <v>ESPAÑA</v>
      </c>
      <c r="AT29" s="149">
        <f>K28</f>
        <v>2</v>
      </c>
      <c r="AU29" s="149">
        <f>I28</f>
        <v>1</v>
      </c>
      <c r="AV29" s="149">
        <f>AT29-AU29</f>
        <v>1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ESPAÑA</v>
      </c>
      <c r="I32" t="str">
        <f>G8</f>
        <v>G</v>
      </c>
      <c r="J32" t="str">
        <f>G16</f>
        <v>G</v>
      </c>
      <c r="K32" t="str">
        <f>L28</f>
        <v>G</v>
      </c>
    </row>
    <row r="33" spans="6:21" hidden="1" x14ac:dyDescent="0.3">
      <c r="F33" t="str">
        <f>N8</f>
        <v>CABO VERDE</v>
      </c>
      <c r="I33" t="str">
        <f>L8</f>
        <v>P</v>
      </c>
      <c r="J33" t="str">
        <f>L20</f>
        <v>P</v>
      </c>
      <c r="K33" t="str">
        <f>G24</f>
        <v>E</v>
      </c>
    </row>
    <row r="34" spans="6:21" hidden="1" x14ac:dyDescent="0.3">
      <c r="F34" t="str">
        <f>F12</f>
        <v>ARABIA SAUDITA</v>
      </c>
      <c r="I34" t="str">
        <f>G12</f>
        <v>P</v>
      </c>
      <c r="J34" t="str">
        <f>L16</f>
        <v>P</v>
      </c>
      <c r="K34" t="str">
        <f>L24</f>
        <v>E</v>
      </c>
    </row>
    <row r="35" spans="6:21" hidden="1" x14ac:dyDescent="0.3">
      <c r="F35" t="str">
        <f>N12</f>
        <v>URUGUAY</v>
      </c>
      <c r="I35" t="str">
        <f>L12</f>
        <v>G</v>
      </c>
      <c r="J35" t="str">
        <f>G20</f>
        <v>G</v>
      </c>
      <c r="K35" t="str">
        <f>G28</f>
        <v>P</v>
      </c>
    </row>
    <row r="36" spans="6:21" x14ac:dyDescent="0.3">
      <c r="N36" s="157" t="s">
        <v>391</v>
      </c>
      <c r="Q36" s="3" t="s">
        <v>392</v>
      </c>
      <c r="R36" s="250" t="s">
        <v>13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14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358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17</v>
      </c>
      <c r="B8" s="232">
        <v>17</v>
      </c>
      <c r="C8" s="235">
        <f>VLOOKUP(A8,tDatos[],IF(UTCElegido="",3,12),0)</f>
        <v>46189</v>
      </c>
      <c r="D8" s="231">
        <f>VLOOKUP(A8,tDatos[],IF(UTCElegido="",4,12),0)</f>
        <v>0.625</v>
      </c>
      <c r="E8" s="18"/>
      <c r="F8" s="233" t="str">
        <f>VLOOKUP(A8,tDatos[],5,0)</f>
        <v>FRANCIA</v>
      </c>
      <c r="G8" s="223" t="str">
        <f>IF(AND(I8&lt;&gt;"",K8&lt;&gt;""),IF(I8=K8,"E",IF(I8&gt;K8,"G","P")),"")</f>
        <v>G</v>
      </c>
      <c r="H8" s="20"/>
      <c r="I8" s="293">
        <v>3</v>
      </c>
      <c r="J8" s="279" t="s">
        <v>0</v>
      </c>
      <c r="K8" s="293">
        <v>1</v>
      </c>
      <c r="L8" s="223" t="str">
        <f>IF(AND(K8&lt;&gt;"",I8&lt;&gt;""),IF(K8=I8,"E",IF(K8&gt;I8,"G","P")),"")</f>
        <v>P</v>
      </c>
      <c r="M8" s="19"/>
      <c r="N8" s="224" t="str">
        <f>VLOOKUP(A8,tDatos[],6,0)</f>
        <v>SENEGAL</v>
      </c>
      <c r="O8" s="18"/>
      <c r="P8" s="225" t="str">
        <f>VLOOKUP(A8,tDatos[],9,0)</f>
        <v>N. York/N. Jersey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FRANCIASENEGAL</v>
      </c>
      <c r="AS8" s="148" t="str">
        <f>IF(I8&gt;K8,F8,IF(K8&gt;I8,N8,""))</f>
        <v>FRANCIA</v>
      </c>
      <c r="AT8" s="149">
        <f>I8</f>
        <v>3</v>
      </c>
      <c r="AU8" s="149">
        <f>K8</f>
        <v>1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SENEGALFRANCIA</v>
      </c>
      <c r="AS9" s="148" t="str">
        <f>IF(I8&gt;K8,F8,IF(K8&gt;I8,N8,""))</f>
        <v>FRANCIA</v>
      </c>
      <c r="AT9" s="149">
        <f>K8</f>
        <v>1</v>
      </c>
      <c r="AU9" s="149">
        <f>I8</f>
        <v>3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FRANCIA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8</v>
      </c>
      <c r="AA10" s="253">
        <f>VLOOKUP(1,$AE$10:$AL$29,8,0)</f>
        <v>4</v>
      </c>
      <c r="AB10" s="253">
        <f>Z10-AA10</f>
        <v>4</v>
      </c>
      <c r="AC10" s="257">
        <f>(W10*3)+X10</f>
        <v>7</v>
      </c>
      <c r="AD10" s="243">
        <f>RANK(AO10,$AO$10:$AO$29,0)</f>
        <v>1</v>
      </c>
      <c r="AE10" s="243">
        <f>RANK(AP10,$AP$10:$AP$29,1)</f>
        <v>1</v>
      </c>
      <c r="AF10" s="243" t="str">
        <f>F8</f>
        <v>FRANCIA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SUM(I8,I16,K24)</f>
        <v>8</v>
      </c>
      <c r="AL10" s="243">
        <f>SUM(K8,K16,I24)</f>
        <v>4</v>
      </c>
      <c r="AM10" s="243">
        <f>AK10-AL10</f>
        <v>4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FRANCIA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70000</v>
      </c>
      <c r="AY10" s="244">
        <f>IF(AND($AO$6&gt;0,$AP$6&gt;0),AN10*10000+AZ10,AO10)</f>
        <v>70000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70000</v>
      </c>
      <c r="BC10" s="244">
        <f>AX10+BD10+3</f>
        <v>70003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70074.83</v>
      </c>
      <c r="BF10" s="242">
        <f>RANK(BE10,$BE$10:$BE$29)</f>
        <v>1</v>
      </c>
      <c r="BG10" s="241">
        <f>BE10-0.03</f>
        <v>70074.8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18</v>
      </c>
      <c r="B12" s="232">
        <v>18</v>
      </c>
      <c r="C12" s="235">
        <f>VLOOKUP(A12,tDatos[],IF(UTCElegido="",3,12),0)</f>
        <v>46189</v>
      </c>
      <c r="D12" s="231">
        <f>VLOOKUP(A12,tDatos[],IF(UTCElegido="",4,12),0)</f>
        <v>0.75</v>
      </c>
      <c r="E12" s="18"/>
      <c r="F12" s="233" t="str">
        <f>VLOOKUP(A12,tDatos[],5,0)</f>
        <v>IRAK</v>
      </c>
      <c r="G12" s="223" t="str">
        <f>IF(AND(I12&lt;&gt;"",K12&lt;&gt;""),IF(I12=K12,"E",IF(I12&gt;K12,"G","P")),"")</f>
        <v>P</v>
      </c>
      <c r="H12" s="20"/>
      <c r="I12" s="293">
        <v>1</v>
      </c>
      <c r="J12" s="279" t="s">
        <v>0</v>
      </c>
      <c r="K12" s="293">
        <v>3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NORUEGA</v>
      </c>
      <c r="O12" s="18"/>
      <c r="P12" s="225" t="str">
        <f>VLOOKUP(A12,tDatos[],9,0)</f>
        <v>Boston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IRAKNORUEGA</v>
      </c>
      <c r="AS12" s="148" t="str">
        <f>IF(I12&gt;K12,F12,IF(K12&gt;I12,N12,""))</f>
        <v>NORUEGA</v>
      </c>
      <c r="AT12" s="149">
        <f>I12</f>
        <v>1</v>
      </c>
      <c r="AU12" s="149">
        <f>K12</f>
        <v>3</v>
      </c>
      <c r="AV12" s="149">
        <f>AT12-AU12</f>
        <v>-2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NORUEGAIRAK</v>
      </c>
      <c r="AS13" s="148" t="str">
        <f>IF(I12&gt;K12,F12,IF(K12&gt;I12,N12,""))</f>
        <v>NORUEGA</v>
      </c>
      <c r="AT13" s="149">
        <f>K12</f>
        <v>3</v>
      </c>
      <c r="AU13" s="149">
        <f>I12</f>
        <v>1</v>
      </c>
      <c r="AV13" s="149">
        <f>AT13-AU13</f>
        <v>2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NORUEGA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1</v>
      </c>
      <c r="Y15" s="253">
        <f>VLOOKUP(2,$AE$10:$AJ$29,6,0)</f>
        <v>0</v>
      </c>
      <c r="Z15" s="253">
        <f>VLOOKUP(2,$AE$10:$AK$29,7,0)</f>
        <v>6</v>
      </c>
      <c r="AA15" s="253">
        <f>VLOOKUP(2,$AE$10:$AL$29,8,0)</f>
        <v>3</v>
      </c>
      <c r="AB15" s="253">
        <f>Z15-AA15</f>
        <v>3</v>
      </c>
      <c r="AC15" s="257">
        <f>(W15*3)+X15</f>
        <v>7</v>
      </c>
      <c r="AD15" s="243">
        <f>RANK(AO15,$AO$10:$AO$29,0)</f>
        <v>3</v>
      </c>
      <c r="AE15" s="243">
        <f>RANK(AP15,$AP$10:$AP$29,1)</f>
        <v>3</v>
      </c>
      <c r="AF15" s="243" t="str">
        <f>N8</f>
        <v>SENEGAL</v>
      </c>
      <c r="AG15" s="247">
        <f>3-COUNTIF(I33:K33,"")</f>
        <v>3</v>
      </c>
      <c r="AH15" s="243">
        <f>COUNTIF(I33:K33,"G")</f>
        <v>1</v>
      </c>
      <c r="AI15" s="243">
        <f>COUNTIF(I33:K33,"E")</f>
        <v>0</v>
      </c>
      <c r="AJ15" s="243">
        <f>COUNTIF(I33:K33,"P")</f>
        <v>2</v>
      </c>
      <c r="AK15" s="247">
        <f>SUM(K8,K20,I28)</f>
        <v>2</v>
      </c>
      <c r="AL15" s="243">
        <f>SUM(I8,I20,K28)</f>
        <v>4</v>
      </c>
      <c r="AM15" s="243">
        <f>AK15-AL15</f>
        <v>-2</v>
      </c>
      <c r="AN15" s="243">
        <f>(AH15*3)+AI15*vcp</f>
        <v>3</v>
      </c>
      <c r="AO15" s="243">
        <f>IF($AO$6&gt;0,AN15*10+2)</f>
        <v>32</v>
      </c>
      <c r="AP15" s="243">
        <f>IF(AF15=$R$38,BF15-100,IF(AF15=$R$37,BF15-200,IF(AF15=$R$36,BF15-300,BF15)))</f>
        <v>-97</v>
      </c>
      <c r="AQ15" s="243" t="str">
        <f>IF(R37="",IF(SUM($V$10:$V$29)&gt;0,VLOOKUP(2,$AE$10:$AF$29,2,0),""),R37)</f>
        <v>NORUEGA</v>
      </c>
      <c r="AR15" s="151"/>
      <c r="AS15" s="148"/>
      <c r="AT15" s="148"/>
      <c r="AU15" s="148"/>
      <c r="AV15" s="152"/>
      <c r="AW15" s="242">
        <f>RANK(AY15,$AY$10:$AY$29,0)</f>
        <v>3</v>
      </c>
      <c r="AX15" s="244">
        <f>IF(AND($AO$6&gt;0,$AP$6&gt;0),AN15*10000+AZ15,AO15)</f>
        <v>30000</v>
      </c>
      <c r="AY15" s="244">
        <f>IF(AND($AO$6&gt;0,$AP$6&gt;0),AN15*10000+AZ15-1,AO15)</f>
        <v>29999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3</v>
      </c>
      <c r="BB15" s="242">
        <f>AX15+BD15</f>
        <v>30000</v>
      </c>
      <c r="BC15" s="244">
        <f>AX15+BD15+2</f>
        <v>30002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30028.22</v>
      </c>
      <c r="BF15" s="242">
        <f>RANK(BE15,$BE$10:$BE$29)</f>
        <v>3</v>
      </c>
      <c r="BG15" s="241">
        <f>BE15-0.02</f>
        <v>30028.2</v>
      </c>
      <c r="BH15" s="241">
        <f>COUNTIF($BG$10:$BG$29,BG15)</f>
        <v>1</v>
      </c>
    </row>
    <row r="16" spans="1:60" ht="7.5" customHeight="1" x14ac:dyDescent="0.3">
      <c r="A16" s="276">
        <v>42</v>
      </c>
      <c r="B16" s="232">
        <v>42</v>
      </c>
      <c r="C16" s="235">
        <f>VLOOKUP(A16,tDatos[],IF(UTCElegido="",3,12),0)</f>
        <v>46195</v>
      </c>
      <c r="D16" s="231">
        <f>VLOOKUP(A16,tDatos[],IF(UTCElegido="",4,12),0)</f>
        <v>0.70833333333333337</v>
      </c>
      <c r="E16" s="18"/>
      <c r="F16" s="233" t="str">
        <f>VLOOKUP(A16,tDatos[],5,0)</f>
        <v>FRANCIA</v>
      </c>
      <c r="G16" s="223" t="str">
        <f>IF(AND(I16&lt;&gt;"",K16&lt;&gt;""),IF(I16=K16,"E",IF(I16&gt;K16,"G","P")),"")</f>
        <v>G</v>
      </c>
      <c r="H16" s="20"/>
      <c r="I16" s="293">
        <v>3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IRAK</v>
      </c>
      <c r="O16" s="18"/>
      <c r="P16" s="225" t="str">
        <f>VLOOKUP(A16,tDatos[],9,0)</f>
        <v>Filadelfia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FRANCIAIRAK</v>
      </c>
      <c r="AS16" s="148" t="str">
        <f>IF(I16&gt;K16,F16,IF(K16&gt;I16,N16,""))</f>
        <v>FRANCIA</v>
      </c>
      <c r="AT16" s="149">
        <f>I16</f>
        <v>3</v>
      </c>
      <c r="AU16" s="149">
        <f>K16</f>
        <v>1</v>
      </c>
      <c r="AV16" s="149">
        <f>AT16-AU16</f>
        <v>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IRAKFRANCIA</v>
      </c>
      <c r="AS17" s="148" t="str">
        <f>IF(I16&gt;K16,F16,IF(K16&gt;I16,N16,""))</f>
        <v>FRANCIA</v>
      </c>
      <c r="AT17" s="149">
        <f>K16</f>
        <v>1</v>
      </c>
      <c r="AU17" s="149">
        <f>I16</f>
        <v>3</v>
      </c>
      <c r="AV17" s="149">
        <f>AT17-AU17</f>
        <v>-2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43</v>
      </c>
      <c r="B20" s="232">
        <v>41</v>
      </c>
      <c r="C20" s="235">
        <f>VLOOKUP(A20,tDatos[],IF(UTCElegido="",3,12),0)</f>
        <v>46195</v>
      </c>
      <c r="D20" s="231">
        <f>VLOOKUP(A20,tDatos[],IF(UTCElegido="",4,12),0)</f>
        <v>0.83333333333333337</v>
      </c>
      <c r="E20" s="18"/>
      <c r="F20" s="233" t="str">
        <f>VLOOKUP(A20,tDatos[],5,0)</f>
        <v>NORUEGA</v>
      </c>
      <c r="G20" s="223" t="str">
        <f>IF(AND(I20&lt;&gt;"",K20&lt;&gt;""),IF(I20=K20,"E",IF(I20&gt;K20,"G","P")),"")</f>
        <v>G</v>
      </c>
      <c r="H20" s="20"/>
      <c r="I20" s="293">
        <v>1</v>
      </c>
      <c r="J20" s="279" t="s">
        <v>0</v>
      </c>
      <c r="K20" s="293">
        <v>0</v>
      </c>
      <c r="L20" s="223" t="str">
        <f>IF(AND(K20&lt;&gt;"",I20&lt;&gt;""),IF(K20=I20,"E",IF(K20&gt;I20,"G","P")),"")</f>
        <v>P</v>
      </c>
      <c r="M20" s="19"/>
      <c r="N20" s="224" t="str">
        <f>VLOOKUP(A20,tDatos[],6,0)</f>
        <v>SENEGAL</v>
      </c>
      <c r="O20" s="18"/>
      <c r="P20" s="225" t="str">
        <f>VLOOKUP(A20,tDatos[],9,0)</f>
        <v>N. York/N. Jersey</v>
      </c>
      <c r="R20" s="287" t="str">
        <f>"  3)  " &amp; VLOOKUP(3,$AE$10:$AF$29,2,0)</f>
        <v xml:space="preserve">  3)  SENEGAL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0</v>
      </c>
      <c r="Y20" s="255">
        <f>VLOOKUP(3,$AE$10:$AJ$29,6,0)</f>
        <v>2</v>
      </c>
      <c r="Z20" s="255">
        <f>VLOOKUP(3,$AE$10:$AK$29,7,0)</f>
        <v>2</v>
      </c>
      <c r="AA20" s="255">
        <f>VLOOKUP(3,$AE$10:$AL$29,8,0)</f>
        <v>4</v>
      </c>
      <c r="AB20" s="283">
        <f>Z20-AA20</f>
        <v>-2</v>
      </c>
      <c r="AC20" s="284">
        <f>(W20*3)+X20</f>
        <v>3</v>
      </c>
      <c r="AD20" s="243">
        <f>RANK(AO20,$AO$10:$AO$29,0)</f>
        <v>4</v>
      </c>
      <c r="AE20" s="243">
        <f>RANK(AP20,$AP$10:$AP$29,1)</f>
        <v>4</v>
      </c>
      <c r="AF20" s="243" t="str">
        <f>F12</f>
        <v>IRAK</v>
      </c>
      <c r="AG20" s="247">
        <f>3-COUNTIF(I34:K34,"")</f>
        <v>3</v>
      </c>
      <c r="AH20" s="243">
        <f>COUNTIF(I34:K34,"G")</f>
        <v>0</v>
      </c>
      <c r="AI20" s="243">
        <f>COUNTIF(I34:K34,"E")</f>
        <v>0</v>
      </c>
      <c r="AJ20" s="243">
        <f>COUNTIF(I34:K34,"P")</f>
        <v>3</v>
      </c>
      <c r="AK20" s="247">
        <f>SUM(I12,K16,K28)</f>
        <v>2</v>
      </c>
      <c r="AL20" s="247">
        <f>SUM(K12,I16,I28)</f>
        <v>7</v>
      </c>
      <c r="AM20" s="243">
        <f>AK20-AL20</f>
        <v>-5</v>
      </c>
      <c r="AN20" s="243">
        <f>(AH20*3)+AI20*vcp</f>
        <v>0</v>
      </c>
      <c r="AO20" s="243">
        <f>IF($AO$6&gt;0,AN20*10+1)</f>
        <v>1</v>
      </c>
      <c r="AP20" s="243">
        <f>IF(AF20=$R$38,BF20-100,IF(AF20=$R$37,BF20-200,IF(AF20=$R$36,BF20-300,BF20)))</f>
        <v>4</v>
      </c>
      <c r="AQ20" s="243" t="str">
        <f>IF(R38="",IF(SUM($V$10:$V$29)&gt;0,VLOOKUP(3,$AE$10:$AF$29,2,0),""),R38)</f>
        <v>SENEGAL</v>
      </c>
      <c r="AR20" s="148" t="str">
        <f>F20&amp;N20</f>
        <v>NORUEGASENEGAL</v>
      </c>
      <c r="AS20" s="148" t="str">
        <f>IF(I20&gt;K20,F20,IF(K20&gt;I20,N20,""))</f>
        <v>NORUEGA</v>
      </c>
      <c r="AT20" s="149">
        <f>I20</f>
        <v>1</v>
      </c>
      <c r="AU20" s="149">
        <f>K20</f>
        <v>0</v>
      </c>
      <c r="AV20" s="149">
        <f>AT20-AU20</f>
        <v>1</v>
      </c>
      <c r="AW20" s="242">
        <f>RANK(AY20,$AY$10:$AY$29,0)</f>
        <v>4</v>
      </c>
      <c r="AX20" s="244">
        <f>IF(AND($AO$6&gt;0,$AP$6&gt;0),AN20*10000+AZ20,AO20)</f>
        <v>0</v>
      </c>
      <c r="AY20" s="244">
        <f>IF(AND($AO$6&gt;0,$AP$6&gt;0),AN20*10000+AZ20-2,AO20)</f>
        <v>-2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4</v>
      </c>
      <c r="BB20" s="242">
        <f>AX20+BD20</f>
        <v>0</v>
      </c>
      <c r="BC20" s="244">
        <f>AX20+BD20+1</f>
        <v>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-4.79</v>
      </c>
      <c r="BF20" s="242">
        <f>RANK(BE20,$BE$10:$BE$29)</f>
        <v>4</v>
      </c>
      <c r="BG20" s="241">
        <f>BE20-0.01</f>
        <v>-4.8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SENEGALNORUEGA</v>
      </c>
      <c r="AS21" s="148" t="str">
        <f>IF(I20&gt;K20,F20,IF(K20&gt;I20,N20,""))</f>
        <v>NORUEGA</v>
      </c>
      <c r="AT21" s="149">
        <f>K20</f>
        <v>0</v>
      </c>
      <c r="AU21" s="149">
        <f>I20</f>
        <v>1</v>
      </c>
      <c r="AV21" s="149">
        <f>AT21-AU21</f>
        <v>-1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61</v>
      </c>
      <c r="B24" s="232">
        <v>61</v>
      </c>
      <c r="C24" s="235">
        <f>VLOOKUP(A24,tDatos[],IF(UTCElegido="",3,12),0)</f>
        <v>46199</v>
      </c>
      <c r="D24" s="231">
        <f>VLOOKUP(A24,tDatos[],IF(UTCElegido="",4,12),0)</f>
        <v>0.625</v>
      </c>
      <c r="E24" s="18"/>
      <c r="F24" s="233" t="str">
        <f>VLOOKUP(A24,tDatos[],5,0)</f>
        <v>NORUEGA</v>
      </c>
      <c r="G24" s="223" t="str">
        <f>IF(AND(I24&lt;&gt;"",K24&lt;&gt;""),IF(I24=K24,"E",IF(I24&gt;K24,"G","P")),"")</f>
        <v>E</v>
      </c>
      <c r="H24" s="20"/>
      <c r="I24" s="293">
        <v>2</v>
      </c>
      <c r="J24" s="279" t="s">
        <v>0</v>
      </c>
      <c r="K24" s="293">
        <v>2</v>
      </c>
      <c r="L24" s="223" t="str">
        <f>IF(AND(K24&lt;&gt;"",I24&lt;&gt;""),IF(K24=I24,"E",IF(K24&gt;I24,"G","P")),"")</f>
        <v>E</v>
      </c>
      <c r="M24" s="19"/>
      <c r="N24" s="224" t="str">
        <f>VLOOKUP(A24,tDatos[],6,0)</f>
        <v>FRANCIA</v>
      </c>
      <c r="O24" s="18"/>
      <c r="P24" s="225" t="str">
        <f>VLOOKUP(A24,tDatos[],9,0)</f>
        <v>Boston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NORUEGAFRANCIA</v>
      </c>
      <c r="AS24" s="148" t="str">
        <f>IF(I24&gt;K24,F24,IF(K24&gt;I24,N24,""))</f>
        <v/>
      </c>
      <c r="AT24" s="149">
        <f>I24</f>
        <v>2</v>
      </c>
      <c r="AU24" s="149">
        <f>K24</f>
        <v>2</v>
      </c>
      <c r="AV24" s="149">
        <f>AT24-AU24</f>
        <v>0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IRAK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2</v>
      </c>
      <c r="AA25" s="255">
        <f>VLOOKUP(4,$AE$10:$AL$29,8,0)</f>
        <v>7</v>
      </c>
      <c r="AB25" s="283">
        <f>Z25-AA25</f>
        <v>-5</v>
      </c>
      <c r="AC25" s="284">
        <f>(W25*3)+X25</f>
        <v>0</v>
      </c>
      <c r="AD25" s="243">
        <f>RANK(AO25,$AO$10:$AO$29,0)</f>
        <v>2</v>
      </c>
      <c r="AE25" s="243">
        <f>RANK(AP25,$AP$10:$AP$29,1)</f>
        <v>2</v>
      </c>
      <c r="AF25" s="243" t="str">
        <f>N12</f>
        <v>NORUEGA</v>
      </c>
      <c r="AG25" s="247">
        <f>3-COUNTIF(I35:K35,"")</f>
        <v>3</v>
      </c>
      <c r="AH25" s="243">
        <f>COUNTIF(I35:K35,"G")</f>
        <v>2</v>
      </c>
      <c r="AI25" s="243">
        <f>COUNTIF(I35:K35,"E")</f>
        <v>1</v>
      </c>
      <c r="AJ25" s="243">
        <f>COUNTIF(I35:K35,"P")</f>
        <v>0</v>
      </c>
      <c r="AK25" s="247">
        <f>SUM(K12,I20,I24)</f>
        <v>6</v>
      </c>
      <c r="AL25" s="247">
        <f>SUM(I12,K20,K24)</f>
        <v>3</v>
      </c>
      <c r="AM25" s="243">
        <f>AK25-AL25</f>
        <v>3</v>
      </c>
      <c r="AN25" s="243">
        <f>(AH25*3)+AI25*vcp</f>
        <v>7</v>
      </c>
      <c r="AO25" s="243">
        <f>IF($AO$6&gt;0,AN25*10)</f>
        <v>70</v>
      </c>
      <c r="AP25" s="243">
        <f>IF(AF25=$R$38,BF25-100,IF(AF25=$R$37,BF25-200,IF(AF25=$R$36,BF25-300,BF25)))</f>
        <v>-198</v>
      </c>
      <c r="AQ25" s="243" t="str">
        <f>IF(SUM($V$10:$V$29)&gt;0,VLOOKUP(4,$AE$10:$AF$29,2,0),"")</f>
        <v>IRAK</v>
      </c>
      <c r="AR25" s="148" t="str">
        <f>N24&amp;F24</f>
        <v>FRANCIANORUEGA</v>
      </c>
      <c r="AS25" s="148" t="str">
        <f>IF(I24&gt;K24,F24,IF(K24&gt;I24,N24,""))</f>
        <v/>
      </c>
      <c r="AT25" s="149">
        <f>K24</f>
        <v>2</v>
      </c>
      <c r="AU25" s="149">
        <f>I24</f>
        <v>2</v>
      </c>
      <c r="AV25" s="149">
        <f>AT25-AU25</f>
        <v>0</v>
      </c>
      <c r="AW25" s="242">
        <f>RANK(AY25,$AY$10:$AY$29,0)</f>
        <v>2</v>
      </c>
      <c r="AX25" s="244">
        <f>IF(AND($AO$6&gt;0,$AP$6&gt;0),AN25*10000+AZ25,AO25)</f>
        <v>70000</v>
      </c>
      <c r="AY25" s="244">
        <f>IF(AND($AO$6&gt;0,$AP$6&gt;0),AN25*10000+AZ25-3,AO25)</f>
        <v>69997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1</v>
      </c>
      <c r="BB25" s="242">
        <f>AX25+BD25</f>
        <v>70000</v>
      </c>
      <c r="BC25" s="244">
        <f>AX25+BD25</f>
        <v>70000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70073.600000000006</v>
      </c>
      <c r="BF25" s="242">
        <f>RANK(BE25,$BE$10:$BE$29)</f>
        <v>2</v>
      </c>
      <c r="BG25" s="241">
        <f>BE25</f>
        <v>70073.600000000006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62</v>
      </c>
      <c r="B28" s="232">
        <v>62</v>
      </c>
      <c r="C28" s="235">
        <f>VLOOKUP(A28,tDatos[],IF(UTCElegido="",3,12),0)</f>
        <v>46199</v>
      </c>
      <c r="D28" s="231">
        <f>VLOOKUP(A28,tDatos[],IF(UTCElegido="",4,12),0)</f>
        <v>0.625</v>
      </c>
      <c r="E28" s="18"/>
      <c r="F28" s="233" t="str">
        <f>VLOOKUP(A28,tDatos[],5,0)</f>
        <v>SENEGAL</v>
      </c>
      <c r="G28" s="223" t="str">
        <f>IF(AND(I28&lt;&gt;"",K28&lt;&gt;""),IF(I28=K28,"E",IF(I28&gt;K28,"G","P")),"")</f>
        <v>G</v>
      </c>
      <c r="H28" s="20"/>
      <c r="I28" s="293">
        <v>1</v>
      </c>
      <c r="J28" s="279" t="s">
        <v>0</v>
      </c>
      <c r="K28" s="293">
        <v>0</v>
      </c>
      <c r="L28" s="223" t="str">
        <f>IF(AND(K28&lt;&gt;"",I28&lt;&gt;""),IF(K28=I28,"E",IF(K28&gt;I28,"G","P")),"")</f>
        <v>P</v>
      </c>
      <c r="M28" s="19"/>
      <c r="N28" s="224" t="str">
        <f>VLOOKUP(A28,tDatos[],6,0)</f>
        <v>IRAK</v>
      </c>
      <c r="O28" s="18"/>
      <c r="P28" s="225" t="str">
        <f>VLOOKUP(A28,tDatos[],9,0)</f>
        <v>Toronto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SENEGALIRAK</v>
      </c>
      <c r="AS28" s="148" t="str">
        <f>IF(I28&gt;K28,F28,IF(K28&gt;I28,N28,""))</f>
        <v>SENEGAL</v>
      </c>
      <c r="AT28" s="149">
        <f>I28</f>
        <v>1</v>
      </c>
      <c r="AU28" s="149">
        <f>K28</f>
        <v>0</v>
      </c>
      <c r="AV28" s="149">
        <f>AT28-AU28</f>
        <v>1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IRAKSENEGAL</v>
      </c>
      <c r="AS29" s="148" t="str">
        <f>IF(I28&gt;K28,F28,IF(K28&gt;I28,N28,""))</f>
        <v>SENEGAL</v>
      </c>
      <c r="AT29" s="149">
        <f>K28</f>
        <v>0</v>
      </c>
      <c r="AU29" s="149">
        <f>I28</f>
        <v>1</v>
      </c>
      <c r="AV29" s="149">
        <f>AT29-AU29</f>
        <v>-1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FRANCIA</v>
      </c>
      <c r="I32" t="str">
        <f>G8</f>
        <v>G</v>
      </c>
      <c r="J32" t="str">
        <f>G16</f>
        <v>G</v>
      </c>
      <c r="K32" t="str">
        <f>L24</f>
        <v>E</v>
      </c>
    </row>
    <row r="33" spans="6:21" hidden="1" x14ac:dyDescent="0.3">
      <c r="F33" t="str">
        <f>N8</f>
        <v>SENEGAL</v>
      </c>
      <c r="I33" t="str">
        <f>L8</f>
        <v>P</v>
      </c>
      <c r="J33" t="str">
        <f>L20</f>
        <v>P</v>
      </c>
      <c r="K33" t="str">
        <f>G28</f>
        <v>G</v>
      </c>
    </row>
    <row r="34" spans="6:21" hidden="1" x14ac:dyDescent="0.3">
      <c r="F34" t="str">
        <f>F12</f>
        <v>IRAK</v>
      </c>
      <c r="I34" t="str">
        <f>G12</f>
        <v>P</v>
      </c>
      <c r="J34" t="str">
        <f>L16</f>
        <v>P</v>
      </c>
      <c r="K34" t="str">
        <f>L28</f>
        <v>P</v>
      </c>
    </row>
    <row r="35" spans="6:21" hidden="1" x14ac:dyDescent="0.3">
      <c r="F35" t="str">
        <f>N12</f>
        <v>NORUEGA</v>
      </c>
      <c r="I35" t="str">
        <f>L12</f>
        <v>G</v>
      </c>
      <c r="J35" t="str">
        <f>G20</f>
        <v>G</v>
      </c>
      <c r="K35" t="str">
        <f>G24</f>
        <v>E</v>
      </c>
    </row>
    <row r="36" spans="6:21" x14ac:dyDescent="0.3">
      <c r="N36" s="157" t="s">
        <v>391</v>
      </c>
      <c r="Q36" s="3" t="s">
        <v>392</v>
      </c>
      <c r="R36" s="250" t="s">
        <v>17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224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35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3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3</v>
      </c>
      <c r="AY6" s="147"/>
      <c r="BB6" s="147">
        <f>(BB10=BB15)+(BB15=BB20)+(BB20=BB25)+(BB10=BB20)+(BB15=BB25)+(BB10=BB25)</f>
        <v>3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19</v>
      </c>
      <c r="B8" s="232">
        <v>19</v>
      </c>
      <c r="C8" s="235">
        <f>VLOOKUP(A8,tDatos[],IF(UTCElegido="",3,12),0)</f>
        <v>46189</v>
      </c>
      <c r="D8" s="231">
        <f>VLOOKUP(A8,tDatos[],IF(UTCElegido="",4,12),0)</f>
        <v>0.875</v>
      </c>
      <c r="E8" s="18"/>
      <c r="F8" s="233" t="str">
        <f>VLOOKUP(A8,tDatos[],5,0)</f>
        <v>ARGENTINA</v>
      </c>
      <c r="G8" s="223" t="str">
        <f>IF(AND(I8&lt;&gt;"",K8&lt;&gt;""),IF(I8=K8,"E",IF(I8&gt;K8,"G","P")),"")</f>
        <v>G</v>
      </c>
      <c r="H8" s="20"/>
      <c r="I8" s="293">
        <v>2</v>
      </c>
      <c r="J8" s="279" t="s">
        <v>0</v>
      </c>
      <c r="K8" s="293">
        <v>0</v>
      </c>
      <c r="L8" s="223" t="str">
        <f>IF(AND(K8&lt;&gt;"",I8&lt;&gt;""),IF(K8=I8,"E",IF(K8&gt;I8,"G","P")),"")</f>
        <v>P</v>
      </c>
      <c r="M8" s="19"/>
      <c r="N8" s="224" t="str">
        <f>VLOOKUP(A8,tDatos[],6,0)</f>
        <v>ARGELIA</v>
      </c>
      <c r="O8" s="18"/>
      <c r="P8" s="225" t="str">
        <f>VLOOKUP(A8,tDatos[],9,0)</f>
        <v>Kansas City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ARGENTINAARGELIA</v>
      </c>
      <c r="AS8" s="148" t="str">
        <f>IF(I8&gt;K8,F8,IF(K8&gt;I8,N8,""))</f>
        <v>ARGENTINA</v>
      </c>
      <c r="AT8" s="149">
        <f>I8</f>
        <v>2</v>
      </c>
      <c r="AU8" s="149">
        <f>K8</f>
        <v>0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ARGELIAARGENTINA</v>
      </c>
      <c r="AS9" s="148" t="str">
        <f>IF(I8&gt;K8,F8,IF(K8&gt;I8,N8,""))</f>
        <v>ARGENTINA</v>
      </c>
      <c r="AT9" s="149">
        <f>K8</f>
        <v>0</v>
      </c>
      <c r="AU9" s="149">
        <f>I8</f>
        <v>2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ARGENTINA</v>
      </c>
      <c r="S10" s="266"/>
      <c r="T10" s="266"/>
      <c r="U10" s="267"/>
      <c r="V10" s="274">
        <f>VLOOKUP(1,$AE$10:$AG$29,3,0)</f>
        <v>3</v>
      </c>
      <c r="W10" s="253">
        <f>VLOOKUP(1,$AE$10:$AH$29,4,0)</f>
        <v>3</v>
      </c>
      <c r="X10" s="253">
        <f>VLOOKUP(1,$AE$10:$AI$29,5,0)</f>
        <v>0</v>
      </c>
      <c r="Y10" s="253">
        <f>VLOOKUP(1,$AE$10:$AJ$29,6,0)</f>
        <v>0</v>
      </c>
      <c r="Z10" s="253">
        <f>VLOOKUP(1,$AE$10:$AK$29,7,0)</f>
        <v>7</v>
      </c>
      <c r="AA10" s="253">
        <f>VLOOKUP(1,$AE$10:$AL$29,8,0)</f>
        <v>2</v>
      </c>
      <c r="AB10" s="253">
        <f>Z10-AA10</f>
        <v>5</v>
      </c>
      <c r="AC10" s="257">
        <f>(W10*3)+X10</f>
        <v>9</v>
      </c>
      <c r="AD10" s="243">
        <f>RANK(AO10,$AO$10:$AO$29,0)</f>
        <v>1</v>
      </c>
      <c r="AE10" s="243">
        <f>RANK(AP10,$AP$10:$AP$29,1)</f>
        <v>1</v>
      </c>
      <c r="AF10" s="243" t="str">
        <f>F8</f>
        <v>ARGENTINA</v>
      </c>
      <c r="AG10" s="247">
        <f>3-COUNTIF(I32:K32,"")</f>
        <v>3</v>
      </c>
      <c r="AH10" s="243">
        <f>COUNTIF(I32:K32,"G")</f>
        <v>3</v>
      </c>
      <c r="AI10" s="243">
        <f>COUNTIF(I32:K32,"E")</f>
        <v>0</v>
      </c>
      <c r="AJ10" s="243">
        <f>COUNTIF(I32:K32,"P")</f>
        <v>0</v>
      </c>
      <c r="AK10" s="243">
        <f>SUM(I8,I16,K28)</f>
        <v>7</v>
      </c>
      <c r="AL10" s="243">
        <f>SUM(K8,K16,I28)</f>
        <v>2</v>
      </c>
      <c r="AM10" s="243">
        <f>AK10-AL10</f>
        <v>5</v>
      </c>
      <c r="AN10" s="243">
        <f>(AH10*3)+AI10*vcp</f>
        <v>9</v>
      </c>
      <c r="AO10" s="243">
        <f>IF($AO$6&gt;0,AN10*10+3)</f>
        <v>93</v>
      </c>
      <c r="AP10" s="243">
        <f>IF(AF10=$R$38,BF10-100,IF(AF10=$R$37,BF10-200,IF(AF10=$R$36,BF10-300,BF10)))</f>
        <v>-299</v>
      </c>
      <c r="AQ10" s="243" t="str">
        <f>IF(R36="",IF(SUM($V$10:$V$29)&gt;0,VLOOKUP(1,$AE$10:$AF$29,2,0),""),R36)</f>
        <v>ARGENTINA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90000</v>
      </c>
      <c r="AY10" s="244">
        <f>IF(AND($AO$6&gt;0,$AP$6&gt;0),AN10*10000+AZ10,AO10)</f>
        <v>90000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90000</v>
      </c>
      <c r="BC10" s="244">
        <f>AX10+BD10+3</f>
        <v>90003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90095.73</v>
      </c>
      <c r="BF10" s="242">
        <f>RANK(BE10,$BE$10:$BE$29)</f>
        <v>1</v>
      </c>
      <c r="BG10" s="241">
        <f>BE10-0.03</f>
        <v>90095.7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20</v>
      </c>
      <c r="B12" s="232">
        <v>20</v>
      </c>
      <c r="C12" s="235">
        <f>VLOOKUP(A12,tDatos[],IF(UTCElegido="",3,12),0)</f>
        <v>46190</v>
      </c>
      <c r="D12" s="231">
        <f>VLOOKUP(A12,tDatos[],IF(UTCElegido="",4,12),0)</f>
        <v>0</v>
      </c>
      <c r="E12" s="18"/>
      <c r="F12" s="233" t="str">
        <f>VLOOKUP(A12,tDatos[],5,0)</f>
        <v>AUSTRIA</v>
      </c>
      <c r="G12" s="223" t="str">
        <f>IF(AND(I12&lt;&gt;"",K12&lt;&gt;""),IF(I12=K12,"E",IF(I12&gt;K12,"G","P")),"")</f>
        <v>E</v>
      </c>
      <c r="H12" s="20"/>
      <c r="I12" s="293">
        <v>1</v>
      </c>
      <c r="J12" s="279" t="s">
        <v>0</v>
      </c>
      <c r="K12" s="293">
        <v>1</v>
      </c>
      <c r="L12" s="223" t="str">
        <f>IF(AND(K12&lt;&gt;"",I12&lt;&gt;""),IF(K12=I12,"E",IF(K12&gt;I12,"G","P")),"")</f>
        <v>E</v>
      </c>
      <c r="M12" s="19"/>
      <c r="N12" s="224" t="str">
        <f>VLOOKUP(A12,tDatos[],6,0)</f>
        <v>JORDANIA</v>
      </c>
      <c r="O12" s="18"/>
      <c r="P12" s="225" t="str">
        <f>VLOOKUP(A12,tDatos[],9,0)</f>
        <v>San Francisco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AUSTRIAJORDANIA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JORDANIAAUSTRIA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AUSTRIA</v>
      </c>
      <c r="S15" s="266"/>
      <c r="T15" s="266"/>
      <c r="U15" s="267"/>
      <c r="V15" s="274">
        <f>VLOOKUP(2,$AE$10:$AG$29,3,0)</f>
        <v>3</v>
      </c>
      <c r="W15" s="253">
        <f>VLOOKUP(2,$AE$10:$AH$29,4,0)</f>
        <v>0</v>
      </c>
      <c r="X15" s="253">
        <f>VLOOKUP(2,$AE$10:$AI$29,5,0)</f>
        <v>2</v>
      </c>
      <c r="Y15" s="253">
        <f>VLOOKUP(2,$AE$10:$AJ$29,6,0)</f>
        <v>1</v>
      </c>
      <c r="Z15" s="253">
        <f>VLOOKUP(2,$AE$10:$AK$29,7,0)</f>
        <v>3</v>
      </c>
      <c r="AA15" s="253">
        <f>VLOOKUP(2,$AE$10:$AL$29,8,0)</f>
        <v>4</v>
      </c>
      <c r="AB15" s="253">
        <f>Z15-AA15</f>
        <v>-1</v>
      </c>
      <c r="AC15" s="257">
        <f>(W15*3)+X15</f>
        <v>2</v>
      </c>
      <c r="AD15" s="243">
        <f>RANK(AO15,$AO$10:$AO$29,0)</f>
        <v>2</v>
      </c>
      <c r="AE15" s="243">
        <f>RANK(AP15,$AP$10:$AP$29,1)</f>
        <v>4</v>
      </c>
      <c r="AF15" s="243" t="str">
        <f>N8</f>
        <v>ARGELIA</v>
      </c>
      <c r="AG15" s="247">
        <f>3-COUNTIF(I33:K33,"")</f>
        <v>3</v>
      </c>
      <c r="AH15" s="243">
        <f>COUNTIF(I33:K33,"G")</f>
        <v>0</v>
      </c>
      <c r="AI15" s="243">
        <f>COUNTIF(I33:K33,"E")</f>
        <v>2</v>
      </c>
      <c r="AJ15" s="243">
        <f>COUNTIF(I33:K33,"P")</f>
        <v>1</v>
      </c>
      <c r="AK15" s="247">
        <f>SUM(K8,K20,I24)</f>
        <v>3</v>
      </c>
      <c r="AL15" s="243">
        <f>SUM(I8,I20,K24)</f>
        <v>5</v>
      </c>
      <c r="AM15" s="243">
        <f>AK15-AL15</f>
        <v>-2</v>
      </c>
      <c r="AN15" s="243">
        <f>(AH15*3)+AI15*vcp</f>
        <v>2</v>
      </c>
      <c r="AO15" s="243">
        <f>IF($AO$6&gt;0,AN15*10+2)</f>
        <v>22</v>
      </c>
      <c r="AP15" s="243">
        <f>IF(AF15=$R$38,BF15-100,IF(AF15=$R$37,BF15-200,IF(AF15=$R$36,BF15-300,BF15)))</f>
        <v>4</v>
      </c>
      <c r="AQ15" s="243" t="str">
        <f>IF(R37="",IF(SUM($V$10:$V$29)&gt;0,VLOOKUP(2,$AE$10:$AF$29,2,0),""),R37)</f>
        <v>AUSTRIA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20000</v>
      </c>
      <c r="AY15" s="244">
        <f>IF(AND($AO$6&gt;0,$AP$6&gt;0),AN15*10000+AZ15-1,AO15)</f>
        <v>19999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2</v>
      </c>
      <c r="BB15" s="242">
        <f>AX15+BD15</f>
        <v>20000</v>
      </c>
      <c r="BC15" s="244">
        <f>AX15+BD15+2</f>
        <v>20002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20018.32</v>
      </c>
      <c r="BF15" s="242">
        <f>RANK(BE15,$BE$10:$BE$29)</f>
        <v>4</v>
      </c>
      <c r="BG15" s="241">
        <f>BE15-0.02</f>
        <v>20018.3</v>
      </c>
      <c r="BH15" s="241">
        <f>COUNTIF($BG$10:$BG$29,BG15)</f>
        <v>1</v>
      </c>
    </row>
    <row r="16" spans="1:60" ht="7.5" customHeight="1" x14ac:dyDescent="0.3">
      <c r="A16" s="276">
        <v>41</v>
      </c>
      <c r="B16" s="232">
        <v>43</v>
      </c>
      <c r="C16" s="235">
        <f>VLOOKUP(A16,tDatos[],IF(UTCElegido="",3,12),0)</f>
        <v>46195</v>
      </c>
      <c r="D16" s="231">
        <f>VLOOKUP(A16,tDatos[],IF(UTCElegido="",4,12),0)</f>
        <v>0.54166666666666663</v>
      </c>
      <c r="E16" s="18"/>
      <c r="F16" s="233" t="str">
        <f>VLOOKUP(A16,tDatos[],5,0)</f>
        <v>ARGENTINA</v>
      </c>
      <c r="G16" s="223" t="str">
        <f>IF(AND(I16&lt;&gt;"",K16&lt;&gt;""),IF(I16=K16,"E",IF(I16&gt;K16,"G","P")),"")</f>
        <v>G</v>
      </c>
      <c r="H16" s="20"/>
      <c r="I16" s="293">
        <v>2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AUSTRIA</v>
      </c>
      <c r="O16" s="18"/>
      <c r="P16" s="225" t="str">
        <f>VLOOKUP(A16,tDatos[],9,0)</f>
        <v>Dallas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ARGENTINAAUSTRIA</v>
      </c>
      <c r="AS16" s="148" t="str">
        <f>IF(I16&gt;K16,F16,IF(K16&gt;I16,N16,""))</f>
        <v>ARGENTINA</v>
      </c>
      <c r="AT16" s="149">
        <f>I16</f>
        <v>2</v>
      </c>
      <c r="AU16" s="149">
        <f>K16</f>
        <v>1</v>
      </c>
      <c r="AV16" s="149">
        <f>AT16-AU16</f>
        <v>1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AUSTRIAARGENTINA</v>
      </c>
      <c r="AS17" s="148" t="str">
        <f>IF(I16&gt;K16,F16,IF(K16&gt;I16,N16,""))</f>
        <v>ARGENTINA</v>
      </c>
      <c r="AT17" s="149">
        <f>K16</f>
        <v>1</v>
      </c>
      <c r="AU17" s="149">
        <f>I16</f>
        <v>2</v>
      </c>
      <c r="AV17" s="149">
        <f>AT17-AU17</f>
        <v>-1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44</v>
      </c>
      <c r="B20" s="232">
        <v>44</v>
      </c>
      <c r="C20" s="235">
        <f>VLOOKUP(A20,tDatos[],IF(UTCElegido="",3,12),0)</f>
        <v>46195</v>
      </c>
      <c r="D20" s="231">
        <f>VLOOKUP(A20,tDatos[],IF(UTCElegido="",4,12),0)</f>
        <v>0.95833333333333337</v>
      </c>
      <c r="E20" s="18"/>
      <c r="F20" s="233" t="str">
        <f>VLOOKUP(A20,tDatos[],5,0)</f>
        <v>JORDANIA</v>
      </c>
      <c r="G20" s="223" t="str">
        <f>IF(AND(I20&lt;&gt;"",K20&lt;&gt;""),IF(I20=K20,"E",IF(I20&gt;K20,"G","P")),"")</f>
        <v>E</v>
      </c>
      <c r="H20" s="20"/>
      <c r="I20" s="293">
        <v>2</v>
      </c>
      <c r="J20" s="279" t="s">
        <v>0</v>
      </c>
      <c r="K20" s="293">
        <v>2</v>
      </c>
      <c r="L20" s="223" t="str">
        <f>IF(AND(K20&lt;&gt;"",I20&lt;&gt;""),IF(K20=I20,"E",IF(K20&gt;I20,"G","P")),"")</f>
        <v>E</v>
      </c>
      <c r="M20" s="19"/>
      <c r="N20" s="224" t="str">
        <f>VLOOKUP(A20,tDatos[],6,0)</f>
        <v>ARGELIA</v>
      </c>
      <c r="O20" s="18"/>
      <c r="P20" s="225" t="str">
        <f>VLOOKUP(A20,tDatos[],9,0)</f>
        <v>San Francisco</v>
      </c>
      <c r="R20" s="287" t="str">
        <f>"  3)  " &amp; VLOOKUP(3,$AE$10:$AF$29,2,0)</f>
        <v xml:space="preserve">  3)  JORDANIA</v>
      </c>
      <c r="S20" s="288"/>
      <c r="T20" s="288"/>
      <c r="U20" s="288"/>
      <c r="V20" s="254">
        <f>VLOOKUP(3,$AE$10:$AG$29,3,0)</f>
        <v>3</v>
      </c>
      <c r="W20" s="255">
        <f>VLOOKUP(3,$AE$10:$AH$29,4,0)</f>
        <v>0</v>
      </c>
      <c r="X20" s="255">
        <f>VLOOKUP(3,$AE$10:$AI$29,5,0)</f>
        <v>2</v>
      </c>
      <c r="Y20" s="255">
        <f>VLOOKUP(3,$AE$10:$AJ$29,6,0)</f>
        <v>1</v>
      </c>
      <c r="Z20" s="255">
        <f>VLOOKUP(3,$AE$10:$AK$29,7,0)</f>
        <v>4</v>
      </c>
      <c r="AA20" s="255">
        <f>VLOOKUP(3,$AE$10:$AL$29,8,0)</f>
        <v>6</v>
      </c>
      <c r="AB20" s="283">
        <f>Z20-AA20</f>
        <v>-2</v>
      </c>
      <c r="AC20" s="284">
        <f>(W20*3)+X20</f>
        <v>2</v>
      </c>
      <c r="AD20" s="243">
        <f>RANK(AO20,$AO$10:$AO$29,0)</f>
        <v>3</v>
      </c>
      <c r="AE20" s="243">
        <f>RANK(AP20,$AP$10:$AP$29,1)</f>
        <v>2</v>
      </c>
      <c r="AF20" s="243" t="str">
        <f>F12</f>
        <v>AUSTRIA</v>
      </c>
      <c r="AG20" s="247">
        <f>3-COUNTIF(I34:K34,"")</f>
        <v>3</v>
      </c>
      <c r="AH20" s="243">
        <f>COUNTIF(I34:K34,"G")</f>
        <v>0</v>
      </c>
      <c r="AI20" s="243">
        <f>COUNTIF(I34:K34,"E")</f>
        <v>2</v>
      </c>
      <c r="AJ20" s="243">
        <f>COUNTIF(I34:K34,"P")</f>
        <v>1</v>
      </c>
      <c r="AK20" s="247">
        <f>SUM(I12,K16,K24)</f>
        <v>3</v>
      </c>
      <c r="AL20" s="247">
        <f>SUM(K12,I16,I24)</f>
        <v>4</v>
      </c>
      <c r="AM20" s="243">
        <f>AK20-AL20</f>
        <v>-1</v>
      </c>
      <c r="AN20" s="243">
        <f>(AH20*3)+AI20*vcp</f>
        <v>2</v>
      </c>
      <c r="AO20" s="243">
        <f>IF($AO$6&gt;0,AN20*10+1)</f>
        <v>21</v>
      </c>
      <c r="AP20" s="243">
        <f>IF(AF20=$R$38,BF20-100,IF(AF20=$R$37,BF20-200,IF(AF20=$R$36,BF20-300,BF20)))</f>
        <v>-198</v>
      </c>
      <c r="AQ20" s="243" t="str">
        <f>IF(R38="",IF(SUM($V$10:$V$29)&gt;0,VLOOKUP(3,$AE$10:$AF$29,2,0),""),R38)</f>
        <v>JORDANIA</v>
      </c>
      <c r="AR20" s="148" t="str">
        <f>F20&amp;N20</f>
        <v>JORDANIAARGELIA</v>
      </c>
      <c r="AS20" s="148" t="str">
        <f>IF(I20&gt;K20,F20,IF(K20&gt;I20,N20,""))</f>
        <v/>
      </c>
      <c r="AT20" s="149">
        <f>I20</f>
        <v>2</v>
      </c>
      <c r="AU20" s="149">
        <f>K20</f>
        <v>2</v>
      </c>
      <c r="AV20" s="149">
        <f>AT20-AU20</f>
        <v>0</v>
      </c>
      <c r="AW20" s="242">
        <f>RANK(AY20,$AY$10:$AY$29,0)</f>
        <v>3</v>
      </c>
      <c r="AX20" s="244">
        <f>IF(AND($AO$6&gt;0,$AP$6&gt;0),AN20*10000+AZ20,AO20)</f>
        <v>20000</v>
      </c>
      <c r="AY20" s="244">
        <f>IF(AND($AO$6&gt;0,$AP$6&gt;0),AN20*10000+AZ20-2,AO20)</f>
        <v>19998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2</v>
      </c>
      <c r="BB20" s="242">
        <f>AX20+BD20</f>
        <v>20000</v>
      </c>
      <c r="BC20" s="244">
        <f>AX20+BD20+1</f>
        <v>20001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20019.310000000001</v>
      </c>
      <c r="BF20" s="242">
        <f>RANK(BE20,$BE$10:$BE$29)</f>
        <v>2</v>
      </c>
      <c r="BG20" s="241">
        <f>BE20-0.01</f>
        <v>20019.300000000003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ARGELIAJORDANIA</v>
      </c>
      <c r="AS21" s="148" t="str">
        <f>IF(I20&gt;K20,F20,IF(K20&gt;I20,N20,""))</f>
        <v/>
      </c>
      <c r="AT21" s="149">
        <f>K20</f>
        <v>2</v>
      </c>
      <c r="AU21" s="149">
        <f>I20</f>
        <v>2</v>
      </c>
      <c r="AV21" s="149">
        <f>AT21-AU21</f>
        <v>0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71</v>
      </c>
      <c r="B24" s="232">
        <v>69</v>
      </c>
      <c r="C24" s="235">
        <f>VLOOKUP(A24,tDatos[],IF(UTCElegido="",3,12),0)</f>
        <v>46200</v>
      </c>
      <c r="D24" s="231">
        <f>VLOOKUP(A24,tDatos[],IF(UTCElegido="",4,12),0)</f>
        <v>0.91666666666666663</v>
      </c>
      <c r="E24" s="18"/>
      <c r="F24" s="233" t="str">
        <f>VLOOKUP(A24,tDatos[],5,0)</f>
        <v>ARGELIA</v>
      </c>
      <c r="G24" s="223" t="str">
        <f>IF(AND(I24&lt;&gt;"",K24&lt;&gt;""),IF(I24=K24,"E",IF(I24&gt;K24,"G","P")),"")</f>
        <v>E</v>
      </c>
      <c r="H24" s="20"/>
      <c r="I24" s="293">
        <v>1</v>
      </c>
      <c r="J24" s="279" t="s">
        <v>0</v>
      </c>
      <c r="K24" s="293">
        <v>1</v>
      </c>
      <c r="L24" s="223" t="str">
        <f>IF(AND(K24&lt;&gt;"",I24&lt;&gt;""),IF(K24=I24,"E",IF(K24&gt;I24,"G","P")),"")</f>
        <v>E</v>
      </c>
      <c r="M24" s="19"/>
      <c r="N24" s="224" t="str">
        <f>VLOOKUP(A24,tDatos[],6,0)</f>
        <v>AUSTRIA</v>
      </c>
      <c r="O24" s="18"/>
      <c r="P24" s="225" t="str">
        <f>VLOOKUP(A24,tDatos[],9,0)</f>
        <v>Kansas City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ARGELIAAUSTRIA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ARGELIA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2</v>
      </c>
      <c r="Y25" s="255">
        <f>VLOOKUP(4,$AE$10:$AJ$29,6,0)</f>
        <v>1</v>
      </c>
      <c r="Z25" s="255">
        <f>VLOOKUP(4,$AE$10:$AK$29,7,0)</f>
        <v>3</v>
      </c>
      <c r="AA25" s="255">
        <f>VLOOKUP(4,$AE$10:$AL$29,8,0)</f>
        <v>5</v>
      </c>
      <c r="AB25" s="283">
        <f>Z25-AA25</f>
        <v>-2</v>
      </c>
      <c r="AC25" s="284">
        <f>(W25*3)+X25</f>
        <v>2</v>
      </c>
      <c r="AD25" s="243">
        <f>RANK(AO25,$AO$10:$AO$29,0)</f>
        <v>4</v>
      </c>
      <c r="AE25" s="243">
        <f>RANK(AP25,$AP$10:$AP$29,1)</f>
        <v>3</v>
      </c>
      <c r="AF25" s="243" t="str">
        <f>N12</f>
        <v>JORDANIA</v>
      </c>
      <c r="AG25" s="247">
        <f>3-COUNTIF(I35:K35,"")</f>
        <v>3</v>
      </c>
      <c r="AH25" s="243">
        <f>COUNTIF(I35:K35,"G")</f>
        <v>0</v>
      </c>
      <c r="AI25" s="243">
        <f>COUNTIF(I35:K35,"E")</f>
        <v>2</v>
      </c>
      <c r="AJ25" s="243">
        <f>COUNTIF(I35:K35,"P")</f>
        <v>1</v>
      </c>
      <c r="AK25" s="247">
        <f>SUM(K12,I20,I28)</f>
        <v>4</v>
      </c>
      <c r="AL25" s="247">
        <f>SUM(I12,K20,K28)</f>
        <v>6</v>
      </c>
      <c r="AM25" s="243">
        <f>AK25-AL25</f>
        <v>-2</v>
      </c>
      <c r="AN25" s="243">
        <f>(AH25*3)+AI25*vcp</f>
        <v>2</v>
      </c>
      <c r="AO25" s="243">
        <f>IF($AO$6&gt;0,AN25*10)</f>
        <v>20</v>
      </c>
      <c r="AP25" s="243">
        <f>IF(AF25=$R$38,BF25-100,IF(AF25=$R$37,BF25-200,IF(AF25=$R$36,BF25-300,BF25)))</f>
        <v>-97</v>
      </c>
      <c r="AQ25" s="243" t="str">
        <f>IF(SUM($V$10:$V$29)&gt;0,VLOOKUP(4,$AE$10:$AF$29,2,0),"")</f>
        <v>ARGELIA</v>
      </c>
      <c r="AR25" s="148" t="str">
        <f>N24&amp;F24</f>
        <v>AUSTRIAARGELIA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242">
        <f>RANK(AY25,$AY$10:$AY$29,0)</f>
        <v>4</v>
      </c>
      <c r="AX25" s="244">
        <f>IF(AND($AO$6&gt;0,$AP$6&gt;0),AN25*10000+AZ25,AO25)</f>
        <v>20000</v>
      </c>
      <c r="AY25" s="244">
        <f>IF(AND($AO$6&gt;0,$AP$6&gt;0),AN25*10000+AZ25-3,AO25)</f>
        <v>19997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2</v>
      </c>
      <c r="BB25" s="242">
        <f>AX25+BD25</f>
        <v>20000</v>
      </c>
      <c r="BC25" s="244">
        <f>AX25+BD25</f>
        <v>20000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20018.400000000001</v>
      </c>
      <c r="BF25" s="242">
        <f>RANK(BE25,$BE$10:$BE$29)</f>
        <v>3</v>
      </c>
      <c r="BG25" s="241">
        <f>BE25</f>
        <v>20018.400000000001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72</v>
      </c>
      <c r="B28" s="232">
        <v>70</v>
      </c>
      <c r="C28" s="235">
        <f>VLOOKUP(A28,tDatos[],IF(UTCElegido="",3,12),0)</f>
        <v>46200</v>
      </c>
      <c r="D28" s="231">
        <f>VLOOKUP(A28,tDatos[],IF(UTCElegido="",4,12),0)</f>
        <v>0.91666666666666663</v>
      </c>
      <c r="E28" s="18"/>
      <c r="F28" s="233" t="str">
        <f>VLOOKUP(A28,tDatos[],5,0)</f>
        <v>JORDANIA</v>
      </c>
      <c r="G28" s="223" t="str">
        <f>IF(AND(I28&lt;&gt;"",K28&lt;&gt;""),IF(I28=K28,"E",IF(I28&gt;K28,"G","P")),"")</f>
        <v>P</v>
      </c>
      <c r="H28" s="20"/>
      <c r="I28" s="293">
        <v>1</v>
      </c>
      <c r="J28" s="279" t="s">
        <v>0</v>
      </c>
      <c r="K28" s="293">
        <v>3</v>
      </c>
      <c r="L28" s="223" t="str">
        <f>IF(AND(K28&lt;&gt;"",I28&lt;&gt;""),IF(K28=I28,"E",IF(K28&gt;I28,"G","P")),"")</f>
        <v>G</v>
      </c>
      <c r="M28" s="19"/>
      <c r="N28" s="224" t="str">
        <f>VLOOKUP(A28,tDatos[],6,0)</f>
        <v>ARGENTINA</v>
      </c>
      <c r="O28" s="18"/>
      <c r="P28" s="225" t="str">
        <f>VLOOKUP(A28,tDatos[],9,0)</f>
        <v>Dallas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JORDANIAARGENTINA</v>
      </c>
      <c r="AS28" s="148" t="str">
        <f>IF(I28&gt;K28,F28,IF(K28&gt;I28,N28,""))</f>
        <v>ARGENTINA</v>
      </c>
      <c r="AT28" s="149">
        <f>I28</f>
        <v>1</v>
      </c>
      <c r="AU28" s="149">
        <f>K28</f>
        <v>3</v>
      </c>
      <c r="AV28" s="149">
        <f>AT28-AU28</f>
        <v>-2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ARGENTINAJORDANIA</v>
      </c>
      <c r="AS29" s="148" t="str">
        <f>IF(I28&gt;K28,F28,IF(K28&gt;I28,N28,""))</f>
        <v>ARGENTINA</v>
      </c>
      <c r="AT29" s="149">
        <f>K28</f>
        <v>3</v>
      </c>
      <c r="AU29" s="149">
        <f>I28</f>
        <v>1</v>
      </c>
      <c r="AV29" s="149">
        <f>AT29-AU29</f>
        <v>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ARGENTINA</v>
      </c>
      <c r="I32" t="str">
        <f>G8</f>
        <v>G</v>
      </c>
      <c r="J32" t="str">
        <f>G16</f>
        <v>G</v>
      </c>
      <c r="K32" t="str">
        <f>L28</f>
        <v>G</v>
      </c>
    </row>
    <row r="33" spans="6:21" hidden="1" x14ac:dyDescent="0.3">
      <c r="F33" t="str">
        <f>N8</f>
        <v>ARGELIA</v>
      </c>
      <c r="I33" t="str">
        <f>L8</f>
        <v>P</v>
      </c>
      <c r="J33" t="str">
        <f>L20</f>
        <v>E</v>
      </c>
      <c r="K33" t="str">
        <f>G24</f>
        <v>E</v>
      </c>
    </row>
    <row r="34" spans="6:21" hidden="1" x14ac:dyDescent="0.3">
      <c r="F34" t="str">
        <f>F12</f>
        <v>AUSTRIA</v>
      </c>
      <c r="I34" t="str">
        <f>G12</f>
        <v>E</v>
      </c>
      <c r="J34" t="str">
        <f>L16</f>
        <v>P</v>
      </c>
      <c r="K34" t="str">
        <f>L24</f>
        <v>E</v>
      </c>
    </row>
    <row r="35" spans="6:21" hidden="1" x14ac:dyDescent="0.3">
      <c r="F35" t="str">
        <f>N12</f>
        <v>JORDANIA</v>
      </c>
      <c r="I35" t="str">
        <f>L12</f>
        <v>E</v>
      </c>
      <c r="J35" t="str">
        <f>G20</f>
        <v>E</v>
      </c>
      <c r="K35" t="str">
        <f>G28</f>
        <v>P</v>
      </c>
    </row>
    <row r="36" spans="6:21" x14ac:dyDescent="0.3">
      <c r="N36" s="157" t="s">
        <v>391</v>
      </c>
      <c r="Q36" s="3" t="s">
        <v>392</v>
      </c>
      <c r="R36" s="250" t="s">
        <v>18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227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231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21</v>
      </c>
      <c r="B8" s="232">
        <v>23</v>
      </c>
      <c r="C8" s="235">
        <f>VLOOKUP(A8,tDatos[],IF(UTCElegido="",3,12),0)</f>
        <v>46190</v>
      </c>
      <c r="D8" s="231">
        <f>VLOOKUP(A8,tDatos[],IF(UTCElegido="",4,12),0)</f>
        <v>0.54166666666666663</v>
      </c>
      <c r="E8" s="18"/>
      <c r="F8" s="233" t="str">
        <f>VLOOKUP(A8,tDatos[],5,0)</f>
        <v>PORTUGAL</v>
      </c>
      <c r="G8" s="223" t="str">
        <f>IF(AND(I8&lt;&gt;"",K8&lt;&gt;""),IF(I8=K8,"E",IF(I8&gt;K8,"G","P")),"")</f>
        <v>G</v>
      </c>
      <c r="H8" s="20"/>
      <c r="I8" s="293">
        <v>2</v>
      </c>
      <c r="J8" s="279" t="s">
        <v>0</v>
      </c>
      <c r="K8" s="293">
        <v>1</v>
      </c>
      <c r="L8" s="223" t="str">
        <f>IF(AND(K8&lt;&gt;"",I8&lt;&gt;""),IF(K8=I8,"E",IF(K8&gt;I8,"G","P")),"")</f>
        <v>P</v>
      </c>
      <c r="M8" s="19"/>
      <c r="N8" s="224" t="str">
        <f>VLOOKUP(A8,tDatos[],6,0)</f>
        <v>REP. del CONGO</v>
      </c>
      <c r="O8" s="18"/>
      <c r="P8" s="225" t="str">
        <f>VLOOKUP(A8,tDatos[],9,0)</f>
        <v>Houston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PORTUGALREP. del CONGO</v>
      </c>
      <c r="AS8" s="148" t="str">
        <f>IF(I8&gt;K8,F8,IF(K8&gt;I8,N8,""))</f>
        <v>PORTUGAL</v>
      </c>
      <c r="AT8" s="149">
        <f>I8</f>
        <v>2</v>
      </c>
      <c r="AU8" s="149">
        <f>K8</f>
        <v>1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REP. del CONGOPORTUGAL</v>
      </c>
      <c r="AS9" s="148" t="str">
        <f>IF(I8&gt;K8,F8,IF(K8&gt;I8,N8,""))</f>
        <v>PORTUGAL</v>
      </c>
      <c r="AT9" s="149">
        <f>K8</f>
        <v>1</v>
      </c>
      <c r="AU9" s="149">
        <f>I8</f>
        <v>2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COLOMBIA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6</v>
      </c>
      <c r="AA10" s="253">
        <f>VLOOKUP(1,$AE$10:$AL$29,8,0)</f>
        <v>2</v>
      </c>
      <c r="AB10" s="253">
        <f>Z10-AA10</f>
        <v>4</v>
      </c>
      <c r="AC10" s="257">
        <f>(W10*3)+X10</f>
        <v>7</v>
      </c>
      <c r="AD10" s="243">
        <f>RANK(AO10,$AO$10:$AO$29,0)</f>
        <v>1</v>
      </c>
      <c r="AE10" s="243">
        <f>RANK(AP10,$AP$10:$AP$29,1)</f>
        <v>2</v>
      </c>
      <c r="AF10" s="243" t="str">
        <f>F8</f>
        <v>PORTUGAL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SUM(I8,I16,K24)</f>
        <v>5</v>
      </c>
      <c r="AL10" s="243">
        <f>SUM(K8,K16,I24)</f>
        <v>2</v>
      </c>
      <c r="AM10" s="243">
        <f>AK10-AL10</f>
        <v>3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-198</v>
      </c>
      <c r="AQ10" s="243" t="str">
        <f>IF(R36="",IF(SUM($V$10:$V$29)&gt;0,VLOOKUP(1,$AE$10:$AF$29,2,0),""),R36)</f>
        <v>COLOMBIA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70000</v>
      </c>
      <c r="AY10" s="244">
        <f>IF(AND($AO$6&gt;0,$AP$6&gt;0),AN10*10000+AZ10,AO10)</f>
        <v>70000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70000</v>
      </c>
      <c r="BC10" s="244">
        <f>AX10+BD10+3</f>
        <v>70003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70073.53</v>
      </c>
      <c r="BF10" s="242">
        <f>RANK(BE10,$BE$10:$BE$29)</f>
        <v>2</v>
      </c>
      <c r="BG10" s="241">
        <f>BE10-0.03</f>
        <v>70073.5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24</v>
      </c>
      <c r="B12" s="232">
        <v>24</v>
      </c>
      <c r="C12" s="235">
        <f>VLOOKUP(A12,tDatos[],IF(UTCElegido="",3,12),0)</f>
        <v>46190</v>
      </c>
      <c r="D12" s="231">
        <f>VLOOKUP(A12,tDatos[],IF(UTCElegido="",4,12),0)</f>
        <v>0.91666666666666663</v>
      </c>
      <c r="E12" s="18"/>
      <c r="F12" s="233" t="str">
        <f>VLOOKUP(A12,tDatos[],5,0)</f>
        <v>UZBEKISTÁN</v>
      </c>
      <c r="G12" s="223" t="str">
        <f>IF(AND(I12&lt;&gt;"",K12&lt;&gt;""),IF(I12=K12,"E",IF(I12&gt;K12,"G","P")),"")</f>
        <v>P</v>
      </c>
      <c r="H12" s="20"/>
      <c r="I12" s="293">
        <v>0</v>
      </c>
      <c r="J12" s="279" t="s">
        <v>0</v>
      </c>
      <c r="K12" s="293">
        <v>3</v>
      </c>
      <c r="L12" s="223" t="str">
        <f>IF(AND(K12&lt;&gt;"",I12&lt;&gt;""),IF(K12=I12,"E",IF(K12&gt;I12,"G","P")),"")</f>
        <v>G</v>
      </c>
      <c r="M12" s="19"/>
      <c r="N12" s="224" t="str">
        <f>VLOOKUP(A12,tDatos[],6,0)</f>
        <v>COLOMBIA</v>
      </c>
      <c r="O12" s="18"/>
      <c r="P12" s="225" t="str">
        <f>VLOOKUP(A12,tDatos[],9,0)</f>
        <v>Ciudad de México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UZBEKISTÁNCOLOMBIA</v>
      </c>
      <c r="AS12" s="148" t="str">
        <f>IF(I12&gt;K12,F12,IF(K12&gt;I12,N12,""))</f>
        <v>COLOMBIA</v>
      </c>
      <c r="AT12" s="149">
        <f>I12</f>
        <v>0</v>
      </c>
      <c r="AU12" s="149">
        <f>K12</f>
        <v>3</v>
      </c>
      <c r="AV12" s="149">
        <f>AT12-AU12</f>
        <v>-3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COLOMBIAUZBEKISTÁN</v>
      </c>
      <c r="AS13" s="148" t="str">
        <f>IF(I12&gt;K12,F12,IF(K12&gt;I12,N12,""))</f>
        <v>COLOMBIA</v>
      </c>
      <c r="AT13" s="149">
        <f>K12</f>
        <v>3</v>
      </c>
      <c r="AU13" s="149">
        <f>I12</f>
        <v>0</v>
      </c>
      <c r="AV13" s="149">
        <f>AT13-AU13</f>
        <v>3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PORTUGAL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1</v>
      </c>
      <c r="Y15" s="253">
        <f>VLOOKUP(2,$AE$10:$AJ$29,6,0)</f>
        <v>0</v>
      </c>
      <c r="Z15" s="253">
        <f>VLOOKUP(2,$AE$10:$AK$29,7,0)</f>
        <v>5</v>
      </c>
      <c r="AA15" s="253">
        <f>VLOOKUP(2,$AE$10:$AL$29,8,0)</f>
        <v>2</v>
      </c>
      <c r="AB15" s="253">
        <f>Z15-AA15</f>
        <v>3</v>
      </c>
      <c r="AC15" s="257">
        <f>(W15*3)+X15</f>
        <v>7</v>
      </c>
      <c r="AD15" s="243">
        <f>RANK(AO15,$AO$10:$AO$29,0)</f>
        <v>3</v>
      </c>
      <c r="AE15" s="243">
        <f>RANK(AP15,$AP$10:$AP$29,1)</f>
        <v>3</v>
      </c>
      <c r="AF15" s="243" t="str">
        <f>N8</f>
        <v>REP. del CONGO</v>
      </c>
      <c r="AG15" s="247">
        <f>3-COUNTIF(I33:K33,"")</f>
        <v>3</v>
      </c>
      <c r="AH15" s="243">
        <f>COUNTIF(I33:K33,"G")</f>
        <v>1</v>
      </c>
      <c r="AI15" s="243">
        <f>COUNTIF(I33:K33,"E")</f>
        <v>0</v>
      </c>
      <c r="AJ15" s="243">
        <f>COUNTIF(I33:K33,"P")</f>
        <v>2</v>
      </c>
      <c r="AK15" s="247">
        <f>SUM(K8,K20,I28)</f>
        <v>5</v>
      </c>
      <c r="AL15" s="243">
        <f>SUM(I8,I20,K28)</f>
        <v>5</v>
      </c>
      <c r="AM15" s="243">
        <f>AK15-AL15</f>
        <v>0</v>
      </c>
      <c r="AN15" s="243">
        <f>(AH15*3)+AI15*vcp</f>
        <v>3</v>
      </c>
      <c r="AO15" s="243">
        <f>IF($AO$6&gt;0,AN15*10+2)</f>
        <v>32</v>
      </c>
      <c r="AP15" s="243">
        <f>IF(AF15=$R$38,BF15-100,IF(AF15=$R$37,BF15-200,IF(AF15=$R$36,BF15-300,BF15)))</f>
        <v>-97</v>
      </c>
      <c r="AQ15" s="243" t="str">
        <f>IF(R37="",IF(SUM($V$10:$V$29)&gt;0,VLOOKUP(2,$AE$10:$AF$29,2,0),""),R37)</f>
        <v>PORTUGAL</v>
      </c>
      <c r="AR15" s="151"/>
      <c r="AS15" s="148"/>
      <c r="AT15" s="148"/>
      <c r="AU15" s="148"/>
      <c r="AV15" s="152"/>
      <c r="AW15" s="242">
        <f>RANK(AY15,$AY$10:$AY$29,0)</f>
        <v>3</v>
      </c>
      <c r="AX15" s="244">
        <f>IF(AND($AO$6&gt;0,$AP$6&gt;0),AN15*10000+AZ15,AO15)</f>
        <v>30000</v>
      </c>
      <c r="AY15" s="244">
        <f>IF(AND($AO$6&gt;0,$AP$6&gt;0),AN15*10000+AZ15-1,AO15)</f>
        <v>29999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3</v>
      </c>
      <c r="BB15" s="242">
        <f>AX15+BD15</f>
        <v>30000</v>
      </c>
      <c r="BC15" s="244">
        <f>AX15+BD15+2</f>
        <v>30002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30030.52</v>
      </c>
      <c r="BF15" s="242">
        <f>RANK(BE15,$BE$10:$BE$29)</f>
        <v>3</v>
      </c>
      <c r="BG15" s="241">
        <f>BE15-0.02</f>
        <v>30030.5</v>
      </c>
      <c r="BH15" s="241">
        <f>COUNTIF($BG$10:$BG$29,BG15)</f>
        <v>1</v>
      </c>
    </row>
    <row r="16" spans="1:60" ht="7.5" customHeight="1" x14ac:dyDescent="0.3">
      <c r="A16" s="276">
        <v>45</v>
      </c>
      <c r="B16" s="232">
        <v>47</v>
      </c>
      <c r="C16" s="235">
        <f>VLOOKUP(A16,tDatos[],IF(UTCElegido="",3,12),0)</f>
        <v>46196</v>
      </c>
      <c r="D16" s="231">
        <f>VLOOKUP(A16,tDatos[],IF(UTCElegido="",4,12),0)</f>
        <v>0.54166666666666663</v>
      </c>
      <c r="E16" s="18"/>
      <c r="F16" s="233" t="str">
        <f>VLOOKUP(A16,tDatos[],5,0)</f>
        <v>PORTUGAL</v>
      </c>
      <c r="G16" s="223" t="str">
        <f>IF(AND(I16&lt;&gt;"",K16&lt;&gt;""),IF(I16=K16,"E",IF(I16&gt;K16,"G","P")),"")</f>
        <v>G</v>
      </c>
      <c r="H16" s="20"/>
      <c r="I16" s="293">
        <v>2</v>
      </c>
      <c r="J16" s="279" t="s">
        <v>0</v>
      </c>
      <c r="K16" s="293">
        <v>0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UZBEKISTÁN</v>
      </c>
      <c r="O16" s="18"/>
      <c r="P16" s="225" t="str">
        <f>VLOOKUP(A16,tDatos[],9,0)</f>
        <v>Houston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PORTUGALUZBEKISTÁN</v>
      </c>
      <c r="AS16" s="148" t="str">
        <f>IF(I16&gt;K16,F16,IF(K16&gt;I16,N16,""))</f>
        <v>PORTUGAL</v>
      </c>
      <c r="AT16" s="149">
        <f>I16</f>
        <v>2</v>
      </c>
      <c r="AU16" s="149">
        <f>K16</f>
        <v>0</v>
      </c>
      <c r="AV16" s="149">
        <f>AT16-AU16</f>
        <v>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UZBEKISTÁNPORTUGAL</v>
      </c>
      <c r="AS17" s="148" t="str">
        <f>IF(I16&gt;K16,F16,IF(K16&gt;I16,N16,""))</f>
        <v>PORTUGAL</v>
      </c>
      <c r="AT17" s="149">
        <f>K16</f>
        <v>0</v>
      </c>
      <c r="AU17" s="149">
        <f>I16</f>
        <v>2</v>
      </c>
      <c r="AV17" s="149">
        <f>AT17-AU17</f>
        <v>-2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48</v>
      </c>
      <c r="B20" s="232">
        <v>48</v>
      </c>
      <c r="C20" s="235">
        <f>VLOOKUP(A20,tDatos[],IF(UTCElegido="",3,12),0)</f>
        <v>46196</v>
      </c>
      <c r="D20" s="231">
        <f>VLOOKUP(A20,tDatos[],IF(UTCElegido="",4,12),0)</f>
        <v>0.91666666666666663</v>
      </c>
      <c r="E20" s="18"/>
      <c r="F20" s="233" t="str">
        <f>VLOOKUP(A20,tDatos[],5,0)</f>
        <v>COLOMBIA</v>
      </c>
      <c r="G20" s="223" t="str">
        <f>IF(AND(I20&lt;&gt;"",K20&lt;&gt;""),IF(I20=K20,"E",IF(I20&gt;K20,"G","P")),"")</f>
        <v>G</v>
      </c>
      <c r="H20" s="20"/>
      <c r="I20" s="293">
        <v>2</v>
      </c>
      <c r="J20" s="279" t="s">
        <v>0</v>
      </c>
      <c r="K20" s="293">
        <v>1</v>
      </c>
      <c r="L20" s="223" t="str">
        <f>IF(AND(K20&lt;&gt;"",I20&lt;&gt;""),IF(K20=I20,"E",IF(K20&gt;I20,"G","P")),"")</f>
        <v>P</v>
      </c>
      <c r="M20" s="19"/>
      <c r="N20" s="224" t="str">
        <f>VLOOKUP(A20,tDatos[],6,0)</f>
        <v>REP. del CONGO</v>
      </c>
      <c r="O20" s="18"/>
      <c r="P20" s="225" t="str">
        <f>VLOOKUP(A20,tDatos[],9,0)</f>
        <v>Guadalajara</v>
      </c>
      <c r="R20" s="287" t="str">
        <f>"  3)  " &amp; VLOOKUP(3,$AE$10:$AF$29,2,0)</f>
        <v xml:space="preserve">  3)  REP. del CONGO</v>
      </c>
      <c r="S20" s="288"/>
      <c r="T20" s="288"/>
      <c r="U20" s="288"/>
      <c r="V20" s="254">
        <f>VLOOKUP(3,$AE$10:$AG$29,3,0)</f>
        <v>3</v>
      </c>
      <c r="W20" s="255">
        <f>VLOOKUP(3,$AE$10:$AH$29,4,0)</f>
        <v>1</v>
      </c>
      <c r="X20" s="255">
        <f>VLOOKUP(3,$AE$10:$AI$29,5,0)</f>
        <v>0</v>
      </c>
      <c r="Y20" s="255">
        <f>VLOOKUP(3,$AE$10:$AJ$29,6,0)</f>
        <v>2</v>
      </c>
      <c r="Z20" s="255">
        <f>VLOOKUP(3,$AE$10:$AK$29,7,0)</f>
        <v>5</v>
      </c>
      <c r="AA20" s="255">
        <f>VLOOKUP(3,$AE$10:$AL$29,8,0)</f>
        <v>5</v>
      </c>
      <c r="AB20" s="283">
        <f>Z20-AA20</f>
        <v>0</v>
      </c>
      <c r="AC20" s="284">
        <f>(W20*3)+X20</f>
        <v>3</v>
      </c>
      <c r="AD20" s="243">
        <f>RANK(AO20,$AO$10:$AO$29,0)</f>
        <v>4</v>
      </c>
      <c r="AE20" s="243">
        <f>RANK(AP20,$AP$10:$AP$29,1)</f>
        <v>4</v>
      </c>
      <c r="AF20" s="243" t="str">
        <f>F12</f>
        <v>UZBEKISTÁN</v>
      </c>
      <c r="AG20" s="247">
        <f>3-COUNTIF(I34:K34,"")</f>
        <v>3</v>
      </c>
      <c r="AH20" s="243">
        <f>COUNTIF(I34:K34,"G")</f>
        <v>0</v>
      </c>
      <c r="AI20" s="243">
        <f>COUNTIF(I34:K34,"E")</f>
        <v>0</v>
      </c>
      <c r="AJ20" s="243">
        <f>COUNTIF(I34:K34,"P")</f>
        <v>3</v>
      </c>
      <c r="AK20" s="247">
        <f>SUM(I12,K16,K28)</f>
        <v>1</v>
      </c>
      <c r="AL20" s="247">
        <f>SUM(K12,I16,I28)</f>
        <v>8</v>
      </c>
      <c r="AM20" s="243">
        <f>AK20-AL20</f>
        <v>-7</v>
      </c>
      <c r="AN20" s="243">
        <f>(AH20*3)+AI20*vcp</f>
        <v>0</v>
      </c>
      <c r="AO20" s="243">
        <f>IF($AO$6&gt;0,AN20*10+1)</f>
        <v>1</v>
      </c>
      <c r="AP20" s="243">
        <f>IF(AF20=$R$38,BF20-100,IF(AF20=$R$37,BF20-200,IF(AF20=$R$36,BF20-300,BF20)))</f>
        <v>4</v>
      </c>
      <c r="AQ20" s="243" t="str">
        <f>IF(R38="",IF(SUM($V$10:$V$29)&gt;0,VLOOKUP(3,$AE$10:$AF$29,2,0),""),R38)</f>
        <v>REP. del CONGO</v>
      </c>
      <c r="AR20" s="148" t="str">
        <f>F20&amp;N20</f>
        <v>COLOMBIAREP. del CONGO</v>
      </c>
      <c r="AS20" s="148" t="str">
        <f>IF(I20&gt;K20,F20,IF(K20&gt;I20,N20,""))</f>
        <v>COLOMBIA</v>
      </c>
      <c r="AT20" s="149">
        <f>I20</f>
        <v>2</v>
      </c>
      <c r="AU20" s="149">
        <f>K20</f>
        <v>1</v>
      </c>
      <c r="AV20" s="149">
        <f>AT20-AU20</f>
        <v>1</v>
      </c>
      <c r="AW20" s="242">
        <f>RANK(AY20,$AY$10:$AY$29,0)</f>
        <v>4</v>
      </c>
      <c r="AX20" s="244">
        <f>IF(AND($AO$6&gt;0,$AP$6&gt;0),AN20*10000+AZ20,AO20)</f>
        <v>0</v>
      </c>
      <c r="AY20" s="244">
        <f>IF(AND($AO$6&gt;0,$AP$6&gt;0),AN20*10000+AZ20-2,AO20)</f>
        <v>-2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4</v>
      </c>
      <c r="BB20" s="242">
        <f>AX20+BD20</f>
        <v>0</v>
      </c>
      <c r="BC20" s="244">
        <f>AX20+BD20+1</f>
        <v>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-6.89</v>
      </c>
      <c r="BF20" s="242">
        <f>RANK(BE20,$BE$10:$BE$29)</f>
        <v>4</v>
      </c>
      <c r="BG20" s="241">
        <f>BE20-0.01</f>
        <v>-6.8999999999999995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REP. del CONGOCOLOMBIA</v>
      </c>
      <c r="AS21" s="148" t="str">
        <f>IF(I20&gt;K20,F20,IF(K20&gt;I20,N20,""))</f>
        <v>COLOMBIA</v>
      </c>
      <c r="AT21" s="149">
        <f>K20</f>
        <v>1</v>
      </c>
      <c r="AU21" s="149">
        <f>I20</f>
        <v>2</v>
      </c>
      <c r="AV21" s="149">
        <f>AT21-AU21</f>
        <v>-1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69</v>
      </c>
      <c r="B24" s="232">
        <v>71</v>
      </c>
      <c r="C24" s="235">
        <f>VLOOKUP(A24,tDatos[],IF(UTCElegido="",3,12),0)</f>
        <v>46200</v>
      </c>
      <c r="D24" s="231">
        <f>VLOOKUP(A24,tDatos[],IF(UTCElegido="",4,12),0)</f>
        <v>0.8125</v>
      </c>
      <c r="E24" s="18"/>
      <c r="F24" s="233" t="str">
        <f>VLOOKUP(A24,tDatos[],5,0)</f>
        <v>COLOMBIA</v>
      </c>
      <c r="G24" s="223" t="str">
        <f>IF(AND(I24&lt;&gt;"",K24&lt;&gt;""),IF(I24=K24,"E",IF(I24&gt;K24,"G","P")),"")</f>
        <v>E</v>
      </c>
      <c r="H24" s="20"/>
      <c r="I24" s="293">
        <v>1</v>
      </c>
      <c r="J24" s="279" t="s">
        <v>0</v>
      </c>
      <c r="K24" s="293">
        <v>1</v>
      </c>
      <c r="L24" s="223" t="str">
        <f>IF(AND(K24&lt;&gt;"",I24&lt;&gt;""),IF(K24=I24,"E",IF(K24&gt;I24,"G","P")),"")</f>
        <v>E</v>
      </c>
      <c r="M24" s="19"/>
      <c r="N24" s="224" t="str">
        <f>VLOOKUP(A24,tDatos[],6,0)</f>
        <v>PORTUGAL</v>
      </c>
      <c r="O24" s="18"/>
      <c r="P24" s="225" t="str">
        <f>VLOOKUP(A24,tDatos[],9,0)</f>
        <v>Miami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COLOMBIAPORTUGAL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UZBEKISTÁN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0</v>
      </c>
      <c r="Y25" s="255">
        <f>VLOOKUP(4,$AE$10:$AJ$29,6,0)</f>
        <v>3</v>
      </c>
      <c r="Z25" s="255">
        <f>VLOOKUP(4,$AE$10:$AK$29,7,0)</f>
        <v>1</v>
      </c>
      <c r="AA25" s="255">
        <f>VLOOKUP(4,$AE$10:$AL$29,8,0)</f>
        <v>8</v>
      </c>
      <c r="AB25" s="283">
        <f>Z25-AA25</f>
        <v>-7</v>
      </c>
      <c r="AC25" s="284">
        <f>(W25*3)+X25</f>
        <v>0</v>
      </c>
      <c r="AD25" s="243">
        <f>RANK(AO25,$AO$10:$AO$29,0)</f>
        <v>2</v>
      </c>
      <c r="AE25" s="243">
        <f>RANK(AP25,$AP$10:$AP$29,1)</f>
        <v>1</v>
      </c>
      <c r="AF25" s="243" t="str">
        <f>N12</f>
        <v>COLOMBIA</v>
      </c>
      <c r="AG25" s="247">
        <f>3-COUNTIF(I35:K35,"")</f>
        <v>3</v>
      </c>
      <c r="AH25" s="243">
        <f>COUNTIF(I35:K35,"G")</f>
        <v>2</v>
      </c>
      <c r="AI25" s="243">
        <f>COUNTIF(I35:K35,"E")</f>
        <v>1</v>
      </c>
      <c r="AJ25" s="243">
        <f>COUNTIF(I35:K35,"P")</f>
        <v>0</v>
      </c>
      <c r="AK25" s="247">
        <f>SUM(K12,I20,I24)</f>
        <v>6</v>
      </c>
      <c r="AL25" s="247">
        <f>SUM(I12,K20,K24)</f>
        <v>2</v>
      </c>
      <c r="AM25" s="243">
        <f>AK25-AL25</f>
        <v>4</v>
      </c>
      <c r="AN25" s="243">
        <f>(AH25*3)+AI25*vcp</f>
        <v>7</v>
      </c>
      <c r="AO25" s="243">
        <f>IF($AO$6&gt;0,AN25*10)</f>
        <v>70</v>
      </c>
      <c r="AP25" s="243">
        <f>IF(AF25=$R$38,BF25-100,IF(AF25=$R$37,BF25-200,IF(AF25=$R$36,BF25-300,BF25)))</f>
        <v>-299</v>
      </c>
      <c r="AQ25" s="243" t="str">
        <f>IF(SUM($V$10:$V$29)&gt;0,VLOOKUP(4,$AE$10:$AF$29,2,0),"")</f>
        <v>UZBEKISTÁN</v>
      </c>
      <c r="AR25" s="148" t="str">
        <f>N24&amp;F24</f>
        <v>PORTUGALCOLOMBIA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242">
        <f>RANK(AY25,$AY$10:$AY$29,0)</f>
        <v>2</v>
      </c>
      <c r="AX25" s="244">
        <f>IF(AND($AO$6&gt;0,$AP$6&gt;0),AN25*10000+AZ25,AO25)</f>
        <v>70000</v>
      </c>
      <c r="AY25" s="244">
        <f>IF(AND($AO$6&gt;0,$AP$6&gt;0),AN25*10000+AZ25-3,AO25)</f>
        <v>69997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1</v>
      </c>
      <c r="BB25" s="242">
        <f>AX25+BD25</f>
        <v>70000</v>
      </c>
      <c r="BC25" s="244">
        <f>AX25+BD25</f>
        <v>70000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70074.600000000006</v>
      </c>
      <c r="BF25" s="242">
        <f>RANK(BE25,$BE$10:$BE$29)</f>
        <v>1</v>
      </c>
      <c r="BG25" s="241">
        <f>BE25</f>
        <v>70074.600000000006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70</v>
      </c>
      <c r="B28" s="232">
        <v>72</v>
      </c>
      <c r="C28" s="235">
        <f>VLOOKUP(A28,tDatos[],IF(UTCElegido="",3,12),0)</f>
        <v>46200</v>
      </c>
      <c r="D28" s="231">
        <f>VLOOKUP(A28,tDatos[],IF(UTCElegido="",4,12),0)</f>
        <v>0.8125</v>
      </c>
      <c r="E28" s="18"/>
      <c r="F28" s="233" t="str">
        <f>VLOOKUP(A28,tDatos[],5,0)</f>
        <v>REP. del CONGO</v>
      </c>
      <c r="G28" s="223" t="str">
        <f>IF(AND(I28&lt;&gt;"",K28&lt;&gt;""),IF(I28=K28,"E",IF(I28&gt;K28,"G","P")),"")</f>
        <v>G</v>
      </c>
      <c r="H28" s="20"/>
      <c r="I28" s="293">
        <v>3</v>
      </c>
      <c r="J28" s="279" t="s">
        <v>0</v>
      </c>
      <c r="K28" s="293">
        <v>1</v>
      </c>
      <c r="L28" s="223" t="str">
        <f>IF(AND(K28&lt;&gt;"",I28&lt;&gt;""),IF(K28=I28,"E",IF(K28&gt;I28,"G","P")),"")</f>
        <v>P</v>
      </c>
      <c r="M28" s="19"/>
      <c r="N28" s="224" t="str">
        <f>VLOOKUP(A28,tDatos[],6,0)</f>
        <v>UZBEKISTÁN</v>
      </c>
      <c r="O28" s="18"/>
      <c r="P28" s="225" t="str">
        <f>VLOOKUP(A28,tDatos[],9,0)</f>
        <v>Atlanta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REP. del CONGOUZBEKISTÁN</v>
      </c>
      <c r="AS28" s="148" t="str">
        <f>IF(I28&gt;K28,F28,IF(K28&gt;I28,N28,""))</f>
        <v>REP. del CONGO</v>
      </c>
      <c r="AT28" s="149">
        <f>I28</f>
        <v>3</v>
      </c>
      <c r="AU28" s="149">
        <f>K28</f>
        <v>1</v>
      </c>
      <c r="AV28" s="149">
        <f>AT28-AU28</f>
        <v>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UZBEKISTÁNREP. del CONGO</v>
      </c>
      <c r="AS29" s="148" t="str">
        <f>IF(I28&gt;K28,F28,IF(K28&gt;I28,N28,""))</f>
        <v>REP. del CONGO</v>
      </c>
      <c r="AT29" s="149">
        <f>K28</f>
        <v>1</v>
      </c>
      <c r="AU29" s="149">
        <f>I28</f>
        <v>3</v>
      </c>
      <c r="AV29" s="149">
        <f>AT29-AU29</f>
        <v>-2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PORTUGAL</v>
      </c>
      <c r="I32" t="str">
        <f>G8</f>
        <v>G</v>
      </c>
      <c r="J32" t="str">
        <f>G16</f>
        <v>G</v>
      </c>
      <c r="K32" t="str">
        <f>L24</f>
        <v>E</v>
      </c>
    </row>
    <row r="33" spans="6:21" hidden="1" x14ac:dyDescent="0.3">
      <c r="F33" t="str">
        <f>N8</f>
        <v>REP. del CONGO</v>
      </c>
      <c r="I33" t="str">
        <f>L8</f>
        <v>P</v>
      </c>
      <c r="J33" t="str">
        <f>L20</f>
        <v>P</v>
      </c>
      <c r="K33" t="str">
        <f>G28</f>
        <v>G</v>
      </c>
    </row>
    <row r="34" spans="6:21" hidden="1" x14ac:dyDescent="0.3">
      <c r="F34" t="str">
        <f>F12</f>
        <v>UZBEKISTÁN</v>
      </c>
      <c r="I34" t="str">
        <f>G12</f>
        <v>P</v>
      </c>
      <c r="J34" t="str">
        <f>L16</f>
        <v>P</v>
      </c>
      <c r="K34" t="str">
        <f>L28</f>
        <v>P</v>
      </c>
    </row>
    <row r="35" spans="6:21" hidden="1" x14ac:dyDescent="0.3">
      <c r="F35" t="str">
        <f>N12</f>
        <v>COLOMBIA</v>
      </c>
      <c r="I35" t="str">
        <f>L12</f>
        <v>G</v>
      </c>
      <c r="J35" t="str">
        <f>G20</f>
        <v>G</v>
      </c>
      <c r="K35" t="str">
        <f>G24</f>
        <v>E</v>
      </c>
    </row>
    <row r="36" spans="6:21" x14ac:dyDescent="0.3">
      <c r="N36" s="157" t="s">
        <v>391</v>
      </c>
      <c r="Q36" s="3" t="s">
        <v>392</v>
      </c>
      <c r="R36" s="250" t="s">
        <v>230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20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359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workbookViewId="0">
      <selection activeCell="R38" sqref="R38:U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1.6640625" customWidth="1"/>
    <col min="7" max="7" width="0.886718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0.88671875" hidden="1" customWidth="1"/>
    <col min="13" max="13" width="0.88671875" customWidth="1"/>
    <col min="14" max="14" width="21.6640625" customWidth="1"/>
    <col min="15" max="15" width="0.88671875" customWidth="1"/>
    <col min="16" max="16" width="14.6640625" customWidth="1"/>
    <col min="17" max="17" width="2.6640625" customWidth="1"/>
    <col min="18" max="18" width="16.6640625" customWidth="1"/>
    <col min="19" max="19" width="0.88671875" customWidth="1"/>
    <col min="20" max="20" width="4.6640625" customWidth="1"/>
    <col min="21" max="21" width="0.88671875" customWidth="1"/>
    <col min="22" max="28" width="3.88671875" customWidth="1"/>
    <col min="29" max="29" width="6.44140625" bestFit="1" customWidth="1"/>
    <col min="30" max="31" width="2" hidden="1" customWidth="1"/>
    <col min="32" max="32" width="16.6640625" hidden="1" customWidth="1"/>
    <col min="33" max="40" width="3.6640625" hidden="1" customWidth="1"/>
    <col min="41" max="41" width="5" hidden="1" customWidth="1"/>
    <col min="42" max="42" width="6" hidden="1" customWidth="1"/>
    <col min="43" max="43" width="15.6640625" hidden="1" customWidth="1"/>
    <col min="44" max="44" width="20.88671875" hidden="1" customWidth="1"/>
    <col min="45" max="45" width="14.109375" hidden="1" customWidth="1"/>
    <col min="46" max="48" width="4.6640625" hidden="1" customWidth="1"/>
    <col min="49" max="49" width="5.5546875" hidden="1" customWidth="1"/>
    <col min="50" max="51" width="6.5546875" hidden="1" customWidth="1"/>
    <col min="52" max="56" width="2" hidden="1" customWidth="1"/>
    <col min="57" max="57" width="4.5546875" hidden="1" customWidth="1"/>
    <col min="58" max="58" width="2" hidden="1" customWidth="1"/>
    <col min="59" max="59" width="4.5546875" hidden="1" customWidth="1"/>
    <col min="60" max="60" width="5.5546875" hidden="1" customWidth="1"/>
  </cols>
  <sheetData>
    <row r="1" spans="1:60" ht="25.5" customHeight="1" x14ac:dyDescent="0.3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5"/>
      <c r="U1" s="275"/>
      <c r="V1" s="275"/>
      <c r="W1" s="275"/>
      <c r="X1" s="275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">
      <c r="B5" s="25" t="s">
        <v>61</v>
      </c>
      <c r="AR5" s="4"/>
      <c r="AS5" s="4"/>
      <c r="AT5" s="4"/>
    </row>
    <row r="6" spans="1:60" ht="18" customHeigh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Q6" s="1"/>
      <c r="R6" s="280" t="s">
        <v>2</v>
      </c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O6" s="146">
        <f>COUNT(I8,K8,I12,K12,I16,K16,I20,K20,I24,K24,I28,K28)</f>
        <v>12</v>
      </c>
      <c r="AP6" s="147">
        <f>(AN10=AN15)+(AN15=AN20)+(AN20=AN25)+(AN10=AN20)+(AN15=AN25)+(AN10=AN25)</f>
        <v>2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2</v>
      </c>
      <c r="AY6" s="147"/>
      <c r="BB6" s="147">
        <f>(BB10=BB15)+(BB15=BB20)+(BB20=BB25)+(BB10=BB20)+(BB15=BB25)+(BB10=BB25)</f>
        <v>2</v>
      </c>
      <c r="BC6" s="147"/>
      <c r="BE6" s="4"/>
      <c r="BF6" s="4"/>
    </row>
    <row r="7" spans="1:60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61" t="s">
        <v>270</v>
      </c>
      <c r="AO7" s="8"/>
      <c r="AP7" s="8"/>
      <c r="BD7" s="4"/>
      <c r="BE7" s="4"/>
      <c r="BF7" s="4"/>
    </row>
    <row r="8" spans="1:60" ht="7.5" customHeight="1" x14ac:dyDescent="0.3">
      <c r="A8" s="276">
        <v>22</v>
      </c>
      <c r="B8" s="232">
        <v>22</v>
      </c>
      <c r="C8" s="235">
        <f>VLOOKUP(A8,tDatos[],IF(UTCElegido="",3,12),0)</f>
        <v>46190</v>
      </c>
      <c r="D8" s="231">
        <f>VLOOKUP(A8,tDatos[],IF(UTCElegido="",4,12),0)</f>
        <v>0.66666666666666663</v>
      </c>
      <c r="E8" s="18"/>
      <c r="F8" s="233" t="str">
        <f>VLOOKUP(A8,tDatos[],5,0)</f>
        <v>INGLATERRA</v>
      </c>
      <c r="G8" s="223" t="str">
        <f>IF(AND(I8&lt;&gt;"",K8&lt;&gt;""),IF(I8=K8,"E",IF(I8&gt;K8,"G","P")),"")</f>
        <v>E</v>
      </c>
      <c r="H8" s="20"/>
      <c r="I8" s="293">
        <v>2</v>
      </c>
      <c r="J8" s="279" t="s">
        <v>0</v>
      </c>
      <c r="K8" s="293">
        <v>2</v>
      </c>
      <c r="L8" s="223" t="str">
        <f>IF(AND(K8&lt;&gt;"",I8&lt;&gt;""),IF(K8=I8,"E",IF(K8&gt;I8,"G","P")),"")</f>
        <v>E</v>
      </c>
      <c r="M8" s="19"/>
      <c r="N8" s="224" t="str">
        <f>VLOOKUP(A8,tDatos[],6,0)</f>
        <v>CROACIA</v>
      </c>
      <c r="O8" s="18"/>
      <c r="P8" s="225" t="str">
        <f>VLOOKUP(A8,tDatos[],9,0)</f>
        <v>Dallas</v>
      </c>
      <c r="R8" s="228"/>
      <c r="S8" s="228"/>
      <c r="T8" s="228"/>
      <c r="U8" s="228"/>
      <c r="V8" s="260" t="s">
        <v>272</v>
      </c>
      <c r="W8" s="263" t="s">
        <v>4</v>
      </c>
      <c r="X8" s="263" t="s">
        <v>5</v>
      </c>
      <c r="Y8" s="263" t="s">
        <v>6</v>
      </c>
      <c r="Z8" s="263" t="s">
        <v>7</v>
      </c>
      <c r="AA8" s="263" t="s">
        <v>8</v>
      </c>
      <c r="AB8" s="263" t="s">
        <v>271</v>
      </c>
      <c r="AC8" s="261"/>
      <c r="AD8" s="282"/>
      <c r="AE8" s="142"/>
      <c r="AF8" s="1"/>
      <c r="AG8" s="260" t="s">
        <v>272</v>
      </c>
      <c r="AH8" s="263" t="s">
        <v>4</v>
      </c>
      <c r="AI8" s="263" t="s">
        <v>5</v>
      </c>
      <c r="AJ8" s="263" t="s">
        <v>6</v>
      </c>
      <c r="AK8" s="264" t="s">
        <v>7</v>
      </c>
      <c r="AL8" s="264" t="s">
        <v>8</v>
      </c>
      <c r="AM8" s="264" t="s">
        <v>9</v>
      </c>
      <c r="AN8" s="261" t="s">
        <v>3</v>
      </c>
      <c r="AO8" s="256"/>
      <c r="AP8" s="256"/>
      <c r="AQ8" s="256"/>
      <c r="AR8" s="148" t="str">
        <f>F8&amp;N8</f>
        <v>INGLATERRACROACIA</v>
      </c>
      <c r="AS8" s="148" t="str">
        <f>IF(I8&gt;K8,F8,IF(K8&gt;I8,N8,""))</f>
        <v/>
      </c>
      <c r="AT8" s="149">
        <f>I8</f>
        <v>2</v>
      </c>
      <c r="AU8" s="149">
        <f>K8</f>
        <v>2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">
      <c r="A9" s="276"/>
      <c r="B9" s="232"/>
      <c r="C9" s="232"/>
      <c r="D9" s="232"/>
      <c r="E9" s="18"/>
      <c r="F9" s="233"/>
      <c r="G9" s="223"/>
      <c r="H9" s="20"/>
      <c r="I9" s="294"/>
      <c r="J9" s="279"/>
      <c r="K9" s="294"/>
      <c r="L9" s="223"/>
      <c r="M9" s="19"/>
      <c r="N9" s="224"/>
      <c r="O9" s="18"/>
      <c r="P9" s="225"/>
      <c r="R9" s="228"/>
      <c r="S9" s="228"/>
      <c r="T9" s="228"/>
      <c r="U9" s="228"/>
      <c r="V9" s="260"/>
      <c r="W9" s="263"/>
      <c r="X9" s="263"/>
      <c r="Y9" s="263"/>
      <c r="Z9" s="263"/>
      <c r="AA9" s="263"/>
      <c r="AB9" s="263"/>
      <c r="AC9" s="262"/>
      <c r="AD9" s="282"/>
      <c r="AE9" s="142"/>
      <c r="AF9" s="1"/>
      <c r="AG9" s="260"/>
      <c r="AH9" s="263"/>
      <c r="AI9" s="263"/>
      <c r="AJ9" s="263"/>
      <c r="AK9" s="264"/>
      <c r="AL9" s="264"/>
      <c r="AM9" s="264"/>
      <c r="AN9" s="261"/>
      <c r="AO9" s="256"/>
      <c r="AP9" s="256"/>
      <c r="AQ9" s="256"/>
      <c r="AR9" s="148" t="str">
        <f>N8&amp;F8</f>
        <v>CROACIAINGLATERRA</v>
      </c>
      <c r="AS9" s="148" t="str">
        <f>IF(I8&gt;K8,F8,IF(K8&gt;I8,N8,""))</f>
        <v/>
      </c>
      <c r="AT9" s="149">
        <f>K8</f>
        <v>2</v>
      </c>
      <c r="AU9" s="149">
        <f>I8</f>
        <v>2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">
      <c r="A10" s="276"/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65" t="str">
        <f>"  1)  " &amp; VLOOKUP(1,$AE$10:$AF$29,2,0)</f>
        <v xml:space="preserve">  1)  CROACIA</v>
      </c>
      <c r="S10" s="266"/>
      <c r="T10" s="266"/>
      <c r="U10" s="267"/>
      <c r="V10" s="274">
        <f>VLOOKUP(1,$AE$10:$AG$29,3,0)</f>
        <v>3</v>
      </c>
      <c r="W10" s="253">
        <f>VLOOKUP(1,$AE$10:$AH$29,4,0)</f>
        <v>2</v>
      </c>
      <c r="X10" s="253">
        <f>VLOOKUP(1,$AE$10:$AI$29,5,0)</f>
        <v>1</v>
      </c>
      <c r="Y10" s="253">
        <f>VLOOKUP(1,$AE$10:$AJ$29,6,0)</f>
        <v>0</v>
      </c>
      <c r="Z10" s="253">
        <f>VLOOKUP(1,$AE$10:$AK$29,7,0)</f>
        <v>7</v>
      </c>
      <c r="AA10" s="253">
        <f>VLOOKUP(1,$AE$10:$AL$29,8,0)</f>
        <v>2</v>
      </c>
      <c r="AB10" s="253">
        <f>Z10-AA10</f>
        <v>5</v>
      </c>
      <c r="AC10" s="257">
        <f>(W10*3)+X10</f>
        <v>7</v>
      </c>
      <c r="AD10" s="243">
        <f>RANK(AO10,$AO$10:$AO$29,0)</f>
        <v>1</v>
      </c>
      <c r="AE10" s="243">
        <f>RANK(AP10,$AP$10:$AP$29,1)</f>
        <v>2</v>
      </c>
      <c r="AF10" s="243" t="str">
        <f>F8</f>
        <v>INGLATERRA</v>
      </c>
      <c r="AG10" s="247">
        <f>3-COUNTIF(I32:K32,"")</f>
        <v>3</v>
      </c>
      <c r="AH10" s="243">
        <f>COUNTIF(I32:K32,"G")</f>
        <v>2</v>
      </c>
      <c r="AI10" s="243">
        <f>COUNTIF(I32:K32,"E")</f>
        <v>1</v>
      </c>
      <c r="AJ10" s="243">
        <f>COUNTIF(I32:K32,"P")</f>
        <v>0</v>
      </c>
      <c r="AK10" s="243">
        <f>SUM(I8,I16,K24)</f>
        <v>8</v>
      </c>
      <c r="AL10" s="243">
        <f>SUM(K8,K16,I24)</f>
        <v>4</v>
      </c>
      <c r="AM10" s="243">
        <f>AK10-AL10</f>
        <v>4</v>
      </c>
      <c r="AN10" s="243">
        <f>(AH10*3)+AI10*vcp</f>
        <v>7</v>
      </c>
      <c r="AO10" s="243">
        <f>IF($AO$6&gt;0,AN10*10+3)</f>
        <v>73</v>
      </c>
      <c r="AP10" s="243">
        <f>IF(AF10=$R$38,BF10-100,IF(AF10=$R$37,BF10-200,IF(AF10=$R$36,BF10-300,BF10)))</f>
        <v>-198</v>
      </c>
      <c r="AQ10" s="243" t="str">
        <f>IF(R36="",IF(SUM($V$10:$V$29)&gt;0,VLOOKUP(1,$AE$10:$AF$29,2,0),""),R36)</f>
        <v>CROACIA</v>
      </c>
      <c r="AR10" s="151"/>
      <c r="AS10" s="148"/>
      <c r="AT10" s="148"/>
      <c r="AU10" s="148"/>
      <c r="AV10" s="152"/>
      <c r="AW10" s="242">
        <f>RANK(AY10,$AY$10:$AY$29,0)</f>
        <v>1</v>
      </c>
      <c r="AX10" s="244">
        <f>IF(AND($AO$6&gt;0,$AP$6&gt;0),AN10*10000+AZ10,AO10)</f>
        <v>70000</v>
      </c>
      <c r="AY10" s="244">
        <f>IF(AND($AO$6&gt;0,$AP$6&gt;0),AN10*10000+AZ10,AO10)</f>
        <v>70000</v>
      </c>
      <c r="AZ10" s="244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42">
        <f>RANK(BB10,$BB$10:$BB$29,0)</f>
        <v>1</v>
      </c>
      <c r="BB10" s="242">
        <f>AX10+BD10</f>
        <v>70000</v>
      </c>
      <c r="BC10" s="244">
        <f>AX10+BD10+3</f>
        <v>70003</v>
      </c>
      <c r="BD10" s="242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41">
        <f>(IF(AND($AO$6&gt;0,$BB$6&gt;0),AN10*1000+AM10*100+AK10*10,0)+3)/100+BB10</f>
        <v>70074.83</v>
      </c>
      <c r="BF10" s="242">
        <f>RANK(BE10,$BE$10:$BE$29)</f>
        <v>2</v>
      </c>
      <c r="BG10" s="241">
        <f>BE10-0.03</f>
        <v>70074.8</v>
      </c>
      <c r="BH10" s="241">
        <f>COUNTIF($BG$10:$BG$29,BG10)</f>
        <v>1</v>
      </c>
    </row>
    <row r="11" spans="1:60" ht="7.5" customHeight="1" x14ac:dyDescent="0.3">
      <c r="A11" s="276"/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68"/>
      <c r="S11" s="269"/>
      <c r="T11" s="269"/>
      <c r="U11" s="270"/>
      <c r="V11" s="274"/>
      <c r="W11" s="253"/>
      <c r="X11" s="253"/>
      <c r="Y11" s="253"/>
      <c r="Z11" s="253"/>
      <c r="AA11" s="253"/>
      <c r="AB11" s="253"/>
      <c r="AC11" s="258"/>
      <c r="AD11" s="243"/>
      <c r="AE11" s="243"/>
      <c r="AF11" s="243"/>
      <c r="AG11" s="248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151"/>
      <c r="AS11" s="148"/>
      <c r="AT11" s="148"/>
      <c r="AU11" s="148"/>
      <c r="AV11" s="152"/>
      <c r="AW11" s="242"/>
      <c r="AX11" s="245"/>
      <c r="AY11" s="245"/>
      <c r="AZ11" s="245"/>
      <c r="BA11" s="242"/>
      <c r="BB11" s="242"/>
      <c r="BC11" s="245"/>
      <c r="BD11" s="242"/>
      <c r="BE11" s="241"/>
      <c r="BF11" s="242"/>
      <c r="BG11" s="242"/>
      <c r="BH11" s="242"/>
    </row>
    <row r="12" spans="1:60" ht="7.5" customHeight="1" x14ac:dyDescent="0.3">
      <c r="A12" s="276">
        <v>23</v>
      </c>
      <c r="B12" s="232">
        <v>21</v>
      </c>
      <c r="C12" s="235">
        <f>VLOOKUP(A12,tDatos[],IF(UTCElegido="",3,12),0)</f>
        <v>46190</v>
      </c>
      <c r="D12" s="231">
        <f>VLOOKUP(A12,tDatos[],IF(UTCElegido="",4,12),0)</f>
        <v>0.79166666666666663</v>
      </c>
      <c r="E12" s="18"/>
      <c r="F12" s="233" t="str">
        <f>VLOOKUP(A12,tDatos[],5,0)</f>
        <v>GHANA</v>
      </c>
      <c r="G12" s="223" t="str">
        <f>IF(AND(I12&lt;&gt;"",K12&lt;&gt;""),IF(I12=K12,"E",IF(I12&gt;K12,"G","P")),"")</f>
        <v>E</v>
      </c>
      <c r="H12" s="20"/>
      <c r="I12" s="293">
        <v>1</v>
      </c>
      <c r="J12" s="279" t="s">
        <v>0</v>
      </c>
      <c r="K12" s="293">
        <v>1</v>
      </c>
      <c r="L12" s="223" t="str">
        <f>IF(AND(K12&lt;&gt;"",I12&lt;&gt;""),IF(K12=I12,"E",IF(K12&gt;I12,"G","P")),"")</f>
        <v>E</v>
      </c>
      <c r="M12" s="19"/>
      <c r="N12" s="224" t="str">
        <f>VLOOKUP(A12,tDatos[],6,0)</f>
        <v>PANAMÁ</v>
      </c>
      <c r="O12" s="18"/>
      <c r="P12" s="225" t="str">
        <f>VLOOKUP(A12,tDatos[],9,0)</f>
        <v>Toronto</v>
      </c>
      <c r="R12" s="268"/>
      <c r="S12" s="269"/>
      <c r="T12" s="269"/>
      <c r="U12" s="270"/>
      <c r="V12" s="274"/>
      <c r="W12" s="253"/>
      <c r="X12" s="253"/>
      <c r="Y12" s="253"/>
      <c r="Z12" s="253"/>
      <c r="AA12" s="253"/>
      <c r="AB12" s="253"/>
      <c r="AC12" s="258"/>
      <c r="AD12" s="243"/>
      <c r="AE12" s="243"/>
      <c r="AF12" s="243"/>
      <c r="AG12" s="248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148" t="str">
        <f>F12&amp;N12</f>
        <v>GHANAPANAMÁ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242"/>
      <c r="AX12" s="245"/>
      <c r="AY12" s="245"/>
      <c r="AZ12" s="245"/>
      <c r="BA12" s="242"/>
      <c r="BB12" s="242"/>
      <c r="BC12" s="245"/>
      <c r="BD12" s="242"/>
      <c r="BE12" s="241"/>
      <c r="BF12" s="242"/>
      <c r="BG12" s="242"/>
      <c r="BH12" s="242"/>
    </row>
    <row r="13" spans="1:60" ht="7.5" customHeight="1" x14ac:dyDescent="0.3">
      <c r="A13" s="276"/>
      <c r="B13" s="232"/>
      <c r="C13" s="232"/>
      <c r="D13" s="232"/>
      <c r="E13" s="18"/>
      <c r="F13" s="233"/>
      <c r="G13" s="223"/>
      <c r="H13" s="20"/>
      <c r="I13" s="294"/>
      <c r="J13" s="279"/>
      <c r="K13" s="294"/>
      <c r="L13" s="223"/>
      <c r="M13" s="19"/>
      <c r="N13" s="224"/>
      <c r="O13" s="18"/>
      <c r="P13" s="225"/>
      <c r="R13" s="268"/>
      <c r="S13" s="269"/>
      <c r="T13" s="269"/>
      <c r="U13" s="270"/>
      <c r="V13" s="274"/>
      <c r="W13" s="253"/>
      <c r="X13" s="253"/>
      <c r="Y13" s="253"/>
      <c r="Z13" s="253"/>
      <c r="AA13" s="253"/>
      <c r="AB13" s="253"/>
      <c r="AC13" s="258"/>
      <c r="AD13" s="243"/>
      <c r="AE13" s="243"/>
      <c r="AF13" s="243"/>
      <c r="AG13" s="248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148" t="str">
        <f>N12&amp;F12</f>
        <v>PANAMÁGHANA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242"/>
      <c r="AX13" s="245"/>
      <c r="AY13" s="245"/>
      <c r="AZ13" s="245"/>
      <c r="BA13" s="242"/>
      <c r="BB13" s="242"/>
      <c r="BC13" s="245"/>
      <c r="BD13" s="242"/>
      <c r="BE13" s="241"/>
      <c r="BF13" s="242"/>
      <c r="BG13" s="242"/>
      <c r="BH13" s="242"/>
    </row>
    <row r="14" spans="1:60" ht="7.5" customHeight="1" x14ac:dyDescent="0.3">
      <c r="A14" s="276"/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71"/>
      <c r="S14" s="272"/>
      <c r="T14" s="272"/>
      <c r="U14" s="273"/>
      <c r="V14" s="274"/>
      <c r="W14" s="253"/>
      <c r="X14" s="253"/>
      <c r="Y14" s="253"/>
      <c r="Z14" s="253"/>
      <c r="AA14" s="253"/>
      <c r="AB14" s="253"/>
      <c r="AC14" s="259"/>
      <c r="AD14" s="243"/>
      <c r="AE14" s="243"/>
      <c r="AF14" s="243"/>
      <c r="AG14" s="249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151"/>
      <c r="AS14" s="148"/>
      <c r="AT14" s="148"/>
      <c r="AU14" s="148"/>
      <c r="AV14" s="152"/>
      <c r="AW14" s="242"/>
      <c r="AX14" s="246"/>
      <c r="AY14" s="246"/>
      <c r="AZ14" s="246"/>
      <c r="BA14" s="242"/>
      <c r="BB14" s="242"/>
      <c r="BC14" s="246"/>
      <c r="BD14" s="242"/>
      <c r="BE14" s="241"/>
      <c r="BF14" s="242"/>
      <c r="BG14" s="242"/>
      <c r="BH14" s="242"/>
    </row>
    <row r="15" spans="1:60" ht="7.5" customHeight="1" x14ac:dyDescent="0.3">
      <c r="A15" s="276"/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65" t="str">
        <f>"  2)  " &amp; VLOOKUP(2,$AE$10:$AF$29,2,0)</f>
        <v xml:space="preserve">  2)  INGLATERRA</v>
      </c>
      <c r="S15" s="266"/>
      <c r="T15" s="266"/>
      <c r="U15" s="267"/>
      <c r="V15" s="274">
        <f>VLOOKUP(2,$AE$10:$AG$29,3,0)</f>
        <v>3</v>
      </c>
      <c r="W15" s="253">
        <f>VLOOKUP(2,$AE$10:$AH$29,4,0)</f>
        <v>2</v>
      </c>
      <c r="X15" s="253">
        <f>VLOOKUP(2,$AE$10:$AI$29,5,0)</f>
        <v>1</v>
      </c>
      <c r="Y15" s="253">
        <f>VLOOKUP(2,$AE$10:$AJ$29,6,0)</f>
        <v>0</v>
      </c>
      <c r="Z15" s="253">
        <f>VLOOKUP(2,$AE$10:$AK$29,7,0)</f>
        <v>8</v>
      </c>
      <c r="AA15" s="253">
        <f>VLOOKUP(2,$AE$10:$AL$29,8,0)</f>
        <v>4</v>
      </c>
      <c r="AB15" s="253">
        <f>Z15-AA15</f>
        <v>4</v>
      </c>
      <c r="AC15" s="257">
        <f>(W15*3)+X15</f>
        <v>7</v>
      </c>
      <c r="AD15" s="243">
        <f>RANK(AO15,$AO$10:$AO$29,0)</f>
        <v>2</v>
      </c>
      <c r="AE15" s="243">
        <f>RANK(AP15,$AP$10:$AP$29,1)</f>
        <v>1</v>
      </c>
      <c r="AF15" s="243" t="str">
        <f>N8</f>
        <v>CROACIA</v>
      </c>
      <c r="AG15" s="247">
        <f>3-COUNTIF(I33:K33,"")</f>
        <v>3</v>
      </c>
      <c r="AH15" s="243">
        <f>COUNTIF(I33:K33,"G")</f>
        <v>2</v>
      </c>
      <c r="AI15" s="243">
        <f>COUNTIF(I33:K33,"E")</f>
        <v>1</v>
      </c>
      <c r="AJ15" s="243">
        <f>COUNTIF(I33:K33,"P")</f>
        <v>0</v>
      </c>
      <c r="AK15" s="247">
        <f>SUM(K8,K20,I28)</f>
        <v>7</v>
      </c>
      <c r="AL15" s="243">
        <f>SUM(I8,I20,K28)</f>
        <v>2</v>
      </c>
      <c r="AM15" s="243">
        <f>AK15-AL15</f>
        <v>5</v>
      </c>
      <c r="AN15" s="243">
        <f>(AH15*3)+AI15*vcp</f>
        <v>7</v>
      </c>
      <c r="AO15" s="243">
        <f>IF($AO$6&gt;0,AN15*10+2)</f>
        <v>72</v>
      </c>
      <c r="AP15" s="243">
        <f>IF(AF15=$R$38,BF15-100,IF(AF15=$R$37,BF15-200,IF(AF15=$R$36,BF15-300,BF15)))</f>
        <v>-299</v>
      </c>
      <c r="AQ15" s="243" t="str">
        <f>IF(R37="",IF(SUM($V$10:$V$29)&gt;0,VLOOKUP(2,$AE$10:$AF$29,2,0),""),R37)</f>
        <v>INGLATERRA</v>
      </c>
      <c r="AR15" s="151"/>
      <c r="AS15" s="148"/>
      <c r="AT15" s="148"/>
      <c r="AU15" s="148"/>
      <c r="AV15" s="152"/>
      <c r="AW15" s="242">
        <f>RANK(AY15,$AY$10:$AY$29,0)</f>
        <v>2</v>
      </c>
      <c r="AX15" s="244">
        <f>IF(AND($AO$6&gt;0,$AP$6&gt;0),AN15*10000+AZ15,AO15)</f>
        <v>70000</v>
      </c>
      <c r="AY15" s="244">
        <f>IF(AND($AO$6&gt;0,$AP$6&gt;0),AN15*10000+AZ15-1,AO15)</f>
        <v>69999</v>
      </c>
      <c r="AZ15" s="244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42">
        <f>RANK(BB15,$BB$10:$BB$29,0)</f>
        <v>1</v>
      </c>
      <c r="BB15" s="242">
        <f>AX15+BD15</f>
        <v>70000</v>
      </c>
      <c r="BC15" s="244">
        <f>AX15+BD15+2</f>
        <v>70002</v>
      </c>
      <c r="BD15" s="242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41">
        <f>(IF(AND($AO$6&gt;0,$BB$6&gt;0),AN15*1000+AM15*100+AK15*10,0)+2)/100+BB15</f>
        <v>70075.72</v>
      </c>
      <c r="BF15" s="242">
        <f>RANK(BE15,$BE$10:$BE$29)</f>
        <v>1</v>
      </c>
      <c r="BG15" s="241">
        <f>BE15-0.02</f>
        <v>70075.7</v>
      </c>
      <c r="BH15" s="241">
        <f>COUNTIF($BG$10:$BG$29,BG15)</f>
        <v>1</v>
      </c>
    </row>
    <row r="16" spans="1:60" ht="7.5" customHeight="1" x14ac:dyDescent="0.3">
      <c r="A16" s="276">
        <v>46</v>
      </c>
      <c r="B16" s="232">
        <v>45</v>
      </c>
      <c r="C16" s="235">
        <f>VLOOKUP(A16,tDatos[],IF(UTCElegido="",3,12),0)</f>
        <v>46196</v>
      </c>
      <c r="D16" s="231">
        <f>VLOOKUP(A16,tDatos[],IF(UTCElegido="",4,12),0)</f>
        <v>0.66666666666666663</v>
      </c>
      <c r="E16" s="18"/>
      <c r="F16" s="233" t="str">
        <f>VLOOKUP(A16,tDatos[],5,0)</f>
        <v>INGLATERRA</v>
      </c>
      <c r="G16" s="223" t="str">
        <f>IF(AND(I16&lt;&gt;"",K16&lt;&gt;""),IF(I16=K16,"E",IF(I16&gt;K16,"G","P")),"")</f>
        <v>G</v>
      </c>
      <c r="H16" s="20"/>
      <c r="I16" s="293">
        <v>3</v>
      </c>
      <c r="J16" s="279" t="s">
        <v>0</v>
      </c>
      <c r="K16" s="293">
        <v>1</v>
      </c>
      <c r="L16" s="223" t="str">
        <f>IF(AND(K16&lt;&gt;"",I16&lt;&gt;""),IF(K16=I16,"E",IF(K16&gt;I16,"G","P")),"")</f>
        <v>P</v>
      </c>
      <c r="M16" s="19"/>
      <c r="N16" s="224" t="str">
        <f>VLOOKUP(A16,tDatos[],6,0)</f>
        <v>GHANA</v>
      </c>
      <c r="O16" s="18"/>
      <c r="P16" s="225" t="str">
        <f>VLOOKUP(A16,tDatos[],9,0)</f>
        <v>Boston</v>
      </c>
      <c r="R16" s="268"/>
      <c r="S16" s="269"/>
      <c r="T16" s="269"/>
      <c r="U16" s="270"/>
      <c r="V16" s="274"/>
      <c r="W16" s="253"/>
      <c r="X16" s="253"/>
      <c r="Y16" s="253"/>
      <c r="Z16" s="253"/>
      <c r="AA16" s="253"/>
      <c r="AB16" s="253"/>
      <c r="AC16" s="258"/>
      <c r="AD16" s="243"/>
      <c r="AE16" s="243"/>
      <c r="AF16" s="243"/>
      <c r="AG16" s="248"/>
      <c r="AH16" s="243"/>
      <c r="AI16" s="243"/>
      <c r="AJ16" s="243"/>
      <c r="AK16" s="248"/>
      <c r="AL16" s="243"/>
      <c r="AM16" s="243"/>
      <c r="AN16" s="243"/>
      <c r="AO16" s="243"/>
      <c r="AP16" s="243"/>
      <c r="AQ16" s="243"/>
      <c r="AR16" s="148" t="str">
        <f>F16&amp;N16</f>
        <v>INGLATERRAGHANA</v>
      </c>
      <c r="AS16" s="148" t="str">
        <f>IF(I16&gt;K16,F16,IF(K16&gt;I16,N16,""))</f>
        <v>INGLATERRA</v>
      </c>
      <c r="AT16" s="149">
        <f>I16</f>
        <v>3</v>
      </c>
      <c r="AU16" s="149">
        <f>K16</f>
        <v>1</v>
      </c>
      <c r="AV16" s="149">
        <f>AT16-AU16</f>
        <v>2</v>
      </c>
      <c r="AW16" s="242"/>
      <c r="AX16" s="245"/>
      <c r="AY16" s="245"/>
      <c r="AZ16" s="245"/>
      <c r="BA16" s="242"/>
      <c r="BB16" s="242"/>
      <c r="BC16" s="245"/>
      <c r="BD16" s="242"/>
      <c r="BE16" s="241"/>
      <c r="BF16" s="242"/>
      <c r="BG16" s="242"/>
      <c r="BH16" s="242"/>
    </row>
    <row r="17" spans="1:60" ht="7.5" customHeight="1" x14ac:dyDescent="0.3">
      <c r="A17" s="276"/>
      <c r="B17" s="232"/>
      <c r="C17" s="232"/>
      <c r="D17" s="232"/>
      <c r="E17" s="18"/>
      <c r="F17" s="233"/>
      <c r="G17" s="223"/>
      <c r="H17" s="20"/>
      <c r="I17" s="294"/>
      <c r="J17" s="279"/>
      <c r="K17" s="294"/>
      <c r="L17" s="223"/>
      <c r="M17" s="19"/>
      <c r="N17" s="224"/>
      <c r="O17" s="18"/>
      <c r="P17" s="225"/>
      <c r="R17" s="268"/>
      <c r="S17" s="269"/>
      <c r="T17" s="269"/>
      <c r="U17" s="270"/>
      <c r="V17" s="274"/>
      <c r="W17" s="253"/>
      <c r="X17" s="253"/>
      <c r="Y17" s="253"/>
      <c r="Z17" s="253"/>
      <c r="AA17" s="253"/>
      <c r="AB17" s="253"/>
      <c r="AC17" s="258"/>
      <c r="AD17" s="243"/>
      <c r="AE17" s="243"/>
      <c r="AF17" s="243"/>
      <c r="AG17" s="248"/>
      <c r="AH17" s="243"/>
      <c r="AI17" s="243"/>
      <c r="AJ17" s="243"/>
      <c r="AK17" s="248"/>
      <c r="AL17" s="243"/>
      <c r="AM17" s="243"/>
      <c r="AN17" s="243"/>
      <c r="AO17" s="243"/>
      <c r="AP17" s="243"/>
      <c r="AQ17" s="243"/>
      <c r="AR17" s="148" t="str">
        <f>N16&amp;F16</f>
        <v>GHANAINGLATERRA</v>
      </c>
      <c r="AS17" s="148" t="str">
        <f>IF(I16&gt;K16,F16,IF(K16&gt;I16,N16,""))</f>
        <v>INGLATERRA</v>
      </c>
      <c r="AT17" s="149">
        <f>K16</f>
        <v>1</v>
      </c>
      <c r="AU17" s="149">
        <f>I16</f>
        <v>3</v>
      </c>
      <c r="AV17" s="149">
        <f>AT17-AU17</f>
        <v>-2</v>
      </c>
      <c r="AW17" s="242"/>
      <c r="AX17" s="245"/>
      <c r="AY17" s="245"/>
      <c r="AZ17" s="245"/>
      <c r="BA17" s="242"/>
      <c r="BB17" s="242"/>
      <c r="BC17" s="245"/>
      <c r="BD17" s="242"/>
      <c r="BE17" s="241"/>
      <c r="BF17" s="242"/>
      <c r="BG17" s="242"/>
      <c r="BH17" s="242"/>
    </row>
    <row r="18" spans="1:60" ht="7.5" customHeight="1" x14ac:dyDescent="0.3">
      <c r="A18" s="276"/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68"/>
      <c r="S18" s="269"/>
      <c r="T18" s="269"/>
      <c r="U18" s="270"/>
      <c r="V18" s="274"/>
      <c r="W18" s="253"/>
      <c r="X18" s="253"/>
      <c r="Y18" s="253"/>
      <c r="Z18" s="253"/>
      <c r="AA18" s="253"/>
      <c r="AB18" s="253"/>
      <c r="AC18" s="258"/>
      <c r="AD18" s="243"/>
      <c r="AE18" s="243"/>
      <c r="AF18" s="243"/>
      <c r="AG18" s="248"/>
      <c r="AH18" s="243"/>
      <c r="AI18" s="243"/>
      <c r="AJ18" s="243"/>
      <c r="AK18" s="248"/>
      <c r="AL18" s="243"/>
      <c r="AM18" s="243"/>
      <c r="AN18" s="243"/>
      <c r="AO18" s="243"/>
      <c r="AP18" s="243"/>
      <c r="AQ18" s="243"/>
      <c r="AR18" s="151"/>
      <c r="AS18" s="148"/>
      <c r="AT18" s="148"/>
      <c r="AU18" s="148"/>
      <c r="AV18" s="152"/>
      <c r="AW18" s="242"/>
      <c r="AX18" s="245"/>
      <c r="AY18" s="245"/>
      <c r="AZ18" s="245"/>
      <c r="BA18" s="242"/>
      <c r="BB18" s="242"/>
      <c r="BC18" s="245"/>
      <c r="BD18" s="242"/>
      <c r="BE18" s="241"/>
      <c r="BF18" s="242"/>
      <c r="BG18" s="242"/>
      <c r="BH18" s="242"/>
    </row>
    <row r="19" spans="1:60" ht="7.5" customHeight="1" x14ac:dyDescent="0.3">
      <c r="A19" s="276"/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71"/>
      <c r="S19" s="272"/>
      <c r="T19" s="272"/>
      <c r="U19" s="273"/>
      <c r="V19" s="274"/>
      <c r="W19" s="253"/>
      <c r="X19" s="253"/>
      <c r="Y19" s="253"/>
      <c r="Z19" s="253"/>
      <c r="AA19" s="253"/>
      <c r="AB19" s="253"/>
      <c r="AC19" s="259"/>
      <c r="AD19" s="243"/>
      <c r="AE19" s="243"/>
      <c r="AF19" s="243"/>
      <c r="AG19" s="249"/>
      <c r="AH19" s="243"/>
      <c r="AI19" s="243"/>
      <c r="AJ19" s="243"/>
      <c r="AK19" s="249"/>
      <c r="AL19" s="243"/>
      <c r="AM19" s="243"/>
      <c r="AN19" s="243"/>
      <c r="AO19" s="243"/>
      <c r="AP19" s="243"/>
      <c r="AQ19" s="243"/>
      <c r="AR19" s="151"/>
      <c r="AS19" s="148"/>
      <c r="AT19" s="148"/>
      <c r="AU19" s="148"/>
      <c r="AV19" s="152"/>
      <c r="AW19" s="242"/>
      <c r="AX19" s="246"/>
      <c r="AY19" s="246"/>
      <c r="AZ19" s="246"/>
      <c r="BA19" s="242"/>
      <c r="BB19" s="242"/>
      <c r="BC19" s="246"/>
      <c r="BD19" s="242"/>
      <c r="BE19" s="241"/>
      <c r="BF19" s="242"/>
      <c r="BG19" s="242"/>
      <c r="BH19" s="242"/>
    </row>
    <row r="20" spans="1:60" ht="7.5" customHeight="1" x14ac:dyDescent="0.3">
      <c r="A20" s="276">
        <v>47</v>
      </c>
      <c r="B20" s="232">
        <v>46</v>
      </c>
      <c r="C20" s="235">
        <f>VLOOKUP(A20,tDatos[],IF(UTCElegido="",3,12),0)</f>
        <v>46196</v>
      </c>
      <c r="D20" s="231">
        <f>VLOOKUP(A20,tDatos[],IF(UTCElegido="",4,12),0)</f>
        <v>0.79166666666666663</v>
      </c>
      <c r="E20" s="18"/>
      <c r="F20" s="233" t="str">
        <f>VLOOKUP(A20,tDatos[],5,0)</f>
        <v>PANAMÁ</v>
      </c>
      <c r="G20" s="223" t="str">
        <f>IF(AND(I20&lt;&gt;"",K20&lt;&gt;""),IF(I20=K20,"E",IF(I20&gt;K20,"G","P")),"")</f>
        <v>P</v>
      </c>
      <c r="H20" s="20"/>
      <c r="I20" s="293">
        <v>0</v>
      </c>
      <c r="J20" s="279" t="s">
        <v>0</v>
      </c>
      <c r="K20" s="293">
        <v>3</v>
      </c>
      <c r="L20" s="223" t="str">
        <f>IF(AND(K20&lt;&gt;"",I20&lt;&gt;""),IF(K20=I20,"E",IF(K20&gt;I20,"G","P")),"")</f>
        <v>G</v>
      </c>
      <c r="M20" s="19"/>
      <c r="N20" s="224" t="str">
        <f>VLOOKUP(A20,tDatos[],6,0)</f>
        <v>CROACIA</v>
      </c>
      <c r="O20" s="18"/>
      <c r="P20" s="225" t="str">
        <f>VLOOKUP(A20,tDatos[],9,0)</f>
        <v>Toronto</v>
      </c>
      <c r="R20" s="287" t="str">
        <f>"  3)  " &amp; VLOOKUP(3,$AE$10:$AF$29,2,0)</f>
        <v xml:space="preserve">  3)  GHANA</v>
      </c>
      <c r="S20" s="288"/>
      <c r="T20" s="288"/>
      <c r="U20" s="288"/>
      <c r="V20" s="254">
        <f>VLOOKUP(3,$AE$10:$AG$29,3,0)</f>
        <v>3</v>
      </c>
      <c r="W20" s="255">
        <f>VLOOKUP(3,$AE$10:$AH$29,4,0)</f>
        <v>0</v>
      </c>
      <c r="X20" s="255">
        <f>VLOOKUP(3,$AE$10:$AI$29,5,0)</f>
        <v>1</v>
      </c>
      <c r="Y20" s="255">
        <f>VLOOKUP(3,$AE$10:$AJ$29,6,0)</f>
        <v>2</v>
      </c>
      <c r="Z20" s="255">
        <f>VLOOKUP(3,$AE$10:$AK$29,7,0)</f>
        <v>2</v>
      </c>
      <c r="AA20" s="255">
        <f>VLOOKUP(3,$AE$10:$AL$29,8,0)</f>
        <v>6</v>
      </c>
      <c r="AB20" s="283">
        <f>Z20-AA20</f>
        <v>-4</v>
      </c>
      <c r="AC20" s="284">
        <f>(W20*3)+X20</f>
        <v>1</v>
      </c>
      <c r="AD20" s="243">
        <f>RANK(AO20,$AO$10:$AO$29,0)</f>
        <v>3</v>
      </c>
      <c r="AE20" s="243">
        <f>RANK(AP20,$AP$10:$AP$29,1)</f>
        <v>3</v>
      </c>
      <c r="AF20" s="243" t="str">
        <f>F12</f>
        <v>GHANA</v>
      </c>
      <c r="AG20" s="247">
        <f>3-COUNTIF(I34:K34,"")</f>
        <v>3</v>
      </c>
      <c r="AH20" s="243">
        <f>COUNTIF(I34:K34,"G")</f>
        <v>0</v>
      </c>
      <c r="AI20" s="243">
        <f>COUNTIF(I34:K34,"E")</f>
        <v>1</v>
      </c>
      <c r="AJ20" s="243">
        <f>COUNTIF(I34:K34,"P")</f>
        <v>2</v>
      </c>
      <c r="AK20" s="247">
        <f>SUM(I12,K16,K28)</f>
        <v>2</v>
      </c>
      <c r="AL20" s="247">
        <f>SUM(K12,I16,I28)</f>
        <v>6</v>
      </c>
      <c r="AM20" s="243">
        <f>AK20-AL20</f>
        <v>-4</v>
      </c>
      <c r="AN20" s="243">
        <f>(AH20*3)+AI20*vcp</f>
        <v>1</v>
      </c>
      <c r="AO20" s="243">
        <f>IF($AO$6&gt;0,AN20*10+1)</f>
        <v>11</v>
      </c>
      <c r="AP20" s="243">
        <f>IF(AF20=$R$38,BF20-100,IF(AF20=$R$37,BF20-200,IF(AF20=$R$36,BF20-300,BF20)))</f>
        <v>-97</v>
      </c>
      <c r="AQ20" s="243" t="str">
        <f>IF(R38="",IF(SUM($V$10:$V$29)&gt;0,VLOOKUP(3,$AE$10:$AF$29,2,0),""),R38)</f>
        <v>GHANA</v>
      </c>
      <c r="AR20" s="148" t="str">
        <f>F20&amp;N20</f>
        <v>PANAMÁCROACIA</v>
      </c>
      <c r="AS20" s="148" t="str">
        <f>IF(I20&gt;K20,F20,IF(K20&gt;I20,N20,""))</f>
        <v>CROACIA</v>
      </c>
      <c r="AT20" s="149">
        <f>I20</f>
        <v>0</v>
      </c>
      <c r="AU20" s="149">
        <f>K20</f>
        <v>3</v>
      </c>
      <c r="AV20" s="149">
        <f>AT20-AU20</f>
        <v>-3</v>
      </c>
      <c r="AW20" s="242">
        <f>RANK(AY20,$AY$10:$AY$29,0)</f>
        <v>3</v>
      </c>
      <c r="AX20" s="244">
        <f>IF(AND($AO$6&gt;0,$AP$6&gt;0),AN20*10000+AZ20,AO20)</f>
        <v>10000</v>
      </c>
      <c r="AY20" s="244">
        <f>IF(AND($AO$6&gt;0,$AP$6&gt;0),AN20*10000+AZ20-2,AO20)</f>
        <v>9998</v>
      </c>
      <c r="AZ20" s="244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42">
        <f>RANK(BB20,$BB$10:$BB$29,0)</f>
        <v>3</v>
      </c>
      <c r="BB20" s="242">
        <f>AX20+BD20</f>
        <v>10000</v>
      </c>
      <c r="BC20" s="244">
        <f>AX20+BD20+1</f>
        <v>10001</v>
      </c>
      <c r="BD20" s="242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41">
        <f>(IF(AND($AO$6&gt;0,$BB$6&gt;0),AN20*1000+AM20*100+AK20*10,0)+1)/100+BB20</f>
        <v>10006.209999999999</v>
      </c>
      <c r="BF20" s="242">
        <f>RANK(BE20,$BE$10:$BE$29)</f>
        <v>3</v>
      </c>
      <c r="BG20" s="241">
        <f>BE20-0.01</f>
        <v>10006.199999999999</v>
      </c>
      <c r="BH20" s="241">
        <f>COUNTIF($BG$10:$BG$29,BG20)</f>
        <v>1</v>
      </c>
    </row>
    <row r="21" spans="1:60" ht="7.5" customHeight="1" x14ac:dyDescent="0.3">
      <c r="A21" s="276"/>
      <c r="B21" s="232"/>
      <c r="C21" s="232"/>
      <c r="D21" s="232"/>
      <c r="E21" s="18"/>
      <c r="F21" s="233"/>
      <c r="G21" s="223"/>
      <c r="H21" s="20"/>
      <c r="I21" s="294"/>
      <c r="J21" s="279"/>
      <c r="K21" s="294"/>
      <c r="L21" s="223"/>
      <c r="M21" s="19"/>
      <c r="N21" s="224"/>
      <c r="O21" s="18"/>
      <c r="P21" s="225"/>
      <c r="R21" s="289"/>
      <c r="S21" s="290"/>
      <c r="T21" s="290"/>
      <c r="U21" s="290"/>
      <c r="V21" s="254"/>
      <c r="W21" s="255"/>
      <c r="X21" s="255"/>
      <c r="Y21" s="255"/>
      <c r="Z21" s="255"/>
      <c r="AA21" s="255"/>
      <c r="AB21" s="283"/>
      <c r="AC21" s="285"/>
      <c r="AD21" s="243"/>
      <c r="AE21" s="243"/>
      <c r="AF21" s="243"/>
      <c r="AG21" s="248"/>
      <c r="AH21" s="243"/>
      <c r="AI21" s="243"/>
      <c r="AJ21" s="243"/>
      <c r="AK21" s="248"/>
      <c r="AL21" s="248"/>
      <c r="AM21" s="243"/>
      <c r="AN21" s="243"/>
      <c r="AO21" s="243"/>
      <c r="AP21" s="243"/>
      <c r="AQ21" s="243"/>
      <c r="AR21" s="148" t="str">
        <f>N20&amp;F20</f>
        <v>CROACIAPANAMÁ</v>
      </c>
      <c r="AS21" s="148" t="str">
        <f>IF(I20&gt;K20,F20,IF(K20&gt;I20,N20,""))</f>
        <v>CROACIA</v>
      </c>
      <c r="AT21" s="149">
        <f>K20</f>
        <v>3</v>
      </c>
      <c r="AU21" s="149">
        <f>I20</f>
        <v>0</v>
      </c>
      <c r="AV21" s="149">
        <f>AT21-AU21</f>
        <v>3</v>
      </c>
      <c r="AW21" s="242"/>
      <c r="AX21" s="245"/>
      <c r="AY21" s="245"/>
      <c r="AZ21" s="245"/>
      <c r="BA21" s="242"/>
      <c r="BB21" s="242"/>
      <c r="BC21" s="245"/>
      <c r="BD21" s="242"/>
      <c r="BE21" s="241"/>
      <c r="BF21" s="242"/>
      <c r="BG21" s="242"/>
      <c r="BH21" s="242"/>
    </row>
    <row r="22" spans="1:60" ht="7.5" customHeight="1" x14ac:dyDescent="0.3">
      <c r="A22" s="276"/>
      <c r="B22" s="234"/>
      <c r="C22" s="236"/>
      <c r="D22" s="230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89"/>
      <c r="S22" s="290"/>
      <c r="T22" s="290"/>
      <c r="U22" s="290"/>
      <c r="V22" s="254"/>
      <c r="W22" s="255"/>
      <c r="X22" s="255"/>
      <c r="Y22" s="255"/>
      <c r="Z22" s="255"/>
      <c r="AA22" s="255"/>
      <c r="AB22" s="283"/>
      <c r="AC22" s="285"/>
      <c r="AD22" s="243"/>
      <c r="AE22" s="243"/>
      <c r="AF22" s="243"/>
      <c r="AG22" s="248"/>
      <c r="AH22" s="243"/>
      <c r="AI22" s="243"/>
      <c r="AJ22" s="243"/>
      <c r="AK22" s="248"/>
      <c r="AL22" s="248"/>
      <c r="AM22" s="243"/>
      <c r="AN22" s="243"/>
      <c r="AO22" s="243"/>
      <c r="AP22" s="243"/>
      <c r="AQ22" s="243"/>
      <c r="AR22" s="151"/>
      <c r="AS22" s="148"/>
      <c r="AT22" s="148"/>
      <c r="AU22" s="148"/>
      <c r="AV22" s="152"/>
      <c r="AW22" s="242"/>
      <c r="AX22" s="245"/>
      <c r="AY22" s="245"/>
      <c r="AZ22" s="245"/>
      <c r="BA22" s="242"/>
      <c r="BB22" s="242"/>
      <c r="BC22" s="245"/>
      <c r="BD22" s="242"/>
      <c r="BE22" s="241"/>
      <c r="BF22" s="242"/>
      <c r="BG22" s="242"/>
      <c r="BH22" s="242"/>
    </row>
    <row r="23" spans="1:60" ht="7.5" customHeight="1" x14ac:dyDescent="0.3">
      <c r="A23" s="276"/>
      <c r="B23" s="234"/>
      <c r="C23" s="236"/>
      <c r="D23" s="230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89"/>
      <c r="S23" s="290"/>
      <c r="T23" s="290"/>
      <c r="U23" s="290"/>
      <c r="V23" s="254"/>
      <c r="W23" s="255"/>
      <c r="X23" s="255"/>
      <c r="Y23" s="255"/>
      <c r="Z23" s="255"/>
      <c r="AA23" s="255"/>
      <c r="AB23" s="283"/>
      <c r="AC23" s="285"/>
      <c r="AD23" s="243"/>
      <c r="AE23" s="243"/>
      <c r="AF23" s="243"/>
      <c r="AG23" s="248"/>
      <c r="AH23" s="243"/>
      <c r="AI23" s="243"/>
      <c r="AJ23" s="243"/>
      <c r="AK23" s="248"/>
      <c r="AL23" s="248"/>
      <c r="AM23" s="243"/>
      <c r="AN23" s="243"/>
      <c r="AO23" s="243"/>
      <c r="AP23" s="243"/>
      <c r="AQ23" s="243"/>
      <c r="AR23" s="151"/>
      <c r="AS23" s="148"/>
      <c r="AT23" s="148"/>
      <c r="AU23" s="148"/>
      <c r="AV23" s="152"/>
      <c r="AW23" s="242"/>
      <c r="AX23" s="245"/>
      <c r="AY23" s="245"/>
      <c r="AZ23" s="245"/>
      <c r="BA23" s="242"/>
      <c r="BB23" s="242"/>
      <c r="BC23" s="245"/>
      <c r="BD23" s="242"/>
      <c r="BE23" s="241"/>
      <c r="BF23" s="242"/>
      <c r="BG23" s="242"/>
      <c r="BH23" s="242"/>
    </row>
    <row r="24" spans="1:60" ht="7.5" customHeight="1" x14ac:dyDescent="0.3">
      <c r="A24" s="276">
        <v>67</v>
      </c>
      <c r="B24" s="232">
        <v>67</v>
      </c>
      <c r="C24" s="235">
        <f>VLOOKUP(A24,tDatos[],IF(UTCElegido="",3,12),0)</f>
        <v>46200</v>
      </c>
      <c r="D24" s="231">
        <f>VLOOKUP(A24,tDatos[],IF(UTCElegido="",4,12),0)</f>
        <v>0.70833333333333337</v>
      </c>
      <c r="E24" s="18"/>
      <c r="F24" s="233" t="str">
        <f>VLOOKUP(A24,tDatos[],5,0)</f>
        <v>PANAMÁ</v>
      </c>
      <c r="G24" s="223" t="str">
        <f>IF(AND(I24&lt;&gt;"",K24&lt;&gt;""),IF(I24=K24,"E",IF(I24&gt;K24,"G","P")),"")</f>
        <v>P</v>
      </c>
      <c r="H24" s="20"/>
      <c r="I24" s="293">
        <v>1</v>
      </c>
      <c r="J24" s="279" t="s">
        <v>0</v>
      </c>
      <c r="K24" s="293">
        <v>3</v>
      </c>
      <c r="L24" s="223" t="str">
        <f>IF(AND(K24&lt;&gt;"",I24&lt;&gt;""),IF(K24=I24,"E",IF(K24&gt;I24,"G","P")),"")</f>
        <v>G</v>
      </c>
      <c r="M24" s="19"/>
      <c r="N24" s="224" t="str">
        <f>VLOOKUP(A24,tDatos[],6,0)</f>
        <v>INGLATERRA</v>
      </c>
      <c r="O24" s="18"/>
      <c r="P24" s="225" t="str">
        <f>VLOOKUP(A24,tDatos[],9,0)</f>
        <v>N. York/N. Jersey</v>
      </c>
      <c r="R24" s="291"/>
      <c r="S24" s="292"/>
      <c r="T24" s="292"/>
      <c r="U24" s="292"/>
      <c r="V24" s="254"/>
      <c r="W24" s="255"/>
      <c r="X24" s="255"/>
      <c r="Y24" s="255"/>
      <c r="Z24" s="255"/>
      <c r="AA24" s="255"/>
      <c r="AB24" s="283"/>
      <c r="AC24" s="286"/>
      <c r="AD24" s="243"/>
      <c r="AE24" s="243"/>
      <c r="AF24" s="243"/>
      <c r="AG24" s="249"/>
      <c r="AH24" s="243"/>
      <c r="AI24" s="243"/>
      <c r="AJ24" s="243"/>
      <c r="AK24" s="249"/>
      <c r="AL24" s="249"/>
      <c r="AM24" s="243"/>
      <c r="AN24" s="243"/>
      <c r="AO24" s="243"/>
      <c r="AP24" s="243"/>
      <c r="AQ24" s="243"/>
      <c r="AR24" s="148" t="str">
        <f>F24&amp;N24</f>
        <v>PANAMÁINGLATERRA</v>
      </c>
      <c r="AS24" s="148" t="str">
        <f>IF(I24&gt;K24,F24,IF(K24&gt;I24,N24,""))</f>
        <v>INGLATERRA</v>
      </c>
      <c r="AT24" s="149">
        <f>I24</f>
        <v>1</v>
      </c>
      <c r="AU24" s="149">
        <f>K24</f>
        <v>3</v>
      </c>
      <c r="AV24" s="149">
        <f>AT24-AU24</f>
        <v>-2</v>
      </c>
      <c r="AW24" s="242"/>
      <c r="AX24" s="246"/>
      <c r="AY24" s="246"/>
      <c r="AZ24" s="246"/>
      <c r="BA24" s="242"/>
      <c r="BB24" s="242"/>
      <c r="BC24" s="246"/>
      <c r="BD24" s="242"/>
      <c r="BE24" s="241"/>
      <c r="BF24" s="242"/>
      <c r="BG24" s="242"/>
      <c r="BH24" s="242"/>
    </row>
    <row r="25" spans="1:60" ht="7.5" customHeight="1" x14ac:dyDescent="0.3">
      <c r="A25" s="276"/>
      <c r="B25" s="232"/>
      <c r="C25" s="232"/>
      <c r="D25" s="232"/>
      <c r="E25" s="18"/>
      <c r="F25" s="233"/>
      <c r="G25" s="223"/>
      <c r="H25" s="20"/>
      <c r="I25" s="294"/>
      <c r="J25" s="279"/>
      <c r="K25" s="294"/>
      <c r="L25" s="223"/>
      <c r="M25" s="19"/>
      <c r="N25" s="224"/>
      <c r="O25" s="18"/>
      <c r="P25" s="225"/>
      <c r="R25" s="287" t="str">
        <f>"  4)  " &amp; VLOOKUP(4,$AE$10:$AF$29,2,0)</f>
        <v xml:space="preserve">  4)  PANAMÁ</v>
      </c>
      <c r="S25" s="288"/>
      <c r="T25" s="288"/>
      <c r="U25" s="288"/>
      <c r="V25" s="254">
        <f>VLOOKUP(4,$AE$10:$AG$29,3,0)</f>
        <v>3</v>
      </c>
      <c r="W25" s="255">
        <f>VLOOKUP(4,$AE$10:$AH$29,4,0)</f>
        <v>0</v>
      </c>
      <c r="X25" s="255">
        <f>VLOOKUP(4,$AE$10:$AI$29,5,0)</f>
        <v>1</v>
      </c>
      <c r="Y25" s="255">
        <f>VLOOKUP(4,$AE$10:$AJ$29,6,0)</f>
        <v>2</v>
      </c>
      <c r="Z25" s="255">
        <f>VLOOKUP(4,$AE$10:$AK$29,7,0)</f>
        <v>2</v>
      </c>
      <c r="AA25" s="255">
        <f>VLOOKUP(4,$AE$10:$AL$29,8,0)</f>
        <v>7</v>
      </c>
      <c r="AB25" s="283">
        <f>Z25-AA25</f>
        <v>-5</v>
      </c>
      <c r="AC25" s="284">
        <f>(W25*3)+X25</f>
        <v>1</v>
      </c>
      <c r="AD25" s="243">
        <f>RANK(AO25,$AO$10:$AO$29,0)</f>
        <v>4</v>
      </c>
      <c r="AE25" s="243">
        <f>RANK(AP25,$AP$10:$AP$29,1)</f>
        <v>4</v>
      </c>
      <c r="AF25" s="243" t="str">
        <f>N12</f>
        <v>PANAMÁ</v>
      </c>
      <c r="AG25" s="247">
        <f>3-COUNTIF(I35:K35,"")</f>
        <v>3</v>
      </c>
      <c r="AH25" s="243">
        <f>COUNTIF(I35:K35,"G")</f>
        <v>0</v>
      </c>
      <c r="AI25" s="243">
        <f>COUNTIF(I35:K35,"E")</f>
        <v>1</v>
      </c>
      <c r="AJ25" s="243">
        <f>COUNTIF(I35:K35,"P")</f>
        <v>2</v>
      </c>
      <c r="AK25" s="247">
        <f>SUM(K12,I20,I24)</f>
        <v>2</v>
      </c>
      <c r="AL25" s="247">
        <f>SUM(I12,K20,K24)</f>
        <v>7</v>
      </c>
      <c r="AM25" s="243">
        <f>AK25-AL25</f>
        <v>-5</v>
      </c>
      <c r="AN25" s="243">
        <f>(AH25*3)+AI25*vcp</f>
        <v>1</v>
      </c>
      <c r="AO25" s="243">
        <f>IF($AO$6&gt;0,AN25*10)</f>
        <v>10</v>
      </c>
      <c r="AP25" s="243">
        <f>IF(AF25=$R$38,BF25-100,IF(AF25=$R$37,BF25-200,IF(AF25=$R$36,BF25-300,BF25)))</f>
        <v>4</v>
      </c>
      <c r="AQ25" s="243" t="str">
        <f>IF(SUM($V$10:$V$29)&gt;0,VLOOKUP(4,$AE$10:$AF$29,2,0),"")</f>
        <v>PANAMÁ</v>
      </c>
      <c r="AR25" s="148" t="str">
        <f>N24&amp;F24</f>
        <v>INGLATERRAPANAMÁ</v>
      </c>
      <c r="AS25" s="148" t="str">
        <f>IF(I24&gt;K24,F24,IF(K24&gt;I24,N24,""))</f>
        <v>INGLATERRA</v>
      </c>
      <c r="AT25" s="149">
        <f>K24</f>
        <v>3</v>
      </c>
      <c r="AU25" s="149">
        <f>I24</f>
        <v>1</v>
      </c>
      <c r="AV25" s="149">
        <f>AT25-AU25</f>
        <v>2</v>
      </c>
      <c r="AW25" s="242">
        <f>RANK(AY25,$AY$10:$AY$29,0)</f>
        <v>4</v>
      </c>
      <c r="AX25" s="244">
        <f>IF(AND($AO$6&gt;0,$AP$6&gt;0),AN25*10000+AZ25,AO25)</f>
        <v>10000</v>
      </c>
      <c r="AY25" s="244">
        <f>IF(AND($AO$6&gt;0,$AP$6&gt;0),AN25*10000+AZ25-3,AO25)</f>
        <v>9997</v>
      </c>
      <c r="AZ25" s="244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42">
        <f>RANK(BB25,$BB$10:$BB$29,0)</f>
        <v>3</v>
      </c>
      <c r="BB25" s="242">
        <f>AX25+BD25</f>
        <v>10000</v>
      </c>
      <c r="BC25" s="244">
        <f>AX25+BD25</f>
        <v>10000</v>
      </c>
      <c r="BD25" s="242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41">
        <f>IF(AND($AO$6&gt;0,$BB$6&gt;0),AN25*1000+AM25*100+AK25*10,0)/100+BB25</f>
        <v>10005.200000000001</v>
      </c>
      <c r="BF25" s="242">
        <f>RANK(BE25,$BE$10:$BE$29)</f>
        <v>4</v>
      </c>
      <c r="BG25" s="241">
        <f>BE25</f>
        <v>10005.200000000001</v>
      </c>
      <c r="BH25" s="241">
        <f>COUNTIF($BG$10:$BG$29,BG25)</f>
        <v>1</v>
      </c>
    </row>
    <row r="26" spans="1:60" ht="7.5" customHeight="1" x14ac:dyDescent="0.3">
      <c r="A26" s="276"/>
      <c r="B26" s="234"/>
      <c r="C26" s="236"/>
      <c r="D26" s="230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89"/>
      <c r="S26" s="290"/>
      <c r="T26" s="290"/>
      <c r="U26" s="290"/>
      <c r="V26" s="254"/>
      <c r="W26" s="255"/>
      <c r="X26" s="255"/>
      <c r="Y26" s="255"/>
      <c r="Z26" s="255"/>
      <c r="AA26" s="255"/>
      <c r="AB26" s="283"/>
      <c r="AC26" s="285"/>
      <c r="AD26" s="243"/>
      <c r="AE26" s="243"/>
      <c r="AF26" s="243"/>
      <c r="AG26" s="248"/>
      <c r="AH26" s="243"/>
      <c r="AI26" s="243"/>
      <c r="AJ26" s="243"/>
      <c r="AK26" s="248"/>
      <c r="AL26" s="248"/>
      <c r="AM26" s="243"/>
      <c r="AN26" s="243"/>
      <c r="AO26" s="243"/>
      <c r="AP26" s="243"/>
      <c r="AQ26" s="243"/>
      <c r="AR26" s="151"/>
      <c r="AS26" s="148"/>
      <c r="AT26" s="148"/>
      <c r="AU26" s="148"/>
      <c r="AV26" s="152"/>
      <c r="AW26" s="242"/>
      <c r="AX26" s="245"/>
      <c r="AY26" s="245"/>
      <c r="AZ26" s="245"/>
      <c r="BA26" s="242"/>
      <c r="BB26" s="242"/>
      <c r="BC26" s="245"/>
      <c r="BD26" s="242"/>
      <c r="BE26" s="241"/>
      <c r="BF26" s="242"/>
      <c r="BG26" s="242"/>
      <c r="BH26" s="242"/>
    </row>
    <row r="27" spans="1:60" ht="7.5" customHeight="1" x14ac:dyDescent="0.3">
      <c r="A27" s="276"/>
      <c r="B27" s="234"/>
      <c r="C27" s="236"/>
      <c r="D27" s="230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89"/>
      <c r="S27" s="290"/>
      <c r="T27" s="290"/>
      <c r="U27" s="290"/>
      <c r="V27" s="254"/>
      <c r="W27" s="255"/>
      <c r="X27" s="255"/>
      <c r="Y27" s="255"/>
      <c r="Z27" s="255"/>
      <c r="AA27" s="255"/>
      <c r="AB27" s="283"/>
      <c r="AC27" s="285"/>
      <c r="AD27" s="243"/>
      <c r="AE27" s="243"/>
      <c r="AF27" s="243"/>
      <c r="AG27" s="248"/>
      <c r="AH27" s="243"/>
      <c r="AI27" s="243"/>
      <c r="AJ27" s="243"/>
      <c r="AK27" s="248"/>
      <c r="AL27" s="248"/>
      <c r="AM27" s="243"/>
      <c r="AN27" s="243"/>
      <c r="AO27" s="243"/>
      <c r="AP27" s="243"/>
      <c r="AQ27" s="243"/>
      <c r="AR27" s="151"/>
      <c r="AS27" s="148"/>
      <c r="AT27" s="148"/>
      <c r="AU27" s="148"/>
      <c r="AV27" s="152"/>
      <c r="AW27" s="242"/>
      <c r="AX27" s="245"/>
      <c r="AY27" s="245"/>
      <c r="AZ27" s="245"/>
      <c r="BA27" s="242"/>
      <c r="BB27" s="242"/>
      <c r="BC27" s="245"/>
      <c r="BD27" s="242"/>
      <c r="BE27" s="241"/>
      <c r="BF27" s="242"/>
      <c r="BG27" s="242"/>
      <c r="BH27" s="242"/>
    </row>
    <row r="28" spans="1:60" ht="7.5" customHeight="1" x14ac:dyDescent="0.3">
      <c r="A28" s="276">
        <v>68</v>
      </c>
      <c r="B28" s="232">
        <v>68</v>
      </c>
      <c r="C28" s="235">
        <f>VLOOKUP(A28,tDatos[],IF(UTCElegido="",3,12),0)</f>
        <v>46200</v>
      </c>
      <c r="D28" s="231">
        <f>VLOOKUP(A28,tDatos[],IF(UTCElegido="",4,12),0)</f>
        <v>0.70833333333333337</v>
      </c>
      <c r="E28" s="18"/>
      <c r="F28" s="233" t="str">
        <f>VLOOKUP(A28,tDatos[],5,0)</f>
        <v>CROACIA</v>
      </c>
      <c r="G28" s="223" t="str">
        <f>IF(AND(I28&lt;&gt;"",K28&lt;&gt;""),IF(I28=K28,"E",IF(I28&gt;K28,"G","P")),"")</f>
        <v>G</v>
      </c>
      <c r="H28" s="20"/>
      <c r="I28" s="293">
        <v>2</v>
      </c>
      <c r="J28" s="279" t="s">
        <v>0</v>
      </c>
      <c r="K28" s="293">
        <v>0</v>
      </c>
      <c r="L28" s="223" t="str">
        <f>IF(AND(K28&lt;&gt;"",I28&lt;&gt;""),IF(K28=I28,"E",IF(K28&gt;I28,"G","P")),"")</f>
        <v>P</v>
      </c>
      <c r="M28" s="19"/>
      <c r="N28" s="224" t="str">
        <f>VLOOKUP(A28,tDatos[],6,0)</f>
        <v>GHANA</v>
      </c>
      <c r="O28" s="18"/>
      <c r="P28" s="225" t="str">
        <f>VLOOKUP(A28,tDatos[],9,0)</f>
        <v>Filadelfia</v>
      </c>
      <c r="R28" s="289"/>
      <c r="S28" s="290"/>
      <c r="T28" s="290"/>
      <c r="U28" s="290"/>
      <c r="V28" s="254"/>
      <c r="W28" s="255"/>
      <c r="X28" s="255"/>
      <c r="Y28" s="255"/>
      <c r="Z28" s="255"/>
      <c r="AA28" s="255"/>
      <c r="AB28" s="283"/>
      <c r="AC28" s="285"/>
      <c r="AD28" s="243"/>
      <c r="AE28" s="243"/>
      <c r="AF28" s="243"/>
      <c r="AG28" s="248"/>
      <c r="AH28" s="243"/>
      <c r="AI28" s="243"/>
      <c r="AJ28" s="243"/>
      <c r="AK28" s="248"/>
      <c r="AL28" s="248"/>
      <c r="AM28" s="243"/>
      <c r="AN28" s="243"/>
      <c r="AO28" s="243"/>
      <c r="AP28" s="243"/>
      <c r="AQ28" s="243"/>
      <c r="AR28" s="148" t="str">
        <f>F28&amp;N28</f>
        <v>CROACIAGHANA</v>
      </c>
      <c r="AS28" s="148" t="str">
        <f>IF(I28&gt;K28,F28,IF(K28&gt;I28,N28,""))</f>
        <v>CROACIA</v>
      </c>
      <c r="AT28" s="149">
        <f>I28</f>
        <v>2</v>
      </c>
      <c r="AU28" s="149">
        <f>K28</f>
        <v>0</v>
      </c>
      <c r="AV28" s="149">
        <f>AT28-AU28</f>
        <v>2</v>
      </c>
      <c r="AW28" s="242"/>
      <c r="AX28" s="245"/>
      <c r="AY28" s="245"/>
      <c r="AZ28" s="245"/>
      <c r="BA28" s="242"/>
      <c r="BB28" s="242"/>
      <c r="BC28" s="245"/>
      <c r="BD28" s="242"/>
      <c r="BE28" s="241"/>
      <c r="BF28" s="242"/>
      <c r="BG28" s="242"/>
      <c r="BH28" s="242"/>
    </row>
    <row r="29" spans="1:60" ht="7.5" customHeight="1" x14ac:dyDescent="0.3">
      <c r="A29" s="276"/>
      <c r="B29" s="232"/>
      <c r="C29" s="232"/>
      <c r="D29" s="232"/>
      <c r="E29" s="18"/>
      <c r="F29" s="233"/>
      <c r="G29" s="223"/>
      <c r="H29" s="20"/>
      <c r="I29" s="294"/>
      <c r="J29" s="279"/>
      <c r="K29" s="294"/>
      <c r="L29" s="223"/>
      <c r="M29" s="19"/>
      <c r="N29" s="224"/>
      <c r="O29" s="18"/>
      <c r="P29" s="225"/>
      <c r="R29" s="291"/>
      <c r="S29" s="292"/>
      <c r="T29" s="292"/>
      <c r="U29" s="292"/>
      <c r="V29" s="254"/>
      <c r="W29" s="255"/>
      <c r="X29" s="255"/>
      <c r="Y29" s="255"/>
      <c r="Z29" s="255"/>
      <c r="AA29" s="255"/>
      <c r="AB29" s="283"/>
      <c r="AC29" s="286"/>
      <c r="AD29" s="243"/>
      <c r="AE29" s="243"/>
      <c r="AF29" s="243"/>
      <c r="AG29" s="249"/>
      <c r="AH29" s="243"/>
      <c r="AI29" s="243"/>
      <c r="AJ29" s="243"/>
      <c r="AK29" s="249"/>
      <c r="AL29" s="249"/>
      <c r="AM29" s="243"/>
      <c r="AN29" s="243"/>
      <c r="AO29" s="243"/>
      <c r="AP29" s="243"/>
      <c r="AQ29" s="243"/>
      <c r="AR29" s="148" t="str">
        <f>N28&amp;F28</f>
        <v>GHANACROACIA</v>
      </c>
      <c r="AS29" s="148" t="str">
        <f>IF(I28&gt;K28,F28,IF(K28&gt;I28,N28,""))</f>
        <v>CROACIA</v>
      </c>
      <c r="AT29" s="149">
        <f>K28</f>
        <v>0</v>
      </c>
      <c r="AU29" s="149">
        <f>I28</f>
        <v>2</v>
      </c>
      <c r="AV29" s="149">
        <f>AT29-AU29</f>
        <v>-2</v>
      </c>
      <c r="AW29" s="242"/>
      <c r="AX29" s="246"/>
      <c r="AY29" s="246"/>
      <c r="AZ29" s="246"/>
      <c r="BA29" s="242"/>
      <c r="BB29" s="242"/>
      <c r="BC29" s="246"/>
      <c r="BD29" s="242"/>
      <c r="BE29" s="241"/>
      <c r="BF29" s="242"/>
      <c r="BG29" s="242"/>
      <c r="BH29" s="242"/>
    </row>
    <row r="30" spans="1:60" ht="8.1" customHeight="1" x14ac:dyDescent="0.3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">
      <c r="F32" t="str">
        <f>F8</f>
        <v>INGLATERRA</v>
      </c>
      <c r="I32" t="str">
        <f>G8</f>
        <v>E</v>
      </c>
      <c r="J32" t="str">
        <f>G16</f>
        <v>G</v>
      </c>
      <c r="K32" t="str">
        <f>L24</f>
        <v>G</v>
      </c>
    </row>
    <row r="33" spans="6:21" hidden="1" x14ac:dyDescent="0.3">
      <c r="F33" t="str">
        <f>N8</f>
        <v>CROACIA</v>
      </c>
      <c r="I33" t="str">
        <f>L8</f>
        <v>E</v>
      </c>
      <c r="J33" t="str">
        <f>L20</f>
        <v>G</v>
      </c>
      <c r="K33" t="str">
        <f>G28</f>
        <v>G</v>
      </c>
    </row>
    <row r="34" spans="6:21" hidden="1" x14ac:dyDescent="0.3">
      <c r="F34" t="str">
        <f>F12</f>
        <v>GHANA</v>
      </c>
      <c r="I34" t="str">
        <f>G12</f>
        <v>E</v>
      </c>
      <c r="J34" t="str">
        <f>L16</f>
        <v>P</v>
      </c>
      <c r="K34" t="str">
        <f>L28</f>
        <v>P</v>
      </c>
    </row>
    <row r="35" spans="6:21" hidden="1" x14ac:dyDescent="0.3">
      <c r="F35" t="str">
        <f>N12</f>
        <v>PANAMÁ</v>
      </c>
      <c r="I35" t="str">
        <f>L12</f>
        <v>E</v>
      </c>
      <c r="J35" t="str">
        <f>G20</f>
        <v>P</v>
      </c>
      <c r="K35" t="str">
        <f>G24</f>
        <v>P</v>
      </c>
    </row>
    <row r="36" spans="6:21" x14ac:dyDescent="0.3">
      <c r="N36" s="157" t="s">
        <v>391</v>
      </c>
      <c r="Q36" s="3" t="s">
        <v>392</v>
      </c>
      <c r="R36" s="250" t="s">
        <v>11</v>
      </c>
      <c r="S36" s="251"/>
      <c r="T36" s="251"/>
      <c r="U36" s="252"/>
    </row>
    <row r="37" spans="6:21" x14ac:dyDescent="0.3">
      <c r="N37" s="157" t="s">
        <v>390</v>
      </c>
      <c r="Q37" s="3" t="s">
        <v>393</v>
      </c>
      <c r="R37" s="250" t="s">
        <v>15</v>
      </c>
      <c r="S37" s="251"/>
      <c r="T37" s="251"/>
      <c r="U37" s="252"/>
    </row>
    <row r="38" spans="6:21" x14ac:dyDescent="0.3">
      <c r="N38" s="143"/>
      <c r="Q38" s="3" t="s">
        <v>394</v>
      </c>
      <c r="R38" s="250" t="s">
        <v>68</v>
      </c>
      <c r="S38" s="251"/>
      <c r="T38" s="251"/>
      <c r="U38" s="252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conditionalFormatting sqref="R36:U38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topLeftCell="A14" workbookViewId="0">
      <selection activeCell="J74" sqref="J74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0.6640625" customWidth="1"/>
    <col min="7" max="7" width="2.1093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2.33203125" hidden="1" customWidth="1"/>
    <col min="13" max="13" width="0.88671875" customWidth="1"/>
    <col min="14" max="14" width="20.6640625" customWidth="1"/>
    <col min="15" max="15" width="0.88671875" customWidth="1"/>
    <col min="16" max="16" width="14.6640625" customWidth="1"/>
    <col min="17" max="17" width="0.88671875" customWidth="1"/>
    <col min="18" max="18" width="19.5546875" bestFit="1" customWidth="1"/>
    <col min="19" max="19" width="6.6640625" customWidth="1"/>
    <col min="20" max="20" width="5.6640625" customWidth="1"/>
    <col min="21" max="21" width="19.109375" customWidth="1"/>
    <col min="22" max="24" width="5.6640625" customWidth="1"/>
    <col min="25" max="25" width="2.33203125" hidden="1" customWidth="1"/>
    <col min="26" max="26" width="5.6640625" hidden="1" customWidth="1"/>
    <col min="27" max="27" width="16.6640625" hidden="1" customWidth="1"/>
    <col min="28" max="28" width="3.88671875" hidden="1" customWidth="1"/>
    <col min="29" max="29" width="3.33203125" hidden="1" customWidth="1"/>
    <col min="30" max="30" width="3" hidden="1" customWidth="1"/>
    <col min="31" max="31" width="5.5546875" hidden="1" customWidth="1"/>
    <col min="32" max="33" width="2.33203125" hidden="1" customWidth="1"/>
    <col min="34" max="34" width="1.6640625" hidden="1" customWidth="1"/>
    <col min="35" max="35" width="5.6640625" customWidth="1"/>
    <col min="36" max="36" width="16.6640625" customWidth="1"/>
    <col min="37" max="37" width="3.5546875" customWidth="1"/>
    <col min="38" max="38" width="6.5546875" hidden="1" customWidth="1"/>
  </cols>
  <sheetData>
    <row r="1" spans="1:38" ht="25.5" customHeight="1" x14ac:dyDescent="0.3"/>
    <row r="2" spans="1:38" ht="35.25" customHeight="1" x14ac:dyDescent="0.3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304" t="s">
        <v>947</v>
      </c>
      <c r="U2" s="304"/>
      <c r="V2" s="304"/>
      <c r="W2" s="304"/>
      <c r="X2" s="304"/>
    </row>
    <row r="3" spans="1:38" ht="15" customHeight="1" x14ac:dyDescent="0.3">
      <c r="T3" s="304"/>
      <c r="U3" s="304"/>
      <c r="V3" s="304"/>
      <c r="W3" s="304"/>
      <c r="X3" s="304"/>
    </row>
    <row r="4" spans="1:38" ht="15" customHeight="1" x14ac:dyDescent="0.3">
      <c r="T4" s="305" t="s">
        <v>948</v>
      </c>
      <c r="U4" s="305"/>
      <c r="V4" s="305"/>
      <c r="W4" s="305"/>
      <c r="X4" s="305"/>
    </row>
    <row r="5" spans="1:38" ht="18" customHeight="1" thickBot="1" x14ac:dyDescent="0.35">
      <c r="B5" s="28" t="s">
        <v>61</v>
      </c>
      <c r="T5" s="305"/>
      <c r="U5" s="305"/>
      <c r="V5" s="305"/>
      <c r="W5" s="305"/>
      <c r="X5" s="305"/>
    </row>
    <row r="6" spans="1:38" ht="18" customHeight="1" thickBo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R6" s="50" t="s">
        <v>36</v>
      </c>
      <c r="T6" s="326" t="s">
        <v>943</v>
      </c>
      <c r="U6" s="327"/>
      <c r="V6" s="327"/>
      <c r="W6" s="327"/>
      <c r="X6" s="327"/>
      <c r="AL6" t="b">
        <f>COUNTIF(AI11:AI68,"! ")&gt;0</f>
        <v>1</v>
      </c>
    </row>
    <row r="7" spans="1:38" ht="3.9" customHeight="1" thickBo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3">
      <c r="A8" s="276">
        <v>73</v>
      </c>
      <c r="B8" s="234">
        <v>73</v>
      </c>
      <c r="C8" s="235">
        <f>VLOOKUP(A8,tDatos[],IF(UTCElegido="",3,12),0)</f>
        <v>46201</v>
      </c>
      <c r="D8" s="231">
        <f>VLOOKUP(A8,tDatos[],IF(UTCElegido="",4,12),0)</f>
        <v>0.625</v>
      </c>
      <c r="E8" s="27" t="str">
        <f>IF(F8="","vacía",SUBSTITUTE(F8," ","_"))</f>
        <v>REP._CHECA</v>
      </c>
      <c r="F8" s="233" t="str">
        <f>IF($AL$8=144,VLOOKUP(A8,tDatos[],5,0),"")</f>
        <v>REP. CHECA</v>
      </c>
      <c r="G8" s="223" t="str">
        <f>IF(AND(I8&lt;&gt;"",K8&lt;&gt;""),IF(I8=K8,"E",IF(I8&gt;K8,"G","P")),"")</f>
        <v>G</v>
      </c>
      <c r="H8" s="20"/>
      <c r="I8" s="221">
        <v>1</v>
      </c>
      <c r="J8" s="223" t="s">
        <v>0</v>
      </c>
      <c r="K8" s="221">
        <v>0</v>
      </c>
      <c r="L8" s="223" t="str">
        <f>IF(AND(K8&lt;&gt;"",I8&lt;&gt;""),IF(K8=I8,"E",IF(K8&gt;I8,"G","P")),"")</f>
        <v>P</v>
      </c>
      <c r="M8" s="19"/>
      <c r="N8" s="224" t="str">
        <f>IF($AL$8=144,VLOOKUP(A8,tDatos[],6,0),"")</f>
        <v>CATAR</v>
      </c>
      <c r="O8" s="27" t="str">
        <f>IF(N8="","vacía",SUBSTITUTE(N8," ","_"))</f>
        <v>CATAR</v>
      </c>
      <c r="P8" s="225" t="str">
        <f>VLOOKUP(A8,tDatos[],9,0)</f>
        <v>Los Angeles</v>
      </c>
      <c r="R8" s="218" t="str">
        <f>IF(G8="","",IF(G8="E","Suma los penales",IF(G8="G",F8,N8)))</f>
        <v>REP. CHECA</v>
      </c>
      <c r="T8" s="260" t="s">
        <v>942</v>
      </c>
      <c r="U8" s="261" t="s">
        <v>425</v>
      </c>
      <c r="V8" s="261" t="s">
        <v>270</v>
      </c>
      <c r="W8" s="260" t="s">
        <v>271</v>
      </c>
      <c r="X8" s="260" t="s">
        <v>7</v>
      </c>
      <c r="Y8" s="260"/>
      <c r="Z8" s="260" t="s">
        <v>941</v>
      </c>
      <c r="AA8" s="318" t="s">
        <v>425</v>
      </c>
      <c r="AB8" s="318" t="s">
        <v>3</v>
      </c>
      <c r="AC8" s="318" t="s">
        <v>271</v>
      </c>
      <c r="AD8" s="318" t="s">
        <v>7</v>
      </c>
      <c r="AE8" s="318"/>
      <c r="AF8" s="228"/>
      <c r="AG8" s="12"/>
      <c r="AJ8" s="328" t="s">
        <v>946</v>
      </c>
      <c r="AL8" s="228">
        <f>A!AO6+B!AO6+'C'!AO6+D!AO6+E!AO6+F!AO6+G!AO6+H!AO6+I!AO6+J!AO6+K!AO6+L!AO6</f>
        <v>144</v>
      </c>
    </row>
    <row r="9" spans="1:38" ht="7.5" customHeight="1" thickBot="1" x14ac:dyDescent="0.35">
      <c r="A9" s="276"/>
      <c r="B9" s="234"/>
      <c r="C9" s="232"/>
      <c r="D9" s="232"/>
      <c r="E9" s="18"/>
      <c r="F9" s="233"/>
      <c r="G9" s="223"/>
      <c r="H9" s="20"/>
      <c r="I9" s="222"/>
      <c r="J9" s="223"/>
      <c r="K9" s="222"/>
      <c r="L9" s="223"/>
      <c r="M9" s="19"/>
      <c r="N9" s="224"/>
      <c r="O9" s="18"/>
      <c r="P9" s="225"/>
      <c r="R9" s="219"/>
      <c r="T9" s="317"/>
      <c r="U9" s="262"/>
      <c r="V9" s="262"/>
      <c r="W9" s="317"/>
      <c r="X9" s="317"/>
      <c r="Y9" s="260"/>
      <c r="Z9" s="260"/>
      <c r="AA9" s="318"/>
      <c r="AB9" s="318"/>
      <c r="AC9" s="318"/>
      <c r="AD9" s="318"/>
      <c r="AE9" s="318"/>
      <c r="AF9" s="228"/>
      <c r="AG9" s="12"/>
      <c r="AJ9" s="328"/>
      <c r="AL9" s="228"/>
    </row>
    <row r="10" spans="1:38" ht="7.5" customHeight="1" x14ac:dyDescent="0.3">
      <c r="A10" s="297"/>
      <c r="B10" s="295"/>
      <c r="C10" s="314"/>
      <c r="D10" s="313"/>
      <c r="E10" s="18"/>
      <c r="F10" s="227"/>
      <c r="G10" s="18"/>
      <c r="H10" s="18"/>
      <c r="I10" s="223"/>
      <c r="J10" s="223"/>
      <c r="K10" s="223"/>
      <c r="L10" s="18"/>
      <c r="M10" s="18"/>
      <c r="N10" s="224"/>
      <c r="O10" s="18"/>
      <c r="P10" s="229"/>
      <c r="R10" s="220"/>
      <c r="T10" s="307">
        <v>1</v>
      </c>
      <c r="U10" s="310" t="str">
        <f>VLOOKUP(T10,$Z$10:$AA$69,2,0)</f>
        <v>JAPÓN</v>
      </c>
      <c r="V10" s="310">
        <f>VLOOKUP(T10,$Z$10:$AB$69,3,0)</f>
        <v>4</v>
      </c>
      <c r="W10" s="307">
        <f>VLOOKUP(T10,$Z$10:$AC$69,4,0)</f>
        <v>-1</v>
      </c>
      <c r="X10" s="307">
        <f>VLOOKUP(T10,$Z$10:$AD$69,5,0)</f>
        <v>5</v>
      </c>
      <c r="Y10" s="306" t="str">
        <f>VLOOKUP(T10,$Z$10:$AF$69,7,0)</f>
        <v>F</v>
      </c>
      <c r="Z10" s="306">
        <f>RANK(AE10,$AE$10:$AE$69)</f>
        <v>4</v>
      </c>
      <c r="AA10" s="306" t="str">
        <f>TerceroA</f>
        <v>SUDÁFRICA</v>
      </c>
      <c r="AB10" s="306">
        <f>A!$AC$20</f>
        <v>3</v>
      </c>
      <c r="AC10" s="306">
        <f>A!$AB$20</f>
        <v>0</v>
      </c>
      <c r="AD10" s="306">
        <f>A!$Z$20</f>
        <v>3</v>
      </c>
      <c r="AE10" s="306">
        <f>AB10*10000+AC10*1000+AD10*100+11+_xlfn.IFNA(VLOOKUP(AA10,$AJ$11:$AL$68,3,0)-11,0)</f>
        <v>30311</v>
      </c>
      <c r="AF10" s="306" t="s">
        <v>426</v>
      </c>
      <c r="AG10" s="306">
        <f>V10*100+W10*10+X10</f>
        <v>395</v>
      </c>
    </row>
    <row r="11" spans="1:38" ht="7.5" customHeight="1" thickBot="1" x14ac:dyDescent="0.35">
      <c r="A11" s="297"/>
      <c r="B11" s="295"/>
      <c r="C11" s="314"/>
      <c r="D11" s="313"/>
      <c r="E11" s="18"/>
      <c r="F11" s="227"/>
      <c r="G11" s="18"/>
      <c r="H11" s="18"/>
      <c r="I11" s="223"/>
      <c r="J11" s="223"/>
      <c r="K11" s="223"/>
      <c r="L11" s="18"/>
      <c r="M11" s="18"/>
      <c r="N11" s="224"/>
      <c r="O11" s="18"/>
      <c r="P11" s="229"/>
      <c r="R11" s="220"/>
      <c r="T11" s="308"/>
      <c r="U11" s="311"/>
      <c r="V11" s="311"/>
      <c r="W11" s="308"/>
      <c r="X11" s="308"/>
      <c r="Y11" s="306"/>
      <c r="Z11" s="306"/>
      <c r="AA11" s="306"/>
      <c r="AB11" s="306"/>
      <c r="AC11" s="306"/>
      <c r="AD11" s="306"/>
      <c r="AE11" s="306"/>
      <c r="AF11" s="306"/>
      <c r="AG11" s="306"/>
      <c r="AI11" s="325" t="str">
        <f>IF(AND($AL$8=144,COUNTIF($AG$10:$AG$69,AG10)&gt;1),"! ","")</f>
        <v/>
      </c>
      <c r="AJ11" s="298"/>
      <c r="AL11" s="228">
        <v>1.2</v>
      </c>
    </row>
    <row r="12" spans="1:38" ht="7.5" customHeight="1" x14ac:dyDescent="0.3">
      <c r="A12" s="276">
        <v>74</v>
      </c>
      <c r="B12" s="234">
        <v>76</v>
      </c>
      <c r="C12" s="235">
        <f>VLOOKUP(A12,tDatos[],IF(UTCElegido="",3,12),0)</f>
        <v>46202</v>
      </c>
      <c r="D12" s="231">
        <f>VLOOKUP(A12,tDatos[],IF(UTCElegido="",4,12),0)</f>
        <v>0.54166666666424135</v>
      </c>
      <c r="E12" s="27" t="str">
        <f>IF(F12="","vacía",SUBSTITUTE(F12," ","_"))</f>
        <v>BRASIL</v>
      </c>
      <c r="F12" s="233" t="str">
        <f>IF($AL$8=144,VLOOKUP(A12,tDatos[],5,0),"")</f>
        <v>BRASIL</v>
      </c>
      <c r="G12" s="223" t="str">
        <f>IF(AND(I12&lt;&gt;"",K12&lt;&gt;""),IF(I12=K12,"E",IF(I12&gt;K12,"G","P")),"")</f>
        <v>G</v>
      </c>
      <c r="H12" s="20"/>
      <c r="I12" s="221">
        <v>2</v>
      </c>
      <c r="J12" s="223" t="s">
        <v>0</v>
      </c>
      <c r="K12" s="221">
        <v>1</v>
      </c>
      <c r="L12" s="223" t="str">
        <f>IF(AND(K12&lt;&gt;"",I12&lt;&gt;""),IF(K12=I12,"E",IF(K12&gt;I12,"G","P")),"")</f>
        <v>P</v>
      </c>
      <c r="M12" s="19"/>
      <c r="N12" s="224" t="str">
        <f>IF($AL$8=144,VLOOKUP(A12,tDatos[],6,0),"")</f>
        <v>SUECIA</v>
      </c>
      <c r="O12" s="27" t="str">
        <f>IF(N12="","vacía",SUBSTITUTE(N12," ","_"))</f>
        <v>SUECIA</v>
      </c>
      <c r="P12" s="225" t="str">
        <f>VLOOKUP(A12,tDatos[],9,0)</f>
        <v>Houston</v>
      </c>
      <c r="R12" s="218" t="str">
        <f>IF(G12="","",IF(G12="E","Suma los penales",IF(G12="G",F12,N12)))</f>
        <v>BRASIL</v>
      </c>
      <c r="T12" s="308"/>
      <c r="U12" s="311"/>
      <c r="V12" s="311"/>
      <c r="W12" s="308"/>
      <c r="X12" s="308"/>
      <c r="Y12" s="306"/>
      <c r="Z12" s="306"/>
      <c r="AA12" s="306"/>
      <c r="AB12" s="306"/>
      <c r="AC12" s="306"/>
      <c r="AD12" s="306"/>
      <c r="AE12" s="306"/>
      <c r="AF12" s="306"/>
      <c r="AG12" s="306"/>
      <c r="AI12" s="325"/>
      <c r="AJ12" s="299"/>
      <c r="AL12" s="228"/>
    </row>
    <row r="13" spans="1:38" ht="7.5" customHeight="1" thickBot="1" x14ac:dyDescent="0.35">
      <c r="A13" s="276"/>
      <c r="B13" s="234"/>
      <c r="C13" s="232"/>
      <c r="D13" s="232"/>
      <c r="E13" s="18"/>
      <c r="F13" s="233"/>
      <c r="G13" s="223"/>
      <c r="H13" s="20"/>
      <c r="I13" s="222"/>
      <c r="J13" s="223"/>
      <c r="K13" s="222"/>
      <c r="L13" s="223"/>
      <c r="M13" s="19"/>
      <c r="N13" s="224"/>
      <c r="O13" s="18"/>
      <c r="P13" s="225"/>
      <c r="R13" s="219"/>
      <c r="T13" s="308"/>
      <c r="U13" s="311"/>
      <c r="V13" s="311"/>
      <c r="W13" s="308"/>
      <c r="X13" s="308"/>
      <c r="Y13" s="306"/>
      <c r="Z13" s="306"/>
      <c r="AA13" s="306"/>
      <c r="AB13" s="306"/>
      <c r="AC13" s="306"/>
      <c r="AD13" s="306"/>
      <c r="AE13" s="306"/>
      <c r="AF13" s="306"/>
      <c r="AG13" s="306"/>
      <c r="AI13" s="325"/>
      <c r="AJ13" s="300"/>
      <c r="AL13" s="228"/>
    </row>
    <row r="14" spans="1:38" ht="7.5" customHeight="1" x14ac:dyDescent="0.3">
      <c r="A14" s="297"/>
      <c r="B14" s="295"/>
      <c r="C14" s="314"/>
      <c r="D14" s="313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20"/>
      <c r="T14" s="309"/>
      <c r="U14" s="312"/>
      <c r="V14" s="312"/>
      <c r="W14" s="309"/>
      <c r="X14" s="309"/>
      <c r="Y14" s="306"/>
      <c r="Z14" s="306"/>
      <c r="AA14" s="306"/>
      <c r="AB14" s="306"/>
      <c r="AC14" s="306"/>
      <c r="AD14" s="306"/>
      <c r="AE14" s="306"/>
      <c r="AF14" s="306"/>
      <c r="AG14" s="306"/>
    </row>
    <row r="15" spans="1:38" ht="7.5" customHeight="1" thickBot="1" x14ac:dyDescent="0.35">
      <c r="A15" s="297"/>
      <c r="B15" s="295"/>
      <c r="C15" s="314"/>
      <c r="D15" s="313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20"/>
      <c r="T15" s="307">
        <v>2</v>
      </c>
      <c r="U15" s="310" t="str">
        <f>VLOOKUP(T15,$Z$10:$AA$69,2,0)</f>
        <v>PARAGUAY</v>
      </c>
      <c r="V15" s="310">
        <f>VLOOKUP(T15,$Z$10:$AB$69,3,0)</f>
        <v>4</v>
      </c>
      <c r="W15" s="307">
        <f>VLOOKUP(T15,$Z$10:$AC$69,4,0)</f>
        <v>-1</v>
      </c>
      <c r="X15" s="307">
        <f>VLOOKUP(T15,$Z$10:$AD$69,5,0)</f>
        <v>4</v>
      </c>
      <c r="Y15" s="306" t="str">
        <f>VLOOKUP(T15,$Z$10:$AF$69,7,0)</f>
        <v>D</v>
      </c>
      <c r="Z15" s="306">
        <f>RANK(AE15,$AE$10:$AE$69)</f>
        <v>9</v>
      </c>
      <c r="AA15" s="306" t="str">
        <f>TerceroB</f>
        <v>CANADÁ</v>
      </c>
      <c r="AB15" s="306">
        <f>B!$AC$20</f>
        <v>2</v>
      </c>
      <c r="AC15" s="306">
        <f>B!$AB$20</f>
        <v>-3</v>
      </c>
      <c r="AD15" s="306">
        <f>B!$Z$20</f>
        <v>1</v>
      </c>
      <c r="AE15" s="306">
        <f>AB15*10000+AC15*1000+AD15*100+10+_xlfn.IFNA(VLOOKUP(AA15,$AJ$11:$AL$68,3,0)-10,0)</f>
        <v>17110</v>
      </c>
      <c r="AF15" s="306" t="s">
        <v>427</v>
      </c>
      <c r="AG15" s="306">
        <f>V15*100+W15*10+X15</f>
        <v>394</v>
      </c>
    </row>
    <row r="16" spans="1:38" ht="7.5" customHeight="1" x14ac:dyDescent="0.3">
      <c r="A16" s="276">
        <v>75</v>
      </c>
      <c r="B16" s="234">
        <v>74</v>
      </c>
      <c r="C16" s="235">
        <f>VLOOKUP(A16,tDatos[],IF(UTCElegido="",3,12),0)</f>
        <v>46202</v>
      </c>
      <c r="D16" s="231">
        <f>VLOOKUP(A16,tDatos[],IF(UTCElegido="",4,12),0)</f>
        <v>0.6875</v>
      </c>
      <c r="E16" s="27" t="str">
        <f>IF(F16="","vacía",SUBSTITUTE(F16," ","_"))</f>
        <v>ALEMANIA</v>
      </c>
      <c r="F16" s="233" t="str">
        <f>IF($AL$8=144,VLOOKUP(A16,tDatos[],5,0),"")</f>
        <v>ALEMANIA</v>
      </c>
      <c r="G16" s="223" t="str">
        <f>IF(AND(I16&lt;&gt;"",K16&lt;&gt;""),IF(I16=K16,"E",IF(I16&gt;K16,"G","P")),"")</f>
        <v>G</v>
      </c>
      <c r="H16" s="20"/>
      <c r="I16" s="221">
        <v>2</v>
      </c>
      <c r="J16" s="223" t="s">
        <v>0</v>
      </c>
      <c r="K16" s="221">
        <v>0</v>
      </c>
      <c r="L16" s="223" t="str">
        <f>IF(AND(K16&lt;&gt;"",I16&lt;&gt;""),IF(K16=I16,"E",IF(K16&gt;I16,"G","P")),"")</f>
        <v>P</v>
      </c>
      <c r="M16" s="19"/>
      <c r="N16" s="224" t="str">
        <f>IF($AL$8=144,VLOOKUP(A16,tDatos[],6,0),"")</f>
        <v>PARAGUAY</v>
      </c>
      <c r="O16" s="27" t="str">
        <f>IF(N16="","vacía",SUBSTITUTE(N16," ","_"))</f>
        <v>PARAGUAY</v>
      </c>
      <c r="P16" s="225" t="str">
        <f>VLOOKUP(A16,tDatos[],9,0)</f>
        <v>Boston</v>
      </c>
      <c r="R16" s="218" t="str">
        <f>IF(G16="","",IF(G16="E","Suma los penales",IF(G16="G",F16,N16)))</f>
        <v>ALEMANIA</v>
      </c>
      <c r="T16" s="308"/>
      <c r="U16" s="311"/>
      <c r="V16" s="311"/>
      <c r="W16" s="308"/>
      <c r="X16" s="308"/>
      <c r="Y16" s="306"/>
      <c r="Z16" s="306"/>
      <c r="AA16" s="306"/>
      <c r="AB16" s="306"/>
      <c r="AC16" s="306"/>
      <c r="AD16" s="306"/>
      <c r="AE16" s="306"/>
      <c r="AF16" s="306"/>
      <c r="AG16" s="306"/>
      <c r="AI16" s="325" t="str">
        <f>IF(AND($AL$8=144,COUNTIF($AG$10:$AG$69,AG15)&gt;1),"! ","")</f>
        <v/>
      </c>
      <c r="AJ16" s="298"/>
      <c r="AL16" s="228">
        <v>1.1000000000000001</v>
      </c>
    </row>
    <row r="17" spans="1:38" ht="7.5" customHeight="1" thickBot="1" x14ac:dyDescent="0.35">
      <c r="A17" s="276"/>
      <c r="B17" s="234"/>
      <c r="C17" s="232"/>
      <c r="D17" s="232"/>
      <c r="E17" s="18"/>
      <c r="F17" s="233"/>
      <c r="G17" s="223"/>
      <c r="H17" s="20"/>
      <c r="I17" s="222"/>
      <c r="J17" s="223"/>
      <c r="K17" s="222"/>
      <c r="L17" s="223"/>
      <c r="M17" s="19"/>
      <c r="N17" s="224"/>
      <c r="O17" s="18"/>
      <c r="P17" s="225"/>
      <c r="R17" s="219"/>
      <c r="T17" s="308"/>
      <c r="U17" s="311"/>
      <c r="V17" s="311"/>
      <c r="W17" s="308"/>
      <c r="X17" s="308"/>
      <c r="Y17" s="306"/>
      <c r="Z17" s="306"/>
      <c r="AA17" s="306"/>
      <c r="AB17" s="306"/>
      <c r="AC17" s="306"/>
      <c r="AD17" s="306"/>
      <c r="AE17" s="306"/>
      <c r="AF17" s="306"/>
      <c r="AG17" s="306"/>
      <c r="AI17" s="325"/>
      <c r="AJ17" s="299"/>
      <c r="AL17" s="228"/>
    </row>
    <row r="18" spans="1:38" ht="7.5" customHeight="1" x14ac:dyDescent="0.3">
      <c r="A18" s="185"/>
      <c r="B18" s="17"/>
      <c r="C18" s="314"/>
      <c r="D18" s="313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20"/>
      <c r="T18" s="308"/>
      <c r="U18" s="311"/>
      <c r="V18" s="311"/>
      <c r="W18" s="308"/>
      <c r="X18" s="308"/>
      <c r="Y18" s="306"/>
      <c r="Z18" s="306"/>
      <c r="AA18" s="306"/>
      <c r="AB18" s="306"/>
      <c r="AC18" s="306"/>
      <c r="AD18" s="306"/>
      <c r="AE18" s="306"/>
      <c r="AF18" s="306"/>
      <c r="AG18" s="306"/>
      <c r="AI18" s="325"/>
      <c r="AJ18" s="300"/>
      <c r="AL18" s="228"/>
    </row>
    <row r="19" spans="1:38" ht="7.5" customHeight="1" thickBot="1" x14ac:dyDescent="0.35">
      <c r="A19" s="185"/>
      <c r="B19" s="17"/>
      <c r="C19" s="314"/>
      <c r="D19" s="313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20"/>
      <c r="T19" s="309"/>
      <c r="U19" s="312"/>
      <c r="V19" s="312"/>
      <c r="W19" s="309"/>
      <c r="X19" s="309"/>
      <c r="Y19" s="306"/>
      <c r="Z19" s="306"/>
      <c r="AA19" s="306"/>
      <c r="AB19" s="306"/>
      <c r="AC19" s="306"/>
      <c r="AD19" s="306"/>
      <c r="AE19" s="306"/>
      <c r="AF19" s="306"/>
      <c r="AG19" s="306"/>
    </row>
    <row r="20" spans="1:38" ht="7.5" customHeight="1" x14ac:dyDescent="0.3">
      <c r="A20" s="276">
        <v>76</v>
      </c>
      <c r="B20" s="234">
        <v>75</v>
      </c>
      <c r="C20" s="235">
        <f>VLOOKUP(A20,tDatos[],IF(UTCElegido="",3,12),0)</f>
        <v>46202</v>
      </c>
      <c r="D20" s="231">
        <f>VLOOKUP(A20,tDatos[],IF(UTCElegido="",4,12),0)</f>
        <v>0.875</v>
      </c>
      <c r="E20" s="27" t="str">
        <f>IF(F20="","vacía",SUBSTITUTE(F20," ","_"))</f>
        <v>PAÍSES_BAJOS</v>
      </c>
      <c r="F20" s="233" t="str">
        <f>IF($AL$8=144,VLOOKUP(A20,tDatos[],5,0),"")</f>
        <v>PAÍSES BAJOS</v>
      </c>
      <c r="G20" s="223" t="str">
        <f>IF(AND(I20&lt;&gt;"",K20&lt;&gt;""),IF(I20=K20,"E",IF(I20&gt;K20,"G","P")),"")</f>
        <v>G</v>
      </c>
      <c r="H20" s="20"/>
      <c r="I20" s="221">
        <v>2</v>
      </c>
      <c r="J20" s="223" t="s">
        <v>0</v>
      </c>
      <c r="K20" s="221">
        <v>1</v>
      </c>
      <c r="L20" s="223" t="str">
        <f>IF(AND(K20&lt;&gt;"",I20&lt;&gt;""),IF(K20=I20,"E",IF(K20&gt;I20,"G","P")),"")</f>
        <v>P</v>
      </c>
      <c r="M20" s="19"/>
      <c r="N20" s="224" t="str">
        <f>IF($AL$8=144,VLOOKUP(A20,tDatos[],6,0),"")</f>
        <v>MARRUECOS</v>
      </c>
      <c r="O20" s="27" t="str">
        <f>IF(N20="","vacía",SUBSTITUTE(N20," ","_"))</f>
        <v>MARRUECOS</v>
      </c>
      <c r="P20" s="225" t="str">
        <f>VLOOKUP(A20,tDatos[],9,0)</f>
        <v>Monterrey</v>
      </c>
      <c r="R20" s="218" t="str">
        <f>IF(G20="","",IF(G20="E","Suma los penales",IF(G20="G",F20,N20)))</f>
        <v>PAÍSES BAJOS</v>
      </c>
      <c r="T20" s="307">
        <v>3</v>
      </c>
      <c r="U20" s="310" t="str">
        <f>VLOOKUP(T20,$Z$10:$AA$69,2,0)</f>
        <v>REP. del CONGO</v>
      </c>
      <c r="V20" s="310">
        <f>VLOOKUP(T20,$Z$10:$AB$69,3,0)</f>
        <v>3</v>
      </c>
      <c r="W20" s="307">
        <f>VLOOKUP(T20,$Z$10:$AC$69,4,0)</f>
        <v>0</v>
      </c>
      <c r="X20" s="307">
        <f>VLOOKUP(T20,$Z$10:$AD$69,5,0)</f>
        <v>5</v>
      </c>
      <c r="Y20" s="306" t="str">
        <f>VLOOKUP(T20,$Z$10:$AF$69,7,0)</f>
        <v>K</v>
      </c>
      <c r="Z20" s="306">
        <f>RANK(AE20,$AE$10:$AE$69)</f>
        <v>6</v>
      </c>
      <c r="AA20" s="306" t="str">
        <f>TerceroC</f>
        <v>ESCOCIA</v>
      </c>
      <c r="AB20" s="306">
        <f>'C'!$AC$20</f>
        <v>3</v>
      </c>
      <c r="AC20" s="306">
        <f>'C'!$AB$20</f>
        <v>-3</v>
      </c>
      <c r="AD20" s="306">
        <f>'C'!$Z$20</f>
        <v>4</v>
      </c>
      <c r="AE20" s="306">
        <f>AB20*10000+AC20*1000+AD20*100+9+_xlfn.IFNA(VLOOKUP(AA20,$AJ$11:$AL$68,3,0)-9,0)</f>
        <v>27409</v>
      </c>
      <c r="AF20" s="306" t="s">
        <v>428</v>
      </c>
      <c r="AG20" s="306">
        <f>V20*100+W20*10+X20</f>
        <v>305</v>
      </c>
    </row>
    <row r="21" spans="1:38" ht="7.5" customHeight="1" thickBot="1" x14ac:dyDescent="0.35">
      <c r="A21" s="276"/>
      <c r="B21" s="234"/>
      <c r="C21" s="232"/>
      <c r="D21" s="232"/>
      <c r="E21" s="18"/>
      <c r="F21" s="233"/>
      <c r="G21" s="223"/>
      <c r="H21" s="20"/>
      <c r="I21" s="222"/>
      <c r="J21" s="223"/>
      <c r="K21" s="222"/>
      <c r="L21" s="223"/>
      <c r="M21" s="19"/>
      <c r="N21" s="224"/>
      <c r="O21" s="18"/>
      <c r="P21" s="225"/>
      <c r="R21" s="219"/>
      <c r="T21" s="308"/>
      <c r="U21" s="311"/>
      <c r="V21" s="311"/>
      <c r="W21" s="308"/>
      <c r="X21" s="308"/>
      <c r="Y21" s="306"/>
      <c r="Z21" s="306"/>
      <c r="AA21" s="306"/>
      <c r="AB21" s="306"/>
      <c r="AC21" s="306"/>
      <c r="AD21" s="306"/>
      <c r="AE21" s="306"/>
      <c r="AF21" s="306"/>
      <c r="AG21" s="306"/>
      <c r="AI21" s="325" t="str">
        <f>IF(AND($AL$8=144,COUNTIF($AG$10:$AG$69,AG20)&gt;1),"! ","")</f>
        <v/>
      </c>
      <c r="AJ21" s="298"/>
      <c r="AL21" s="228">
        <v>1</v>
      </c>
    </row>
    <row r="22" spans="1:38" ht="7.5" customHeight="1" x14ac:dyDescent="0.3">
      <c r="A22" s="185"/>
      <c r="B22" s="17"/>
      <c r="C22" s="314"/>
      <c r="D22" s="313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20"/>
      <c r="T22" s="308"/>
      <c r="U22" s="311"/>
      <c r="V22" s="311"/>
      <c r="W22" s="308"/>
      <c r="X22" s="308"/>
      <c r="Y22" s="306"/>
      <c r="Z22" s="306"/>
      <c r="AA22" s="306"/>
      <c r="AB22" s="306"/>
      <c r="AC22" s="306"/>
      <c r="AD22" s="306"/>
      <c r="AE22" s="306"/>
      <c r="AF22" s="306"/>
      <c r="AG22" s="306"/>
      <c r="AI22" s="325"/>
      <c r="AJ22" s="299"/>
      <c r="AL22" s="228"/>
    </row>
    <row r="23" spans="1:38" ht="7.5" customHeight="1" thickBot="1" x14ac:dyDescent="0.35">
      <c r="A23" s="185"/>
      <c r="B23" s="17"/>
      <c r="C23" s="314"/>
      <c r="D23" s="313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20"/>
      <c r="T23" s="308"/>
      <c r="U23" s="311"/>
      <c r="V23" s="311"/>
      <c r="W23" s="308"/>
      <c r="X23" s="308"/>
      <c r="Y23" s="306"/>
      <c r="Z23" s="306"/>
      <c r="AA23" s="306"/>
      <c r="AB23" s="306"/>
      <c r="AC23" s="306"/>
      <c r="AD23" s="306"/>
      <c r="AE23" s="306"/>
      <c r="AF23" s="306"/>
      <c r="AG23" s="306"/>
      <c r="AI23" s="325"/>
      <c r="AJ23" s="300"/>
      <c r="AL23" s="228"/>
    </row>
    <row r="24" spans="1:38" ht="7.5" customHeight="1" x14ac:dyDescent="0.3">
      <c r="A24" s="276">
        <v>77</v>
      </c>
      <c r="B24" s="234">
        <v>78</v>
      </c>
      <c r="C24" s="235">
        <f>VLOOKUP(A24,tDatos[],IF(UTCElegido="",3,12),0)</f>
        <v>46203</v>
      </c>
      <c r="D24" s="231">
        <f>VLOOKUP(A24,tDatos[],IF(UTCElegido="",4,12),0)</f>
        <v>0.54166666666424135</v>
      </c>
      <c r="E24" s="27" t="str">
        <f>IF(F24="","vacía",SUBSTITUTE(F24," ","_"))</f>
        <v>ECUADOR</v>
      </c>
      <c r="F24" s="233" t="str">
        <f>IF($AL$8=144,VLOOKUP(A24,tDatos[],5,0),"")</f>
        <v>ECUADOR</v>
      </c>
      <c r="G24" s="223" t="str">
        <f>IF(AND(I24&lt;&gt;"",K24&lt;&gt;""),IF(I24=K24,"E",IF(I24&gt;K24,"G","P")),"")</f>
        <v>G</v>
      </c>
      <c r="H24" s="20"/>
      <c r="I24" s="221">
        <v>2</v>
      </c>
      <c r="J24" s="223" t="s">
        <v>0</v>
      </c>
      <c r="K24" s="221">
        <v>1</v>
      </c>
      <c r="L24" s="223" t="str">
        <f>IF(AND(K24&lt;&gt;"",I24&lt;&gt;""),IF(K24=I24,"E",IF(K24&gt;I24,"G","P")),"")</f>
        <v>P</v>
      </c>
      <c r="M24" s="19"/>
      <c r="N24" s="224" t="str">
        <f>IF($AL$8=144,VLOOKUP(A24,tDatos[],6,0),"")</f>
        <v>NORUEGA</v>
      </c>
      <c r="O24" s="27" t="str">
        <f>IF(N24="","vacía",SUBSTITUTE(N24," ","_"))</f>
        <v>NORUEGA</v>
      </c>
      <c r="P24" s="225" t="str">
        <f>VLOOKUP(A24,tDatos[],9,0)</f>
        <v>Dallas</v>
      </c>
      <c r="R24" s="218" t="str">
        <f>IF(G24="","",IF(G24="E","Suma los penales",IF(G24="G",F24,N24)))</f>
        <v>ECUADOR</v>
      </c>
      <c r="T24" s="309"/>
      <c r="U24" s="312"/>
      <c r="V24" s="312"/>
      <c r="W24" s="309"/>
      <c r="X24" s="309"/>
      <c r="Y24" s="306"/>
      <c r="Z24" s="306"/>
      <c r="AA24" s="306"/>
      <c r="AB24" s="306"/>
      <c r="AC24" s="306"/>
      <c r="AD24" s="306"/>
      <c r="AE24" s="306"/>
      <c r="AF24" s="306"/>
      <c r="AG24" s="306"/>
    </row>
    <row r="25" spans="1:38" ht="7.5" customHeight="1" thickBot="1" x14ac:dyDescent="0.35">
      <c r="A25" s="276"/>
      <c r="B25" s="234"/>
      <c r="C25" s="232"/>
      <c r="D25" s="232"/>
      <c r="E25" s="18"/>
      <c r="F25" s="233"/>
      <c r="G25" s="223"/>
      <c r="H25" s="20"/>
      <c r="I25" s="222"/>
      <c r="J25" s="223"/>
      <c r="K25" s="222"/>
      <c r="L25" s="223"/>
      <c r="M25" s="19"/>
      <c r="N25" s="224"/>
      <c r="O25" s="18"/>
      <c r="P25" s="225"/>
      <c r="R25" s="219"/>
      <c r="T25" s="307">
        <v>4</v>
      </c>
      <c r="U25" s="310" t="str">
        <f>VLOOKUP(T25,$Z$10:$AA$69,2,0)</f>
        <v>SUDÁFRICA</v>
      </c>
      <c r="V25" s="310">
        <f>VLOOKUP(T25,$Z$10:$AB$69,3,0)</f>
        <v>3</v>
      </c>
      <c r="W25" s="307">
        <f>VLOOKUP(T25,$Z$10:$AC$69,4,0)</f>
        <v>0</v>
      </c>
      <c r="X25" s="307">
        <f>VLOOKUP(T25,$Z$10:$AD$69,5,0)</f>
        <v>3</v>
      </c>
      <c r="Y25" s="306" t="str">
        <f>VLOOKUP(T25,$Z$10:$AF$69,7,0)</f>
        <v>A</v>
      </c>
      <c r="Z25" s="306">
        <f>RANK(AE25,$AE$10:$AE$69)</f>
        <v>2</v>
      </c>
      <c r="AA25" s="306" t="str">
        <f>TerceroD</f>
        <v>PARAGUAY</v>
      </c>
      <c r="AB25" s="306">
        <f>D!$AC$20</f>
        <v>4</v>
      </c>
      <c r="AC25" s="306">
        <f>D!$AB$20</f>
        <v>-1</v>
      </c>
      <c r="AD25" s="306">
        <f>D!$Z$20</f>
        <v>4</v>
      </c>
      <c r="AE25" s="306">
        <f>AB25*10000+AC25*1000+AD25*100+8+_xlfn.IFNA(VLOOKUP(AA25,$AJ$11:$AL$68,3,0)-8,0)</f>
        <v>39408</v>
      </c>
      <c r="AF25" s="306" t="s">
        <v>429</v>
      </c>
      <c r="AG25" s="306">
        <f>V25*100+W25*10+X25</f>
        <v>303</v>
      </c>
    </row>
    <row r="26" spans="1:38" ht="7.5" customHeight="1" x14ac:dyDescent="0.3">
      <c r="A26" s="185"/>
      <c r="B26" s="17"/>
      <c r="C26" s="314"/>
      <c r="D26" s="313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20"/>
      <c r="T26" s="308"/>
      <c r="U26" s="311"/>
      <c r="V26" s="311"/>
      <c r="W26" s="308"/>
      <c r="X26" s="308"/>
      <c r="Y26" s="306"/>
      <c r="Z26" s="306"/>
      <c r="AA26" s="306"/>
      <c r="AB26" s="306"/>
      <c r="AC26" s="306"/>
      <c r="AD26" s="306"/>
      <c r="AE26" s="306"/>
      <c r="AF26" s="306"/>
      <c r="AG26" s="306"/>
      <c r="AI26" s="325" t="str">
        <f>IF(AND($AL$8=144,COUNTIF($AG$10:$AG$69,AG25)&gt;1),"! ","")</f>
        <v/>
      </c>
      <c r="AJ26" s="298"/>
      <c r="AL26" s="228">
        <v>0.9</v>
      </c>
    </row>
    <row r="27" spans="1:38" ht="7.5" customHeight="1" thickBot="1" x14ac:dyDescent="0.35">
      <c r="A27" s="185"/>
      <c r="B27" s="17"/>
      <c r="C27" s="314"/>
      <c r="D27" s="313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20"/>
      <c r="T27" s="308"/>
      <c r="U27" s="311"/>
      <c r="V27" s="311"/>
      <c r="W27" s="308"/>
      <c r="X27" s="308"/>
      <c r="Y27" s="306"/>
      <c r="Z27" s="306"/>
      <c r="AA27" s="306"/>
      <c r="AB27" s="306"/>
      <c r="AC27" s="306"/>
      <c r="AD27" s="306"/>
      <c r="AE27" s="306"/>
      <c r="AF27" s="306"/>
      <c r="AG27" s="306"/>
      <c r="AI27" s="325"/>
      <c r="AJ27" s="299"/>
      <c r="AL27" s="228"/>
    </row>
    <row r="28" spans="1:38" ht="7.5" customHeight="1" x14ac:dyDescent="0.3">
      <c r="A28" s="276">
        <v>78</v>
      </c>
      <c r="B28" s="234">
        <v>77</v>
      </c>
      <c r="C28" s="235">
        <f>VLOOKUP(A28,tDatos[],IF(UTCElegido="",3,12),0)</f>
        <v>46203</v>
      </c>
      <c r="D28" s="231">
        <f>VLOOKUP(A28,tDatos[],IF(UTCElegido="",4,12),0)</f>
        <v>0.70833333333575865</v>
      </c>
      <c r="E28" s="27" t="str">
        <f>IF(F28="","vacía",SUBSTITUTE(F28," ","_"))</f>
        <v>FRANCIA</v>
      </c>
      <c r="F28" s="233" t="str">
        <f>IF($AL$8=144,VLOOKUP(A28,tDatos[],5,0),"")</f>
        <v>FRANCIA</v>
      </c>
      <c r="G28" s="223" t="str">
        <f>IF(AND(I28&lt;&gt;"",K28&lt;&gt;""),IF(I28=K28,"E",IF(I28&gt;K28,"G","P")),"")</f>
        <v>G</v>
      </c>
      <c r="H28" s="20"/>
      <c r="I28" s="221">
        <v>3</v>
      </c>
      <c r="J28" s="223" t="s">
        <v>0</v>
      </c>
      <c r="K28" s="221">
        <v>2</v>
      </c>
      <c r="L28" s="223" t="str">
        <f>IF(AND(K28&lt;&gt;"",I28&lt;&gt;""),IF(K28=I28,"E",IF(K28&gt;I28,"G","P")),"")</f>
        <v>P</v>
      </c>
      <c r="M28" s="19"/>
      <c r="N28" s="224" t="str">
        <f>IF($AL$8=144,VLOOKUP(A28,tDatos[],6,0),"")</f>
        <v>JAPÓN</v>
      </c>
      <c r="O28" s="27" t="str">
        <f>IF(N28="","vacía",SUBSTITUTE(N28," ","_"))</f>
        <v>JAPÓN</v>
      </c>
      <c r="P28" s="225" t="str">
        <f>VLOOKUP(A28,tDatos[],9,0)</f>
        <v>N. York/N. Jersey</v>
      </c>
      <c r="R28" s="218" t="str">
        <f>IF(G28="","",IF(G28="E","Suma los penales",IF(G28="G",F28,N28)))</f>
        <v>FRANCIA</v>
      </c>
      <c r="T28" s="308"/>
      <c r="U28" s="311"/>
      <c r="V28" s="311"/>
      <c r="W28" s="308"/>
      <c r="X28" s="308"/>
      <c r="Y28" s="306"/>
      <c r="Z28" s="306"/>
      <c r="AA28" s="306"/>
      <c r="AB28" s="306"/>
      <c r="AC28" s="306"/>
      <c r="AD28" s="306"/>
      <c r="AE28" s="306"/>
      <c r="AF28" s="306"/>
      <c r="AG28" s="306"/>
      <c r="AI28" s="325"/>
      <c r="AJ28" s="300"/>
      <c r="AL28" s="228"/>
    </row>
    <row r="29" spans="1:38" ht="8.25" customHeight="1" thickBot="1" x14ac:dyDescent="0.35">
      <c r="A29" s="276"/>
      <c r="B29" s="234"/>
      <c r="C29" s="232"/>
      <c r="D29" s="232"/>
      <c r="E29" s="18"/>
      <c r="F29" s="233"/>
      <c r="G29" s="223"/>
      <c r="H29" s="20"/>
      <c r="I29" s="222"/>
      <c r="J29" s="223"/>
      <c r="K29" s="222"/>
      <c r="L29" s="223"/>
      <c r="M29" s="19"/>
      <c r="N29" s="224"/>
      <c r="O29" s="18"/>
      <c r="P29" s="225"/>
      <c r="R29" s="219"/>
      <c r="T29" s="309"/>
      <c r="U29" s="312"/>
      <c r="V29" s="312"/>
      <c r="W29" s="309"/>
      <c r="X29" s="309"/>
      <c r="Y29" s="306"/>
      <c r="Z29" s="306"/>
      <c r="AA29" s="306"/>
      <c r="AB29" s="306"/>
      <c r="AC29" s="306"/>
      <c r="AD29" s="306"/>
      <c r="AE29" s="306"/>
      <c r="AF29" s="306"/>
      <c r="AG29" s="306"/>
    </row>
    <row r="30" spans="1:38" ht="7.5" customHeight="1" x14ac:dyDescent="0.3">
      <c r="A30" s="185"/>
      <c r="B30" s="17"/>
      <c r="C30" s="314"/>
      <c r="D30" s="313"/>
      <c r="E30" s="18"/>
      <c r="F30" s="227"/>
      <c r="G30" s="18"/>
      <c r="H30" s="18"/>
      <c r="I30" s="315"/>
      <c r="J30" s="223"/>
      <c r="K30" s="315"/>
      <c r="L30" s="18"/>
      <c r="M30" s="18"/>
      <c r="N30" s="227"/>
      <c r="O30" s="18"/>
      <c r="P30" s="229"/>
      <c r="R30" s="220"/>
      <c r="T30" s="307">
        <v>5</v>
      </c>
      <c r="U30" s="310" t="str">
        <f>VLOOKUP(T30,$Z$10:$AA$69,2,0)</f>
        <v>SENEGAL</v>
      </c>
      <c r="V30" s="310">
        <f>VLOOKUP(T30,$Z$10:$AB$69,3,0)</f>
        <v>3</v>
      </c>
      <c r="W30" s="307">
        <f>VLOOKUP(T30,$Z$10:$AC$69,4,0)</f>
        <v>-2</v>
      </c>
      <c r="X30" s="307">
        <f>VLOOKUP(T30,$Z$10:$AD$69,5,0)</f>
        <v>2</v>
      </c>
      <c r="Y30" s="306" t="str">
        <f>VLOOKUP(T30,$Z$10:$AF$69,7,0)</f>
        <v>I</v>
      </c>
      <c r="Z30" s="306">
        <f>RANK(AE30,$AE$10:$AE$69)</f>
        <v>7</v>
      </c>
      <c r="AA30" s="306" t="str">
        <f>TerceroE</f>
        <v>COSTA de MARFIL</v>
      </c>
      <c r="AB30" s="306">
        <f>E!$AC$20</f>
        <v>3</v>
      </c>
      <c r="AC30" s="306">
        <f>E!$AB$20</f>
        <v>-3</v>
      </c>
      <c r="AD30" s="306">
        <f>E!$Z$20</f>
        <v>4</v>
      </c>
      <c r="AE30" s="306">
        <f>AB30*10000+AC30*1000+AD30*100+7+_xlfn.IFNA(VLOOKUP(AA30,$AJ$11:$AL$68,3,0)-7,0)</f>
        <v>27407</v>
      </c>
      <c r="AF30" s="306" t="s">
        <v>430</v>
      </c>
      <c r="AG30" s="306">
        <f>V30*100+W30*10+X30</f>
        <v>282</v>
      </c>
    </row>
    <row r="31" spans="1:38" ht="7.5" customHeight="1" thickBot="1" x14ac:dyDescent="0.35">
      <c r="A31" s="185"/>
      <c r="B31" s="17"/>
      <c r="C31" s="314"/>
      <c r="D31" s="313"/>
      <c r="E31" s="18"/>
      <c r="F31" s="227"/>
      <c r="G31" s="18"/>
      <c r="H31" s="18"/>
      <c r="I31" s="316"/>
      <c r="J31" s="223"/>
      <c r="K31" s="316"/>
      <c r="L31" s="18"/>
      <c r="M31" s="18"/>
      <c r="N31" s="227"/>
      <c r="O31" s="18"/>
      <c r="P31" s="229"/>
      <c r="R31" s="220"/>
      <c r="T31" s="308"/>
      <c r="U31" s="311"/>
      <c r="V31" s="311"/>
      <c r="W31" s="308"/>
      <c r="X31" s="308"/>
      <c r="Y31" s="306"/>
      <c r="Z31" s="306"/>
      <c r="AA31" s="306"/>
      <c r="AB31" s="306"/>
      <c r="AC31" s="306"/>
      <c r="AD31" s="306"/>
      <c r="AE31" s="306"/>
      <c r="AF31" s="306"/>
      <c r="AG31" s="306"/>
      <c r="AI31" s="325" t="str">
        <f>IF(AND($AL$8=144,COUNTIF($AG$10:$AG$69,AG30)&gt;1),"! ","")</f>
        <v/>
      </c>
      <c r="AJ31" s="298"/>
      <c r="AL31" s="228">
        <v>0.8</v>
      </c>
    </row>
    <row r="32" spans="1:38" ht="7.5" customHeight="1" x14ac:dyDescent="0.3">
      <c r="A32" s="276">
        <v>79</v>
      </c>
      <c r="B32" s="234">
        <v>79</v>
      </c>
      <c r="C32" s="235">
        <f>VLOOKUP(A32,tDatos[],IF(UTCElegido="",3,12),0)</f>
        <v>46203</v>
      </c>
      <c r="D32" s="231">
        <f>VLOOKUP(A32,tDatos[],IF(UTCElegido="",4,12),0)</f>
        <v>0.875</v>
      </c>
      <c r="E32" s="27" t="str">
        <f>IF(F32="","vacía",SUBSTITUTE(F32," ","_"))</f>
        <v>MÉXICO</v>
      </c>
      <c r="F32" s="233" t="str">
        <f>IF($AL$8=144,VLOOKUP(A32,tDatos[],5,0),"")</f>
        <v>MÉXICO</v>
      </c>
      <c r="G32" s="223" t="str">
        <f>IF(AND(I32&lt;&gt;"",K32&lt;&gt;""),IF(I32=K32,"E",IF(I32&gt;K32,"G","P")),"")</f>
        <v>G</v>
      </c>
      <c r="H32" s="20"/>
      <c r="I32" s="221">
        <v>2</v>
      </c>
      <c r="J32" s="223" t="s">
        <v>0</v>
      </c>
      <c r="K32" s="221">
        <v>1</v>
      </c>
      <c r="L32" s="223" t="str">
        <f>IF(AND(K32&lt;&gt;"",I32&lt;&gt;""),IF(K32=I32,"E",IF(K32&gt;I32,"G","P")),"")</f>
        <v>P</v>
      </c>
      <c r="M32" s="19"/>
      <c r="N32" s="224" t="str">
        <f>IF($AL$8=144,VLOOKUP(A32,tDatos[],6,0),"")</f>
        <v>ESCOCIA</v>
      </c>
      <c r="O32" s="27" t="str">
        <f>IF(N32="","vacía",SUBSTITUTE(N32," ","_"))</f>
        <v>ESCOCIA</v>
      </c>
      <c r="P32" s="225" t="str">
        <f>VLOOKUP(A32,tDatos[],9,0)</f>
        <v>Ciudad de México</v>
      </c>
      <c r="R32" s="218" t="str">
        <f>IF(G32="","",IF(G32="E","Suma los penales",IF(G32="G",F32,N32)))</f>
        <v>MÉXICO</v>
      </c>
      <c r="T32" s="308"/>
      <c r="U32" s="311"/>
      <c r="V32" s="311"/>
      <c r="W32" s="308"/>
      <c r="X32" s="308"/>
      <c r="Y32" s="306"/>
      <c r="Z32" s="306"/>
      <c r="AA32" s="306"/>
      <c r="AB32" s="306"/>
      <c r="AC32" s="306"/>
      <c r="AD32" s="306"/>
      <c r="AE32" s="306"/>
      <c r="AF32" s="306"/>
      <c r="AG32" s="306"/>
      <c r="AI32" s="325"/>
      <c r="AJ32" s="299"/>
      <c r="AL32" s="228"/>
    </row>
    <row r="33" spans="1:38" ht="7.5" customHeight="1" thickBot="1" x14ac:dyDescent="0.35">
      <c r="A33" s="276"/>
      <c r="B33" s="234"/>
      <c r="C33" s="232"/>
      <c r="D33" s="232"/>
      <c r="E33" s="18"/>
      <c r="F33" s="233"/>
      <c r="G33" s="223"/>
      <c r="H33" s="20"/>
      <c r="I33" s="222"/>
      <c r="J33" s="223"/>
      <c r="K33" s="222"/>
      <c r="L33" s="223"/>
      <c r="M33" s="19"/>
      <c r="N33" s="224"/>
      <c r="O33" s="18"/>
      <c r="P33" s="225"/>
      <c r="R33" s="219"/>
      <c r="T33" s="308"/>
      <c r="U33" s="311"/>
      <c r="V33" s="311"/>
      <c r="W33" s="308"/>
      <c r="X33" s="308"/>
      <c r="Y33" s="306"/>
      <c r="Z33" s="306"/>
      <c r="AA33" s="306"/>
      <c r="AB33" s="306"/>
      <c r="AC33" s="306"/>
      <c r="AD33" s="306"/>
      <c r="AE33" s="306"/>
      <c r="AF33" s="306"/>
      <c r="AG33" s="306"/>
      <c r="AI33" s="325"/>
      <c r="AJ33" s="300"/>
      <c r="AL33" s="228"/>
    </row>
    <row r="34" spans="1:38" ht="7.5" customHeight="1" x14ac:dyDescent="0.3">
      <c r="A34" s="185"/>
      <c r="B34" s="17"/>
      <c r="C34" s="314"/>
      <c r="D34" s="313"/>
      <c r="E34" s="18"/>
      <c r="F34" s="227"/>
      <c r="G34" s="18"/>
      <c r="H34" s="18"/>
      <c r="I34" s="223"/>
      <c r="J34" s="223"/>
      <c r="K34" s="223"/>
      <c r="L34" s="18"/>
      <c r="M34" s="18"/>
      <c r="N34" s="227"/>
      <c r="O34" s="18"/>
      <c r="P34" s="229"/>
      <c r="R34" s="220"/>
      <c r="T34" s="309"/>
      <c r="U34" s="312"/>
      <c r="V34" s="312"/>
      <c r="W34" s="309"/>
      <c r="X34" s="309"/>
      <c r="Y34" s="306"/>
      <c r="Z34" s="306"/>
      <c r="AA34" s="306"/>
      <c r="AB34" s="306"/>
      <c r="AC34" s="306"/>
      <c r="AD34" s="306"/>
      <c r="AE34" s="306"/>
      <c r="AF34" s="306"/>
      <c r="AG34" s="306"/>
    </row>
    <row r="35" spans="1:38" ht="7.5" customHeight="1" thickBot="1" x14ac:dyDescent="0.35">
      <c r="A35" s="185"/>
      <c r="B35" s="17"/>
      <c r="C35" s="314"/>
      <c r="D35" s="313"/>
      <c r="E35" s="18"/>
      <c r="F35" s="227"/>
      <c r="G35" s="18"/>
      <c r="H35" s="18"/>
      <c r="I35" s="223"/>
      <c r="J35" s="223"/>
      <c r="K35" s="223"/>
      <c r="L35" s="18"/>
      <c r="M35" s="18"/>
      <c r="N35" s="227"/>
      <c r="O35" s="18"/>
      <c r="P35" s="229"/>
      <c r="R35" s="220"/>
      <c r="T35" s="307">
        <v>6</v>
      </c>
      <c r="U35" s="310" t="str">
        <f>VLOOKUP(T35,$Z$10:$AA$69,2,0)</f>
        <v>ESCOCIA</v>
      </c>
      <c r="V35" s="310">
        <f>VLOOKUP(T35,$Z$10:$AB$69,3,0)</f>
        <v>3</v>
      </c>
      <c r="W35" s="307">
        <f>VLOOKUP(T35,$Z$10:$AC$69,4,0)</f>
        <v>-3</v>
      </c>
      <c r="X35" s="307">
        <f>VLOOKUP(T35,$Z$10:$AD$69,5,0)</f>
        <v>4</v>
      </c>
      <c r="Y35" s="306" t="str">
        <f>VLOOKUP(T35,$Z$10:$AF$69,7,0)</f>
        <v>C</v>
      </c>
      <c r="Z35" s="306">
        <f>RANK(AE35,$AE$10:$AE$69)</f>
        <v>1</v>
      </c>
      <c r="AA35" s="306" t="str">
        <f>TerceroF</f>
        <v>JAPÓN</v>
      </c>
      <c r="AB35" s="306">
        <f>F!$AC$20</f>
        <v>4</v>
      </c>
      <c r="AC35" s="306">
        <f>F!$AB$20</f>
        <v>-1</v>
      </c>
      <c r="AD35" s="306">
        <f>F!$Z$20</f>
        <v>5</v>
      </c>
      <c r="AE35" s="306">
        <f>AB35*10000+AC35*1000+AD35*100+6+_xlfn.IFNA(VLOOKUP(AA35,$AJ$11:$AL$68,3,0)-6,0)</f>
        <v>39506</v>
      </c>
      <c r="AF35" s="306" t="s">
        <v>431</v>
      </c>
      <c r="AG35" s="306">
        <f>V35*100+W35*10+X35</f>
        <v>274</v>
      </c>
    </row>
    <row r="36" spans="1:38" ht="7.5" customHeight="1" x14ac:dyDescent="0.3">
      <c r="A36" s="276">
        <v>80</v>
      </c>
      <c r="B36" s="234">
        <v>80</v>
      </c>
      <c r="C36" s="235">
        <f>VLOOKUP(A36,tDatos[],IF(UTCElegido="",3,12),0)</f>
        <v>46204</v>
      </c>
      <c r="D36" s="231">
        <f>VLOOKUP(A36,tDatos[],IF(UTCElegido="",4,12),0)</f>
        <v>0.5</v>
      </c>
      <c r="E36" s="27" t="str">
        <f>IF(F36="","vacía",SUBSTITUTE(F36," ","_"))</f>
        <v>CROACIA</v>
      </c>
      <c r="F36" s="233" t="str">
        <f>IF($AL$8=144,VLOOKUP(A36,tDatos[],5,0),"")</f>
        <v>CROACIA</v>
      </c>
      <c r="G36" s="223" t="str">
        <f>IF(AND(I36&lt;&gt;"",K36&lt;&gt;""),IF(I36=K36,"E",IF(I36&gt;K36,"G","P")),"")</f>
        <v>G</v>
      </c>
      <c r="H36" s="20"/>
      <c r="I36" s="221">
        <v>3</v>
      </c>
      <c r="J36" s="223" t="s">
        <v>0</v>
      </c>
      <c r="K36" s="221">
        <v>1</v>
      </c>
      <c r="L36" s="223" t="str">
        <f>IF(AND(K36&lt;&gt;"",I36&lt;&gt;""),IF(K36=I36,"E",IF(K36&gt;I36,"G","P")),"")</f>
        <v>P</v>
      </c>
      <c r="M36" s="19"/>
      <c r="N36" s="224" t="str">
        <f>IF($AL$8=144,VLOOKUP(A36,tDatos[],6,0),"")</f>
        <v>REP. del CONGO</v>
      </c>
      <c r="O36" s="27" t="str">
        <f>IF(N36="","vacía",SUBSTITUTE(N36," ","_"))</f>
        <v>REP._del_CONGO</v>
      </c>
      <c r="P36" s="225" t="str">
        <f>VLOOKUP(A36,tDatos[],9,0)</f>
        <v>Atlanta</v>
      </c>
      <c r="R36" s="218" t="str">
        <f>IF(G36="","",IF(G36="E","Suma los penales",IF(G36="G",F36,N36)))</f>
        <v>CROACIA</v>
      </c>
      <c r="T36" s="308"/>
      <c r="U36" s="311"/>
      <c r="V36" s="311"/>
      <c r="W36" s="308"/>
      <c r="X36" s="308"/>
      <c r="Y36" s="306"/>
      <c r="Z36" s="306"/>
      <c r="AA36" s="306"/>
      <c r="AB36" s="306"/>
      <c r="AC36" s="306"/>
      <c r="AD36" s="306"/>
      <c r="AE36" s="306"/>
      <c r="AF36" s="306"/>
      <c r="AG36" s="306"/>
      <c r="AI36" s="325" t="str">
        <f>IF(AND($AL$8=144,COUNTIF($AG$10:$AG$69,AG35)&gt;1),"! ","")</f>
        <v xml:space="preserve">! </v>
      </c>
      <c r="AJ36" s="298"/>
      <c r="AL36" s="228">
        <v>0.7</v>
      </c>
    </row>
    <row r="37" spans="1:38" ht="7.5" customHeight="1" thickBot="1" x14ac:dyDescent="0.35">
      <c r="A37" s="276"/>
      <c r="B37" s="234"/>
      <c r="C37" s="232"/>
      <c r="D37" s="232"/>
      <c r="E37" s="18"/>
      <c r="F37" s="233"/>
      <c r="G37" s="223"/>
      <c r="H37" s="20"/>
      <c r="I37" s="222"/>
      <c r="J37" s="223"/>
      <c r="K37" s="222"/>
      <c r="L37" s="223"/>
      <c r="M37" s="19"/>
      <c r="N37" s="224"/>
      <c r="O37" s="18"/>
      <c r="P37" s="225"/>
      <c r="R37" s="219"/>
      <c r="T37" s="308"/>
      <c r="U37" s="311"/>
      <c r="V37" s="311"/>
      <c r="W37" s="308"/>
      <c r="X37" s="308"/>
      <c r="Y37" s="306"/>
      <c r="Z37" s="306"/>
      <c r="AA37" s="306"/>
      <c r="AB37" s="306"/>
      <c r="AC37" s="306"/>
      <c r="AD37" s="306"/>
      <c r="AE37" s="306"/>
      <c r="AF37" s="306"/>
      <c r="AG37" s="306"/>
      <c r="AI37" s="325"/>
      <c r="AJ37" s="299"/>
      <c r="AL37" s="228"/>
    </row>
    <row r="38" spans="1:38" ht="7.5" customHeight="1" x14ac:dyDescent="0.3">
      <c r="A38" s="185"/>
      <c r="B38" s="17"/>
      <c r="C38" s="296"/>
      <c r="D38" s="295"/>
      <c r="E38" s="18"/>
      <c r="F38" s="227"/>
      <c r="G38" s="18"/>
      <c r="H38" s="18"/>
      <c r="I38" s="223"/>
      <c r="J38" s="223"/>
      <c r="K38" s="223"/>
      <c r="L38" s="18"/>
      <c r="M38" s="18"/>
      <c r="N38" s="227"/>
      <c r="O38" s="18"/>
      <c r="P38" s="303"/>
      <c r="R38" s="301"/>
      <c r="T38" s="308"/>
      <c r="U38" s="311"/>
      <c r="V38" s="311"/>
      <c r="W38" s="308"/>
      <c r="X38" s="308"/>
      <c r="Y38" s="306"/>
      <c r="Z38" s="306"/>
      <c r="AA38" s="306"/>
      <c r="AB38" s="306"/>
      <c r="AC38" s="306"/>
      <c r="AD38" s="306"/>
      <c r="AE38" s="306"/>
      <c r="AF38" s="306"/>
      <c r="AG38" s="306"/>
      <c r="AI38" s="325"/>
      <c r="AJ38" s="300"/>
      <c r="AL38" s="228"/>
    </row>
    <row r="39" spans="1:38" ht="7.5" customHeight="1" thickBot="1" x14ac:dyDescent="0.35">
      <c r="A39" s="185"/>
      <c r="B39" s="17"/>
      <c r="C39" s="296"/>
      <c r="D39" s="295"/>
      <c r="E39" s="18"/>
      <c r="F39" s="227"/>
      <c r="G39" s="18"/>
      <c r="H39" s="18"/>
      <c r="I39" s="223"/>
      <c r="J39" s="223"/>
      <c r="K39" s="223"/>
      <c r="L39" s="18"/>
      <c r="M39" s="18"/>
      <c r="N39" s="227"/>
      <c r="O39" s="18"/>
      <c r="P39" s="303"/>
      <c r="R39" s="302"/>
      <c r="T39" s="309"/>
      <c r="U39" s="312"/>
      <c r="V39" s="312"/>
      <c r="W39" s="309"/>
      <c r="X39" s="309"/>
      <c r="Y39" s="306"/>
      <c r="Z39" s="306"/>
      <c r="AA39" s="306"/>
      <c r="AB39" s="306"/>
      <c r="AC39" s="306"/>
      <c r="AD39" s="306"/>
      <c r="AE39" s="306"/>
      <c r="AF39" s="306"/>
      <c r="AG39" s="306"/>
    </row>
    <row r="40" spans="1:38" ht="7.5" customHeight="1" x14ac:dyDescent="0.3">
      <c r="A40" s="276">
        <v>81</v>
      </c>
      <c r="B40" s="234">
        <v>82</v>
      </c>
      <c r="C40" s="235">
        <f>VLOOKUP(A40,tDatos[],IF(UTCElegido="",3,12),0)</f>
        <v>46204</v>
      </c>
      <c r="D40" s="231">
        <f>VLOOKUP(A40,tDatos[],IF(UTCElegido="",4,12),0)</f>
        <v>0.66666666666424135</v>
      </c>
      <c r="E40" s="27" t="str">
        <f>IF(F40="","vacía",SUBSTITUTE(F40," ","_"))</f>
        <v>BÉLGICA</v>
      </c>
      <c r="F40" s="233" t="str">
        <f>IF($AL$8=144,VLOOKUP(A40,tDatos[],5,0),"")</f>
        <v>BÉLGICA</v>
      </c>
      <c r="G40" s="223" t="str">
        <f>IF(AND(I40&lt;&gt;"",K40&lt;&gt;""),IF(I40=K40,"E",IF(I40&gt;K40,"G","P")),"")</f>
        <v>G</v>
      </c>
      <c r="H40" s="20"/>
      <c r="I40" s="221">
        <v>3</v>
      </c>
      <c r="J40" s="223" t="s">
        <v>0</v>
      </c>
      <c r="K40" s="221">
        <v>0</v>
      </c>
      <c r="L40" s="223" t="str">
        <f>IF(AND(K40&lt;&gt;"",I40&lt;&gt;""),IF(K40=I40,"E",IF(K40&gt;I40,"G","P")),"")</f>
        <v>P</v>
      </c>
      <c r="M40" s="19"/>
      <c r="N40" s="224" t="str">
        <f>IF($AL$8=144,VLOOKUP(A40,tDatos[],6,0),"")</f>
        <v>SUDÁFRICA</v>
      </c>
      <c r="O40" s="27" t="str">
        <f>IF(N40="","vacía",SUBSTITUTE(N40," ","_"))</f>
        <v>SUDÁFRICA</v>
      </c>
      <c r="P40" s="225" t="str">
        <f>VLOOKUP(A40,tDatos[],9,0)</f>
        <v>Seattle</v>
      </c>
      <c r="R40" s="218" t="str">
        <f>IF(G40="","",IF(G40="E","Suma los penales",IF(G40="G",F40,N40)))</f>
        <v>BÉLGICA</v>
      </c>
      <c r="T40" s="307">
        <v>7</v>
      </c>
      <c r="U40" s="310" t="str">
        <f>VLOOKUP(T40,$Z$10:$AA$69,2,0)</f>
        <v>COSTA de MARFIL</v>
      </c>
      <c r="V40" s="310">
        <f>VLOOKUP(T40,$Z$10:$AB$69,3,0)</f>
        <v>3</v>
      </c>
      <c r="W40" s="307">
        <f>VLOOKUP(T40,$Z$10:$AC$69,4,0)</f>
        <v>-3</v>
      </c>
      <c r="X40" s="307">
        <f>VLOOKUP(T40,$Z$10:$AD$69,5,0)</f>
        <v>4</v>
      </c>
      <c r="Y40" s="306" t="str">
        <f>VLOOKUP(T40,$Z$10:$AF$69,7,0)</f>
        <v>E</v>
      </c>
      <c r="Z40" s="306">
        <f>RANK(AE40,$AE$10:$AE$69)</f>
        <v>10</v>
      </c>
      <c r="AA40" s="306" t="str">
        <f>TerceroG</f>
        <v>IRÁN</v>
      </c>
      <c r="AB40" s="306">
        <f>G!$AC$20</f>
        <v>1</v>
      </c>
      <c r="AC40" s="306">
        <f>G!$AB$20</f>
        <v>-4</v>
      </c>
      <c r="AD40" s="306">
        <f>G!$Z$20</f>
        <v>3</v>
      </c>
      <c r="AE40" s="306">
        <f>AB40*10000+AC40*1000+AD40*100+5+_xlfn.IFNA(VLOOKUP(AA40,$AJ$11:$AL$68,3,0)-5,0)</f>
        <v>6305</v>
      </c>
      <c r="AF40" s="306" t="s">
        <v>432</v>
      </c>
      <c r="AG40" s="306">
        <f>V40*100+W40*10+X40</f>
        <v>274</v>
      </c>
    </row>
    <row r="41" spans="1:38" ht="7.5" customHeight="1" thickBot="1" x14ac:dyDescent="0.35">
      <c r="A41" s="276"/>
      <c r="B41" s="234"/>
      <c r="C41" s="232"/>
      <c r="D41" s="232"/>
      <c r="E41" s="18"/>
      <c r="F41" s="233"/>
      <c r="G41" s="223"/>
      <c r="H41" s="20"/>
      <c r="I41" s="222"/>
      <c r="J41" s="223"/>
      <c r="K41" s="222"/>
      <c r="L41" s="223"/>
      <c r="M41" s="19"/>
      <c r="N41" s="224"/>
      <c r="O41" s="18"/>
      <c r="P41" s="225"/>
      <c r="R41" s="219"/>
      <c r="T41" s="308"/>
      <c r="U41" s="311"/>
      <c r="V41" s="311"/>
      <c r="W41" s="308"/>
      <c r="X41" s="308"/>
      <c r="Y41" s="306"/>
      <c r="Z41" s="306"/>
      <c r="AA41" s="306"/>
      <c r="AB41" s="306"/>
      <c r="AC41" s="306"/>
      <c r="AD41" s="306"/>
      <c r="AE41" s="306"/>
      <c r="AF41" s="306"/>
      <c r="AG41" s="306"/>
      <c r="AI41" s="325" t="str">
        <f>IF(AND($AL$8=144,COUNTIF($AG$10:$AG$69,AG40)&gt;1),"! ","")</f>
        <v xml:space="preserve">! </v>
      </c>
      <c r="AJ41" s="298"/>
      <c r="AL41" s="228">
        <v>0.6</v>
      </c>
    </row>
    <row r="42" spans="1:38" ht="7.5" customHeight="1" x14ac:dyDescent="0.3">
      <c r="A42" s="185"/>
      <c r="B42" s="17"/>
      <c r="C42" s="314"/>
      <c r="D42" s="313"/>
      <c r="E42" s="18"/>
      <c r="F42" s="227"/>
      <c r="G42" s="18"/>
      <c r="H42" s="18"/>
      <c r="I42" s="223"/>
      <c r="J42" s="223"/>
      <c r="K42" s="223"/>
      <c r="L42" s="18"/>
      <c r="M42" s="18"/>
      <c r="N42" s="227"/>
      <c r="O42" s="18"/>
      <c r="P42" s="229"/>
      <c r="R42" s="220"/>
      <c r="T42" s="308"/>
      <c r="U42" s="311"/>
      <c r="V42" s="311"/>
      <c r="W42" s="308"/>
      <c r="X42" s="308"/>
      <c r="Y42" s="306"/>
      <c r="Z42" s="306"/>
      <c r="AA42" s="306"/>
      <c r="AB42" s="306"/>
      <c r="AC42" s="306"/>
      <c r="AD42" s="306"/>
      <c r="AE42" s="306"/>
      <c r="AF42" s="306"/>
      <c r="AG42" s="306"/>
      <c r="AI42" s="325"/>
      <c r="AJ42" s="299"/>
      <c r="AL42" s="228"/>
    </row>
    <row r="43" spans="1:38" ht="7.5" customHeight="1" thickBot="1" x14ac:dyDescent="0.35">
      <c r="A43" s="185"/>
      <c r="B43" s="17"/>
      <c r="C43" s="314"/>
      <c r="D43" s="313"/>
      <c r="E43" s="18"/>
      <c r="F43" s="227"/>
      <c r="G43" s="18"/>
      <c r="H43" s="18"/>
      <c r="I43" s="223"/>
      <c r="J43" s="223"/>
      <c r="K43" s="223"/>
      <c r="L43" s="18"/>
      <c r="M43" s="18"/>
      <c r="N43" s="227"/>
      <c r="O43" s="18"/>
      <c r="P43" s="229"/>
      <c r="R43" s="220"/>
      <c r="T43" s="308"/>
      <c r="U43" s="311"/>
      <c r="V43" s="311"/>
      <c r="W43" s="308"/>
      <c r="X43" s="308"/>
      <c r="Y43" s="306"/>
      <c r="Z43" s="306"/>
      <c r="AA43" s="306"/>
      <c r="AB43" s="306"/>
      <c r="AC43" s="306"/>
      <c r="AD43" s="306"/>
      <c r="AE43" s="306"/>
      <c r="AF43" s="306"/>
      <c r="AG43" s="306"/>
      <c r="AI43" s="325"/>
      <c r="AJ43" s="300"/>
      <c r="AL43" s="228"/>
    </row>
    <row r="44" spans="1:38" ht="7.5" customHeight="1" x14ac:dyDescent="0.3">
      <c r="A44" s="276">
        <v>82</v>
      </c>
      <c r="B44" s="234">
        <v>81</v>
      </c>
      <c r="C44" s="235">
        <f>VLOOKUP(A44,tDatos[],IF(UTCElegido="",3,12),0)</f>
        <v>46204</v>
      </c>
      <c r="D44" s="231">
        <f>VLOOKUP(A44,tDatos[],IF(UTCElegido="",4,12),0)</f>
        <v>0.83333333333575865</v>
      </c>
      <c r="E44" s="27" t="str">
        <f>IF(F44="","vacía",SUBSTITUTE(F44," ","_"))</f>
        <v>ESTADOS_UNIDOS</v>
      </c>
      <c r="F44" s="233" t="str">
        <f>IF($AL$8=144,VLOOKUP(A44,tDatos[],5,0),"")</f>
        <v>ESTADOS UNIDOS</v>
      </c>
      <c r="G44" s="223" t="str">
        <f>IF(AND(I44&lt;&gt;"",K44&lt;&gt;""),IF(I44=K44,"E",IF(I44&gt;K44,"G","P")),"")</f>
        <v>G</v>
      </c>
      <c r="H44" s="20"/>
      <c r="I44" s="221">
        <v>2</v>
      </c>
      <c r="J44" s="223" t="s">
        <v>0</v>
      </c>
      <c r="K44" s="221">
        <v>1</v>
      </c>
      <c r="L44" s="223" t="str">
        <f>IF(AND(K44&lt;&gt;"",I44&lt;&gt;""),IF(K44=I44,"E",IF(K44&gt;I44,"G","P")),"")</f>
        <v>P</v>
      </c>
      <c r="M44" s="19"/>
      <c r="N44" s="224" t="str">
        <f>IF($AL$8=144,VLOOKUP(A44,tDatos[],6,0),"")</f>
        <v>COSTA de MARFIL</v>
      </c>
      <c r="O44" s="27" t="str">
        <f>IF(N44="","vacía",SUBSTITUTE(N44," ","_"))</f>
        <v>COSTA_de_MARFIL</v>
      </c>
      <c r="P44" s="225" t="str">
        <f>VLOOKUP(A44,tDatos[],9,0)</f>
        <v>San Francisco</v>
      </c>
      <c r="R44" s="218" t="str">
        <f>IF(G44="","",IF(G44="E","Suma los penales",IF(G44="G",F44,N44)))</f>
        <v>ESTADOS UNIDOS</v>
      </c>
      <c r="T44" s="309"/>
      <c r="U44" s="312"/>
      <c r="V44" s="312"/>
      <c r="W44" s="309"/>
      <c r="X44" s="309"/>
      <c r="Y44" s="306"/>
      <c r="Z44" s="306"/>
      <c r="AA44" s="306"/>
      <c r="AB44" s="306"/>
      <c r="AC44" s="306"/>
      <c r="AD44" s="306"/>
      <c r="AE44" s="306"/>
      <c r="AF44" s="306"/>
      <c r="AG44" s="306"/>
    </row>
    <row r="45" spans="1:38" ht="7.5" customHeight="1" thickBot="1" x14ac:dyDescent="0.35">
      <c r="A45" s="276"/>
      <c r="B45" s="234"/>
      <c r="C45" s="232"/>
      <c r="D45" s="232"/>
      <c r="E45" s="18"/>
      <c r="F45" s="233"/>
      <c r="G45" s="223"/>
      <c r="H45" s="20"/>
      <c r="I45" s="222"/>
      <c r="J45" s="223"/>
      <c r="K45" s="222"/>
      <c r="L45" s="223"/>
      <c r="M45" s="19"/>
      <c r="N45" s="224"/>
      <c r="O45" s="18"/>
      <c r="P45" s="225"/>
      <c r="R45" s="219"/>
      <c r="T45" s="307">
        <v>8</v>
      </c>
      <c r="U45" s="310" t="str">
        <f>VLOOKUP(T45,$Z$10:$AA$69,2,0)</f>
        <v>JORDANIA</v>
      </c>
      <c r="V45" s="310">
        <f>VLOOKUP(T45,$Z$10:$AB$69,3,0)</f>
        <v>2</v>
      </c>
      <c r="W45" s="307">
        <f>VLOOKUP(T45,$Z$10:$AC$69,4,0)</f>
        <v>-2</v>
      </c>
      <c r="X45" s="307">
        <f>VLOOKUP(T45,$Z$10:$AD$69,5,0)</f>
        <v>4</v>
      </c>
      <c r="Y45" s="306" t="str">
        <f>VLOOKUP(T45,$Z$10:$AF$69,7,0)</f>
        <v>J</v>
      </c>
      <c r="Z45" s="306">
        <f>RANK(AE45,$AE$10:$AE$69)</f>
        <v>11</v>
      </c>
      <c r="AA45" s="306" t="str">
        <f>TerceroH</f>
        <v>ARABIA SAUDITA</v>
      </c>
      <c r="AB45" s="306">
        <f>H!$AC$20</f>
        <v>1</v>
      </c>
      <c r="AC45" s="306">
        <f>H!$AB$20</f>
        <v>-4</v>
      </c>
      <c r="AD45" s="306">
        <f>H!$Z$20</f>
        <v>2</v>
      </c>
      <c r="AE45" s="306">
        <f>AB45*10000+AC45*1000+AD45*100+4+_xlfn.IFNA(VLOOKUP(AA45,$AJ$11:$AL$68,3,0)-4,0)</f>
        <v>6204</v>
      </c>
      <c r="AF45" s="306" t="s">
        <v>433</v>
      </c>
      <c r="AG45" s="306">
        <f>V45*100+W45*10+X45</f>
        <v>184</v>
      </c>
    </row>
    <row r="46" spans="1:38" ht="7.5" customHeight="1" x14ac:dyDescent="0.3">
      <c r="A46" s="185"/>
      <c r="B46" s="17"/>
      <c r="C46" s="314"/>
      <c r="D46" s="313"/>
      <c r="E46" s="18"/>
      <c r="F46" s="227"/>
      <c r="G46" s="18"/>
      <c r="H46" s="18"/>
      <c r="I46" s="223"/>
      <c r="J46" s="223"/>
      <c r="K46" s="223"/>
      <c r="L46" s="18"/>
      <c r="M46" s="18"/>
      <c r="N46" s="227"/>
      <c r="O46" s="18"/>
      <c r="P46" s="229"/>
      <c r="R46" s="220"/>
      <c r="T46" s="308"/>
      <c r="U46" s="311"/>
      <c r="V46" s="311"/>
      <c r="W46" s="308"/>
      <c r="X46" s="308"/>
      <c r="Y46" s="306"/>
      <c r="Z46" s="306"/>
      <c r="AA46" s="306"/>
      <c r="AB46" s="306"/>
      <c r="AC46" s="306"/>
      <c r="AD46" s="306"/>
      <c r="AE46" s="306"/>
      <c r="AF46" s="306"/>
      <c r="AG46" s="306"/>
      <c r="AI46" s="325" t="str">
        <f>IF(AND($AL$8=144,COUNTIF($AG$10:$AG$69,AG45)&gt;1),"! ","")</f>
        <v/>
      </c>
      <c r="AJ46" s="298"/>
      <c r="AL46" s="228">
        <v>0.5</v>
      </c>
    </row>
    <row r="47" spans="1:38" ht="7.5" customHeight="1" thickBot="1" x14ac:dyDescent="0.35">
      <c r="A47" s="185"/>
      <c r="B47" s="17"/>
      <c r="C47" s="314"/>
      <c r="D47" s="313"/>
      <c r="E47" s="18"/>
      <c r="F47" s="227"/>
      <c r="G47" s="18"/>
      <c r="H47" s="18"/>
      <c r="I47" s="223"/>
      <c r="J47" s="223"/>
      <c r="K47" s="223"/>
      <c r="L47" s="18"/>
      <c r="M47" s="18"/>
      <c r="N47" s="227"/>
      <c r="O47" s="18"/>
      <c r="P47" s="229"/>
      <c r="R47" s="220"/>
      <c r="T47" s="308"/>
      <c r="U47" s="311"/>
      <c r="V47" s="311"/>
      <c r="W47" s="308"/>
      <c r="X47" s="308"/>
      <c r="Y47" s="306"/>
      <c r="Z47" s="306"/>
      <c r="AA47" s="306"/>
      <c r="AB47" s="306"/>
      <c r="AC47" s="306"/>
      <c r="AD47" s="306"/>
      <c r="AE47" s="306"/>
      <c r="AF47" s="306"/>
      <c r="AG47" s="306"/>
      <c r="AI47" s="325"/>
      <c r="AJ47" s="299"/>
      <c r="AL47" s="228"/>
    </row>
    <row r="48" spans="1:38" ht="7.5" customHeight="1" x14ac:dyDescent="0.3">
      <c r="A48" s="276">
        <v>83</v>
      </c>
      <c r="B48" s="234">
        <v>84</v>
      </c>
      <c r="C48" s="235">
        <f>VLOOKUP(A48,tDatos[],IF(UTCElegido="",3,12),0)</f>
        <v>46205</v>
      </c>
      <c r="D48" s="231">
        <f>VLOOKUP(A48,tDatos[],IF(UTCElegido="",4,12),0)</f>
        <v>0.625</v>
      </c>
      <c r="E48" s="27" t="str">
        <f>IF(F48="","vacía",SUBSTITUTE(F48," ","_"))</f>
        <v>ESPAÑA</v>
      </c>
      <c r="F48" s="233" t="str">
        <f>IF($AL$8=144,VLOOKUP(A48,tDatos[],5,0),"")</f>
        <v>ESPAÑA</v>
      </c>
      <c r="G48" s="223" t="str">
        <f>IF(AND(I48&lt;&gt;"",K48&lt;&gt;""),IF(I48=K48,"E",IF(I48&gt;K48,"G","P")),"")</f>
        <v>G</v>
      </c>
      <c r="H48" s="20"/>
      <c r="I48" s="221">
        <v>3</v>
      </c>
      <c r="J48" s="223" t="s">
        <v>0</v>
      </c>
      <c r="K48" s="221">
        <v>1</v>
      </c>
      <c r="L48" s="223" t="str">
        <f>IF(AND(K48&lt;&gt;"",I48&lt;&gt;""),IF(K48=I48,"E",IF(K48&gt;I48,"G","P")),"")</f>
        <v>P</v>
      </c>
      <c r="M48" s="19"/>
      <c r="N48" s="224" t="str">
        <f>IF($AL$8=144,VLOOKUP(A48,tDatos[],6,0),"")</f>
        <v>AUSTRIA</v>
      </c>
      <c r="O48" s="27" t="str">
        <f>IF(N48="","vacía",SUBSTITUTE(N48," ","_"))</f>
        <v>AUSTRIA</v>
      </c>
      <c r="P48" s="225" t="str">
        <f>VLOOKUP(A48,tDatos[],9,0)</f>
        <v>Los Angeles</v>
      </c>
      <c r="R48" s="218" t="str">
        <f>IF(G48="","",IF(G48="E","Suma los penales",IF(G48="G",F48,N48)))</f>
        <v>ESPAÑA</v>
      </c>
      <c r="T48" s="308"/>
      <c r="U48" s="311"/>
      <c r="V48" s="311"/>
      <c r="W48" s="308"/>
      <c r="X48" s="308"/>
      <c r="Y48" s="306"/>
      <c r="Z48" s="306"/>
      <c r="AA48" s="306"/>
      <c r="AB48" s="306"/>
      <c r="AC48" s="306"/>
      <c r="AD48" s="306"/>
      <c r="AE48" s="306"/>
      <c r="AF48" s="306"/>
      <c r="AG48" s="306"/>
      <c r="AI48" s="325"/>
      <c r="AJ48" s="300"/>
      <c r="AL48" s="228"/>
    </row>
    <row r="49" spans="1:38" ht="7.5" customHeight="1" thickBot="1" x14ac:dyDescent="0.35">
      <c r="A49" s="276"/>
      <c r="B49" s="234"/>
      <c r="C49" s="232"/>
      <c r="D49" s="232"/>
      <c r="E49" s="18"/>
      <c r="F49" s="233"/>
      <c r="G49" s="223"/>
      <c r="H49" s="20"/>
      <c r="I49" s="222"/>
      <c r="J49" s="223"/>
      <c r="K49" s="222"/>
      <c r="L49" s="223"/>
      <c r="M49" s="19"/>
      <c r="N49" s="224"/>
      <c r="O49" s="18"/>
      <c r="P49" s="225"/>
      <c r="R49" s="219"/>
      <c r="T49" s="309"/>
      <c r="U49" s="312"/>
      <c r="V49" s="312"/>
      <c r="W49" s="309"/>
      <c r="X49" s="309"/>
      <c r="Y49" s="306"/>
      <c r="Z49" s="306"/>
      <c r="AA49" s="306"/>
      <c r="AB49" s="306"/>
      <c r="AC49" s="306"/>
      <c r="AD49" s="306"/>
      <c r="AE49" s="306"/>
      <c r="AF49" s="306"/>
      <c r="AG49" s="306"/>
    </row>
    <row r="50" spans="1:38" ht="7.5" customHeight="1" x14ac:dyDescent="0.3">
      <c r="A50" s="185"/>
      <c r="B50" s="17"/>
      <c r="C50" s="314"/>
      <c r="D50" s="313"/>
      <c r="E50" s="18"/>
      <c r="F50" s="227"/>
      <c r="G50" s="18"/>
      <c r="H50" s="18"/>
      <c r="I50" s="223"/>
      <c r="J50" s="223"/>
      <c r="K50" s="223"/>
      <c r="L50" s="18"/>
      <c r="M50" s="18"/>
      <c r="N50" s="227"/>
      <c r="O50" s="18"/>
      <c r="P50" s="229"/>
      <c r="R50" s="220"/>
      <c r="T50" s="319">
        <v>9</v>
      </c>
      <c r="U50" s="322" t="str">
        <f>VLOOKUP(T50,$Z$10:$AA$69,2,0)</f>
        <v>CANADÁ</v>
      </c>
      <c r="V50" s="322">
        <f>VLOOKUP(T50,$Z$10:$AB$69,3,0)</f>
        <v>2</v>
      </c>
      <c r="W50" s="319">
        <f>VLOOKUP(T50,$Z$10:$AC$69,4,0)</f>
        <v>-3</v>
      </c>
      <c r="X50" s="319">
        <f>VLOOKUP(T50,$Z$10:$AD$69,5,0)</f>
        <v>1</v>
      </c>
      <c r="Y50" s="306" t="str">
        <f>VLOOKUP(T50,$Z$10:$AF$69,7,0)</f>
        <v>B</v>
      </c>
      <c r="Z50" s="306">
        <f>RANK(AE50,$AE$10:$AE$69)</f>
        <v>5</v>
      </c>
      <c r="AA50" s="306" t="str">
        <f>TerceroI</f>
        <v>SENEGAL</v>
      </c>
      <c r="AB50" s="306">
        <f>I!$AC$20</f>
        <v>3</v>
      </c>
      <c r="AC50" s="306">
        <f>I!$AB$20</f>
        <v>-2</v>
      </c>
      <c r="AD50" s="306">
        <f>I!$Z$20</f>
        <v>2</v>
      </c>
      <c r="AE50" s="306">
        <f>AB50*10000+AC50*1000+AD50*100+3+_xlfn.IFNA(VLOOKUP(AA50,$AJ$11:$AL$68,3,0)-3,0)</f>
        <v>28203</v>
      </c>
      <c r="AF50" s="306" t="s">
        <v>434</v>
      </c>
      <c r="AG50" s="306">
        <f>V50*100+W50*10+X50</f>
        <v>171</v>
      </c>
    </row>
    <row r="51" spans="1:38" ht="7.5" customHeight="1" thickBot="1" x14ac:dyDescent="0.35">
      <c r="A51" s="185"/>
      <c r="B51" s="17"/>
      <c r="C51" s="314"/>
      <c r="D51" s="313"/>
      <c r="E51" s="18"/>
      <c r="F51" s="227"/>
      <c r="G51" s="18"/>
      <c r="H51" s="18"/>
      <c r="I51" s="223"/>
      <c r="J51" s="223"/>
      <c r="K51" s="223"/>
      <c r="L51" s="18"/>
      <c r="M51" s="18"/>
      <c r="N51" s="227"/>
      <c r="O51" s="18"/>
      <c r="P51" s="229"/>
      <c r="R51" s="220"/>
      <c r="T51" s="320"/>
      <c r="U51" s="323"/>
      <c r="V51" s="323"/>
      <c r="W51" s="320"/>
      <c r="X51" s="320"/>
      <c r="Y51" s="306"/>
      <c r="Z51" s="306"/>
      <c r="AA51" s="306"/>
      <c r="AB51" s="306"/>
      <c r="AC51" s="306"/>
      <c r="AD51" s="306"/>
      <c r="AE51" s="306"/>
      <c r="AF51" s="306"/>
      <c r="AG51" s="306"/>
      <c r="AI51" s="325" t="str">
        <f>IF(AND($AL$8=144,COUNTIF($AG$10:$AG$69,AG50)&gt;1),"! ","")</f>
        <v/>
      </c>
      <c r="AJ51" s="298"/>
      <c r="AL51" s="228">
        <v>0.4</v>
      </c>
    </row>
    <row r="52" spans="1:38" ht="7.5" customHeight="1" x14ac:dyDescent="0.3">
      <c r="A52" s="276">
        <v>84</v>
      </c>
      <c r="B52" s="234">
        <v>83</v>
      </c>
      <c r="C52" s="235">
        <f>VLOOKUP(A52,tDatos[],IF(UTCElegido="",3,12),0)</f>
        <v>46205</v>
      </c>
      <c r="D52" s="231">
        <f>VLOOKUP(A52,tDatos[],IF(UTCElegido="",4,12),0)</f>
        <v>0.79166666666424135</v>
      </c>
      <c r="E52" s="27" t="str">
        <f>IF(F52="","vacía",SUBSTITUTE(F52," ","_"))</f>
        <v>PORTUGAL</v>
      </c>
      <c r="F52" s="233" t="str">
        <f>IF($AL$8=144,VLOOKUP(A52,tDatos[],5,0),"")</f>
        <v>PORTUGAL</v>
      </c>
      <c r="G52" s="223" t="str">
        <f>IF(AND(I52&lt;&gt;"",K52&lt;&gt;""),IF(I52=K52,"E",IF(I52&gt;K52,"G","P")),"")</f>
        <v>G</v>
      </c>
      <c r="H52" s="20"/>
      <c r="I52" s="221">
        <v>3</v>
      </c>
      <c r="J52" s="223" t="s">
        <v>0</v>
      </c>
      <c r="K52" s="221">
        <v>2</v>
      </c>
      <c r="L52" s="223" t="str">
        <f>IF(AND(K52&lt;&gt;"",I52&lt;&gt;""),IF(K52=I52,"E",IF(K52&gt;I52,"G","P")),"")</f>
        <v>P</v>
      </c>
      <c r="M52" s="19"/>
      <c r="N52" s="224" t="str">
        <f>IF($AL$8=144,VLOOKUP(A52,tDatos[],6,0),"")</f>
        <v>INGLATERRA</v>
      </c>
      <c r="O52" s="27" t="str">
        <f>IF(N52="","vacía",SUBSTITUTE(N52," ","_"))</f>
        <v>INGLATERRA</v>
      </c>
      <c r="P52" s="225" t="str">
        <f>VLOOKUP(A52,tDatos[],9,0)</f>
        <v>Toronto</v>
      </c>
      <c r="R52" s="218" t="str">
        <f>IF(G52="","",IF(G52="E","Suma los penales",IF(G52="G",F52,N52)))</f>
        <v>PORTUGAL</v>
      </c>
      <c r="T52" s="320"/>
      <c r="U52" s="323"/>
      <c r="V52" s="323"/>
      <c r="W52" s="320"/>
      <c r="X52" s="320"/>
      <c r="Y52" s="306"/>
      <c r="Z52" s="306"/>
      <c r="AA52" s="306"/>
      <c r="AB52" s="306"/>
      <c r="AC52" s="306"/>
      <c r="AD52" s="306"/>
      <c r="AE52" s="306"/>
      <c r="AF52" s="306"/>
      <c r="AG52" s="306"/>
      <c r="AI52" s="325"/>
      <c r="AJ52" s="299"/>
      <c r="AL52" s="228"/>
    </row>
    <row r="53" spans="1:38" ht="7.5" customHeight="1" thickBot="1" x14ac:dyDescent="0.35">
      <c r="A53" s="276"/>
      <c r="B53" s="234"/>
      <c r="C53" s="232"/>
      <c r="D53" s="232"/>
      <c r="E53" s="18"/>
      <c r="F53" s="233"/>
      <c r="G53" s="223"/>
      <c r="H53" s="20"/>
      <c r="I53" s="222"/>
      <c r="J53" s="223"/>
      <c r="K53" s="222"/>
      <c r="L53" s="223"/>
      <c r="M53" s="19"/>
      <c r="N53" s="224"/>
      <c r="O53" s="18"/>
      <c r="P53" s="225"/>
      <c r="R53" s="219"/>
      <c r="T53" s="320"/>
      <c r="U53" s="323"/>
      <c r="V53" s="323"/>
      <c r="W53" s="320"/>
      <c r="X53" s="320"/>
      <c r="Y53" s="306"/>
      <c r="Z53" s="306"/>
      <c r="AA53" s="306"/>
      <c r="AB53" s="306"/>
      <c r="AC53" s="306"/>
      <c r="AD53" s="306"/>
      <c r="AE53" s="306"/>
      <c r="AF53" s="306"/>
      <c r="AG53" s="306"/>
      <c r="AI53" s="325"/>
      <c r="AJ53" s="300"/>
      <c r="AL53" s="228"/>
    </row>
    <row r="54" spans="1:38" ht="7.5" customHeight="1" x14ac:dyDescent="0.3">
      <c r="A54" s="185"/>
      <c r="B54" s="17"/>
      <c r="C54" s="314"/>
      <c r="D54" s="313"/>
      <c r="E54" s="18"/>
      <c r="F54" s="227"/>
      <c r="G54" s="18"/>
      <c r="H54" s="18"/>
      <c r="I54" s="223"/>
      <c r="J54" s="223"/>
      <c r="K54" s="223"/>
      <c r="L54" s="18"/>
      <c r="M54" s="18"/>
      <c r="N54" s="227"/>
      <c r="O54" s="18"/>
      <c r="P54" s="229"/>
      <c r="R54" s="220"/>
      <c r="T54" s="321"/>
      <c r="U54" s="324"/>
      <c r="V54" s="324"/>
      <c r="W54" s="321"/>
      <c r="X54" s="321"/>
      <c r="Y54" s="306"/>
      <c r="Z54" s="306"/>
      <c r="AA54" s="306"/>
      <c r="AB54" s="306"/>
      <c r="AC54" s="306"/>
      <c r="AD54" s="306"/>
      <c r="AE54" s="306"/>
      <c r="AF54" s="306"/>
      <c r="AG54" s="306"/>
    </row>
    <row r="55" spans="1:38" ht="7.5" customHeight="1" thickBot="1" x14ac:dyDescent="0.35">
      <c r="A55" s="185"/>
      <c r="B55" s="17"/>
      <c r="C55" s="314"/>
      <c r="D55" s="313"/>
      <c r="E55" s="18"/>
      <c r="F55" s="227"/>
      <c r="G55" s="18"/>
      <c r="H55" s="18"/>
      <c r="I55" s="223"/>
      <c r="J55" s="223"/>
      <c r="K55" s="223"/>
      <c r="L55" s="18"/>
      <c r="M55" s="18"/>
      <c r="N55" s="227"/>
      <c r="O55" s="18"/>
      <c r="P55" s="229"/>
      <c r="R55" s="220"/>
      <c r="T55" s="319">
        <v>10</v>
      </c>
      <c r="U55" s="322" t="str">
        <f>VLOOKUP(T55,$Z$10:$AA$69,2,0)</f>
        <v>IRÁN</v>
      </c>
      <c r="V55" s="322">
        <f>VLOOKUP(T55,$Z$10:$AB$69,3,0)</f>
        <v>1</v>
      </c>
      <c r="W55" s="319">
        <f>VLOOKUP(T55,$Z$10:$AC$69,4,0)</f>
        <v>-4</v>
      </c>
      <c r="X55" s="319">
        <f>VLOOKUP(T55,$Z$10:$AD$69,5,0)</f>
        <v>3</v>
      </c>
      <c r="Y55" s="306" t="str">
        <f>VLOOKUP(T55,$Z$10:$AF$69,7,0)</f>
        <v>G</v>
      </c>
      <c r="Z55" s="306">
        <f>RANK(AE55,$AE$10:$AE$69)</f>
        <v>8</v>
      </c>
      <c r="AA55" s="306" t="str">
        <f>TerceroJ</f>
        <v>JORDANIA</v>
      </c>
      <c r="AB55" s="306">
        <f>J!$AC$20</f>
        <v>2</v>
      </c>
      <c r="AC55" s="306">
        <f>J!$AB$20</f>
        <v>-2</v>
      </c>
      <c r="AD55" s="306">
        <f>J!$Z$20</f>
        <v>4</v>
      </c>
      <c r="AE55" s="306">
        <f>AB55*10000+AC55*1000+AD55*100+2+_xlfn.IFNA(VLOOKUP(AA55,$AJ$11:$AL$68,3,0)-2,0)</f>
        <v>18402</v>
      </c>
      <c r="AF55" s="306" t="s">
        <v>435</v>
      </c>
      <c r="AG55" s="306">
        <f>V55*100+W55*10+X55</f>
        <v>63</v>
      </c>
    </row>
    <row r="56" spans="1:38" ht="7.5" customHeight="1" x14ac:dyDescent="0.3">
      <c r="A56" s="276">
        <v>85</v>
      </c>
      <c r="B56" s="234">
        <v>85</v>
      </c>
      <c r="C56" s="235">
        <f>VLOOKUP(A56,tDatos[],IF(UTCElegido="",3,12),0)</f>
        <v>46206</v>
      </c>
      <c r="D56" s="231">
        <f>VLOOKUP(A56,tDatos[],IF(UTCElegido="",4,12),0)</f>
        <v>0.95833333333575865</v>
      </c>
      <c r="E56" s="27" t="str">
        <f>IF(F56="","vacía",SUBSTITUTE(F56," ","_"))</f>
        <v>SUIZA</v>
      </c>
      <c r="F56" s="233" t="str">
        <f>IF($AL$8=144,VLOOKUP(A56,tDatos[],5,0),"")</f>
        <v>SUIZA</v>
      </c>
      <c r="G56" s="223" t="str">
        <f>IF(AND(I56&lt;&gt;"",K56&lt;&gt;""),IF(I56=K56,"E",IF(I56&gt;K56,"G","P")),"")</f>
        <v>G</v>
      </c>
      <c r="H56" s="20"/>
      <c r="I56" s="221">
        <v>2</v>
      </c>
      <c r="J56" s="223" t="s">
        <v>0</v>
      </c>
      <c r="K56" s="221">
        <v>1</v>
      </c>
      <c r="L56" s="223" t="str">
        <f>IF(AND(K56&lt;&gt;"",I56&lt;&gt;""),IF(K56=I56,"E",IF(K56&gt;I56,"G","P")),"")</f>
        <v>P</v>
      </c>
      <c r="M56" s="19"/>
      <c r="N56" s="224" t="str">
        <f>IF($AL$8=144,VLOOKUP(A56,tDatos[],6,0),"")</f>
        <v>JORDANIA</v>
      </c>
      <c r="O56" s="27" t="str">
        <f>IF(N56="","vacía",SUBSTITUTE(N56," ","_"))</f>
        <v>JORDANIA</v>
      </c>
      <c r="P56" s="225" t="str">
        <f>VLOOKUP(A56,tDatos[],9,0)</f>
        <v>Vancouver</v>
      </c>
      <c r="R56" s="218" t="str">
        <f>IF(G56="","",IF(G56="E","Suma los penales",IF(G56="G",F56,N56)))</f>
        <v>SUIZA</v>
      </c>
      <c r="T56" s="320"/>
      <c r="U56" s="323"/>
      <c r="V56" s="323"/>
      <c r="W56" s="320"/>
      <c r="X56" s="320"/>
      <c r="Y56" s="306"/>
      <c r="Z56" s="306"/>
      <c r="AA56" s="306"/>
      <c r="AB56" s="306"/>
      <c r="AC56" s="306"/>
      <c r="AD56" s="306"/>
      <c r="AE56" s="306"/>
      <c r="AF56" s="306"/>
      <c r="AG56" s="306"/>
      <c r="AI56" s="325" t="str">
        <f>IF(AND($AL$8=144,COUNTIF($AG$10:$AG$69,AG55)&gt;1),"! ","")</f>
        <v/>
      </c>
      <c r="AJ56" s="298"/>
      <c r="AL56" s="228">
        <v>0.3</v>
      </c>
    </row>
    <row r="57" spans="1:38" ht="7.5" customHeight="1" thickBot="1" x14ac:dyDescent="0.35">
      <c r="A57" s="276"/>
      <c r="B57" s="234"/>
      <c r="C57" s="232"/>
      <c r="D57" s="232"/>
      <c r="E57" s="18"/>
      <c r="F57" s="233"/>
      <c r="G57" s="223"/>
      <c r="H57" s="20"/>
      <c r="I57" s="222"/>
      <c r="J57" s="223"/>
      <c r="K57" s="222"/>
      <c r="L57" s="223"/>
      <c r="M57" s="19"/>
      <c r="N57" s="224"/>
      <c r="O57" s="18"/>
      <c r="P57" s="225"/>
      <c r="R57" s="219"/>
      <c r="T57" s="320"/>
      <c r="U57" s="323"/>
      <c r="V57" s="323"/>
      <c r="W57" s="320"/>
      <c r="X57" s="320"/>
      <c r="Y57" s="306"/>
      <c r="Z57" s="306"/>
      <c r="AA57" s="306"/>
      <c r="AB57" s="306"/>
      <c r="AC57" s="306"/>
      <c r="AD57" s="306"/>
      <c r="AE57" s="306"/>
      <c r="AF57" s="306"/>
      <c r="AG57" s="306"/>
      <c r="AI57" s="325"/>
      <c r="AJ57" s="299"/>
      <c r="AL57" s="228"/>
    </row>
    <row r="58" spans="1:38" ht="7.5" customHeight="1" x14ac:dyDescent="0.3">
      <c r="A58" s="185"/>
      <c r="B58" s="17"/>
      <c r="C58" s="314"/>
      <c r="D58" s="313"/>
      <c r="E58" s="18"/>
      <c r="F58" s="227"/>
      <c r="G58" s="18"/>
      <c r="H58" s="18"/>
      <c r="I58" s="223"/>
      <c r="J58" s="223"/>
      <c r="K58" s="223"/>
      <c r="L58" s="18"/>
      <c r="M58" s="18"/>
      <c r="N58" s="227"/>
      <c r="O58" s="18"/>
      <c r="P58" s="229"/>
      <c r="R58" s="220"/>
      <c r="T58" s="320"/>
      <c r="U58" s="323"/>
      <c r="V58" s="323"/>
      <c r="W58" s="320"/>
      <c r="X58" s="320"/>
      <c r="Y58" s="306"/>
      <c r="Z58" s="306"/>
      <c r="AA58" s="306"/>
      <c r="AB58" s="306"/>
      <c r="AC58" s="306"/>
      <c r="AD58" s="306"/>
      <c r="AE58" s="306"/>
      <c r="AF58" s="306"/>
      <c r="AG58" s="306"/>
      <c r="AI58" s="325"/>
      <c r="AJ58" s="300"/>
      <c r="AL58" s="228"/>
    </row>
    <row r="59" spans="1:38" ht="7.5" customHeight="1" thickBot="1" x14ac:dyDescent="0.35">
      <c r="A59" s="185"/>
      <c r="B59" s="17"/>
      <c r="C59" s="314"/>
      <c r="D59" s="313"/>
      <c r="E59" s="18"/>
      <c r="F59" s="227"/>
      <c r="G59" s="18"/>
      <c r="H59" s="18"/>
      <c r="I59" s="223"/>
      <c r="J59" s="223"/>
      <c r="K59" s="223"/>
      <c r="L59" s="18"/>
      <c r="M59" s="18"/>
      <c r="N59" s="227"/>
      <c r="O59" s="18"/>
      <c r="P59" s="229"/>
      <c r="R59" s="220"/>
      <c r="T59" s="321"/>
      <c r="U59" s="324"/>
      <c r="V59" s="324"/>
      <c r="W59" s="321"/>
      <c r="X59" s="321"/>
      <c r="Y59" s="306"/>
      <c r="Z59" s="306"/>
      <c r="AA59" s="306"/>
      <c r="AB59" s="306"/>
      <c r="AC59" s="306"/>
      <c r="AD59" s="306"/>
      <c r="AE59" s="306"/>
      <c r="AF59" s="306"/>
      <c r="AG59" s="306"/>
    </row>
    <row r="60" spans="1:38" ht="7.5" customHeight="1" x14ac:dyDescent="0.3">
      <c r="A60" s="276">
        <v>86</v>
      </c>
      <c r="B60" s="234">
        <v>88</v>
      </c>
      <c r="C60" s="235">
        <f>VLOOKUP(A60,tDatos[],IF(UTCElegido="",3,12),0)</f>
        <v>46206</v>
      </c>
      <c r="D60" s="231">
        <f>VLOOKUP(A60,tDatos[],IF(UTCElegido="",4,12),0)</f>
        <v>0.58333333333575865</v>
      </c>
      <c r="E60" s="27" t="str">
        <f>IF(F60="","vacía",SUBSTITUTE(F60," ","_"))</f>
        <v>PARAGUAY</v>
      </c>
      <c r="F60" s="233" t="str">
        <f>IF($AL$8=144,VLOOKUP(A60,tDatos[],5,0),"")</f>
        <v>PARAGUAY</v>
      </c>
      <c r="G60" s="223" t="str">
        <f>IF(AND(I60&lt;&gt;"",K60&lt;&gt;""),IF(I60=K60,"E",IF(I60&gt;K60,"G","P")),"")</f>
        <v>P</v>
      </c>
      <c r="H60" s="20"/>
      <c r="I60" s="221">
        <v>1</v>
      </c>
      <c r="J60" s="223" t="s">
        <v>0</v>
      </c>
      <c r="K60" s="221">
        <v>2</v>
      </c>
      <c r="L60" s="223" t="str">
        <f>IF(AND(K60&lt;&gt;"",I60&lt;&gt;""),IF(K60=I60,"E",IF(K60&gt;I60,"G","P")),"")</f>
        <v>G</v>
      </c>
      <c r="M60" s="19"/>
      <c r="N60" s="224" t="str">
        <f>IF($AL$8=144,VLOOKUP(A60,tDatos[],6,0),"")</f>
        <v>EGIPTO</v>
      </c>
      <c r="O60" s="27" t="str">
        <f>IF(N60="","vacía",SUBSTITUTE(N60," ","_"))</f>
        <v>EGIPTO</v>
      </c>
      <c r="P60" s="225" t="str">
        <f>VLOOKUP(A60,tDatos[],9,0)</f>
        <v>Dallas</v>
      </c>
      <c r="R60" s="218" t="str">
        <f>IF(G60="","",IF(G60="E","Suma los penales",IF(G60="G",F60,N60)))</f>
        <v>EGIPTO</v>
      </c>
      <c r="T60" s="319">
        <v>11</v>
      </c>
      <c r="U60" s="322" t="str">
        <f>VLOOKUP(T60,$Z$10:$AA$69,2,0)</f>
        <v>ARABIA SAUDITA</v>
      </c>
      <c r="V60" s="322">
        <f>VLOOKUP(T60,$Z$10:$AB$69,3,0)</f>
        <v>1</v>
      </c>
      <c r="W60" s="319">
        <f>VLOOKUP(T60,$Z$10:$AC$69,4,0)</f>
        <v>-4</v>
      </c>
      <c r="X60" s="319">
        <f>VLOOKUP(T60,$Z$10:$AD$69,5,0)</f>
        <v>2</v>
      </c>
      <c r="Y60" s="306" t="str">
        <f>VLOOKUP(T60,$Z$10:$AF$69,7,0)</f>
        <v>H</v>
      </c>
      <c r="Z60" s="306">
        <f>RANK(AE60,$AE$10:$AE$69)</f>
        <v>3</v>
      </c>
      <c r="AA60" s="306" t="str">
        <f>TerceroK</f>
        <v>REP. del CONGO</v>
      </c>
      <c r="AB60" s="306">
        <f>K!$AC$20</f>
        <v>3</v>
      </c>
      <c r="AC60" s="306">
        <f>K!$AB$20</f>
        <v>0</v>
      </c>
      <c r="AD60" s="306">
        <f>K!$Z$20</f>
        <v>5</v>
      </c>
      <c r="AE60" s="306">
        <f>AB60*10000+AC60*1000+AD60*100+1+_xlfn.IFNA(VLOOKUP(AA60,$AJ$11:$AL$68,3,0)-1,0)</f>
        <v>30501</v>
      </c>
      <c r="AF60" s="306" t="s">
        <v>436</v>
      </c>
      <c r="AG60" s="306">
        <f>V60*100+W60*10+X60</f>
        <v>62</v>
      </c>
    </row>
    <row r="61" spans="1:38" ht="7.5" customHeight="1" thickBot="1" x14ac:dyDescent="0.35">
      <c r="A61" s="276"/>
      <c r="B61" s="234"/>
      <c r="C61" s="232"/>
      <c r="D61" s="232"/>
      <c r="E61" s="18"/>
      <c r="F61" s="233"/>
      <c r="G61" s="223"/>
      <c r="H61" s="20"/>
      <c r="I61" s="222"/>
      <c r="J61" s="223"/>
      <c r="K61" s="222"/>
      <c r="L61" s="223"/>
      <c r="M61" s="19"/>
      <c r="N61" s="224"/>
      <c r="O61" s="18"/>
      <c r="P61" s="225"/>
      <c r="R61" s="219"/>
      <c r="T61" s="320"/>
      <c r="U61" s="323"/>
      <c r="V61" s="323"/>
      <c r="W61" s="320"/>
      <c r="X61" s="320"/>
      <c r="Y61" s="306"/>
      <c r="Z61" s="306"/>
      <c r="AA61" s="306"/>
      <c r="AB61" s="306"/>
      <c r="AC61" s="306"/>
      <c r="AD61" s="306"/>
      <c r="AE61" s="306"/>
      <c r="AF61" s="306"/>
      <c r="AG61" s="306"/>
      <c r="AI61" s="325" t="str">
        <f>IF(AND($AL$8=144,COUNTIF($AG$10:$AG$69,AG60)&gt;1),"! ","")</f>
        <v xml:space="preserve">! </v>
      </c>
      <c r="AJ61" s="298"/>
      <c r="AL61" s="228">
        <v>0.2</v>
      </c>
    </row>
    <row r="62" spans="1:38" ht="7.5" customHeight="1" x14ac:dyDescent="0.3">
      <c r="A62" s="185"/>
      <c r="B62" s="17"/>
      <c r="C62" s="314"/>
      <c r="D62" s="313"/>
      <c r="E62" s="18"/>
      <c r="F62" s="227"/>
      <c r="G62" s="18"/>
      <c r="H62" s="18"/>
      <c r="I62" s="315"/>
      <c r="J62" s="223"/>
      <c r="K62" s="315"/>
      <c r="L62" s="18"/>
      <c r="M62" s="18"/>
      <c r="N62" s="227"/>
      <c r="O62" s="18"/>
      <c r="P62" s="229"/>
      <c r="R62" s="220"/>
      <c r="T62" s="320"/>
      <c r="U62" s="323"/>
      <c r="V62" s="323"/>
      <c r="W62" s="320"/>
      <c r="X62" s="320"/>
      <c r="Y62" s="306"/>
      <c r="Z62" s="306"/>
      <c r="AA62" s="306"/>
      <c r="AB62" s="306"/>
      <c r="AC62" s="306"/>
      <c r="AD62" s="306"/>
      <c r="AE62" s="306"/>
      <c r="AF62" s="306"/>
      <c r="AG62" s="306"/>
      <c r="AI62" s="325"/>
      <c r="AJ62" s="299"/>
      <c r="AL62" s="228"/>
    </row>
    <row r="63" spans="1:38" ht="7.5" customHeight="1" thickBot="1" x14ac:dyDescent="0.35">
      <c r="A63" s="185"/>
      <c r="B63" s="17"/>
      <c r="C63" s="314"/>
      <c r="D63" s="313"/>
      <c r="E63" s="18"/>
      <c r="F63" s="227"/>
      <c r="G63" s="18"/>
      <c r="H63" s="18"/>
      <c r="I63" s="316"/>
      <c r="J63" s="223"/>
      <c r="K63" s="316"/>
      <c r="L63" s="18"/>
      <c r="M63" s="18"/>
      <c r="N63" s="227"/>
      <c r="O63" s="18"/>
      <c r="P63" s="229"/>
      <c r="R63" s="220"/>
      <c r="T63" s="320"/>
      <c r="U63" s="323"/>
      <c r="V63" s="323"/>
      <c r="W63" s="320"/>
      <c r="X63" s="320"/>
      <c r="Y63" s="306"/>
      <c r="Z63" s="306"/>
      <c r="AA63" s="306"/>
      <c r="AB63" s="306"/>
      <c r="AC63" s="306"/>
      <c r="AD63" s="306"/>
      <c r="AE63" s="306"/>
      <c r="AF63" s="306"/>
      <c r="AG63" s="306"/>
      <c r="AI63" s="325"/>
      <c r="AJ63" s="300"/>
      <c r="AL63" s="228"/>
    </row>
    <row r="64" spans="1:38" ht="7.5" customHeight="1" x14ac:dyDescent="0.3">
      <c r="A64" s="276">
        <v>87</v>
      </c>
      <c r="B64" s="234">
        <v>86</v>
      </c>
      <c r="C64" s="235">
        <f>VLOOKUP(A64,tDatos[],IF(UTCElegido="",3,12),0)</f>
        <v>46206</v>
      </c>
      <c r="D64" s="231">
        <f>VLOOKUP(A64,tDatos[],IF(UTCElegido="",4,12),0)</f>
        <v>0.75</v>
      </c>
      <c r="E64" s="27" t="str">
        <f>IF(F64="","vacía",SUBSTITUTE(F64," ","_"))</f>
        <v>ARGENTINA</v>
      </c>
      <c r="F64" s="233" t="str">
        <f>IF($AL$8=144,VLOOKUP(A64,tDatos[],5,0),"")</f>
        <v>ARGENTINA</v>
      </c>
      <c r="G64" s="223" t="str">
        <f>IF(AND(I64&lt;&gt;"",K64&lt;&gt;""),IF(I64=K64,"E",IF(I64&gt;K64,"G","P")),"")</f>
        <v>G</v>
      </c>
      <c r="H64" s="20"/>
      <c r="I64" s="221">
        <v>2</v>
      </c>
      <c r="J64" s="223" t="s">
        <v>0</v>
      </c>
      <c r="K64" s="221">
        <v>1</v>
      </c>
      <c r="L64" s="223" t="str">
        <f>IF(AND(K64&lt;&gt;"",I64&lt;&gt;""),IF(K64=I64,"E",IF(K64&gt;I64,"G","P")),"")</f>
        <v>P</v>
      </c>
      <c r="M64" s="19"/>
      <c r="N64" s="224" t="str">
        <f>IF($AL$8=144,VLOOKUP(A64,tDatos[],6,0),"")</f>
        <v>URUGUAY</v>
      </c>
      <c r="O64" s="27" t="str">
        <f>IF(N64="","vacía",SUBSTITUTE(N64," ","_"))</f>
        <v>URUGUAY</v>
      </c>
      <c r="P64" s="225" t="str">
        <f>VLOOKUP(A64,tDatos[],9,0)</f>
        <v>Miami</v>
      </c>
      <c r="R64" s="218" t="str">
        <f>IF(G64="","",IF(G64="E","Suma los penales",IF(G64="G",F64,N64)))</f>
        <v>ARGENTINA</v>
      </c>
      <c r="T64" s="321"/>
      <c r="U64" s="324"/>
      <c r="V64" s="324"/>
      <c r="W64" s="321"/>
      <c r="X64" s="321"/>
      <c r="Y64" s="306"/>
      <c r="Z64" s="306"/>
      <c r="AA64" s="306"/>
      <c r="AB64" s="306"/>
      <c r="AC64" s="306"/>
      <c r="AD64" s="306"/>
      <c r="AE64" s="306"/>
      <c r="AF64" s="306"/>
      <c r="AG64" s="306"/>
    </row>
    <row r="65" spans="1:38" ht="7.5" customHeight="1" thickBot="1" x14ac:dyDescent="0.35">
      <c r="A65" s="276"/>
      <c r="B65" s="234"/>
      <c r="C65" s="232"/>
      <c r="D65" s="232"/>
      <c r="E65" s="18"/>
      <c r="F65" s="233"/>
      <c r="G65" s="223"/>
      <c r="H65" s="20"/>
      <c r="I65" s="222"/>
      <c r="J65" s="223"/>
      <c r="K65" s="222"/>
      <c r="L65" s="223"/>
      <c r="M65" s="19"/>
      <c r="N65" s="224"/>
      <c r="O65" s="18"/>
      <c r="P65" s="225"/>
      <c r="R65" s="219"/>
      <c r="T65" s="319">
        <v>12</v>
      </c>
      <c r="U65" s="322" t="str">
        <f>VLOOKUP(T65,$Z$10:$AA$69,2,0)</f>
        <v>GHANA</v>
      </c>
      <c r="V65" s="322">
        <f>VLOOKUP(T65,$Z$10:$AB$69,3,0)</f>
        <v>1</v>
      </c>
      <c r="W65" s="319">
        <f>VLOOKUP(T65,$Z$10:$AC$69,4,0)</f>
        <v>-4</v>
      </c>
      <c r="X65" s="319">
        <f>VLOOKUP(T65,$Z$10:$AD$69,5,0)</f>
        <v>2</v>
      </c>
      <c r="Y65" s="306" t="str">
        <f>VLOOKUP(T65,$Z$10:$AF$69,7,0)</f>
        <v>L</v>
      </c>
      <c r="Z65" s="306">
        <f>RANK(AE65,$AE$10:$AE$69)</f>
        <v>12</v>
      </c>
      <c r="AA65" s="306" t="str">
        <f>TerceroL</f>
        <v>GHANA</v>
      </c>
      <c r="AB65" s="306">
        <f>L!$AC$20</f>
        <v>1</v>
      </c>
      <c r="AC65" s="306">
        <f>L!$AB$20</f>
        <v>-4</v>
      </c>
      <c r="AD65" s="306">
        <f>L!$Z$20</f>
        <v>2</v>
      </c>
      <c r="AE65" s="306">
        <f>AB65*10000+AC65*1000+AD65*100+_xlfn.IFNA(VLOOKUP(AA65,$AJ$11:$AL$68,3,0),0)</f>
        <v>6200</v>
      </c>
      <c r="AF65" s="306" t="s">
        <v>437</v>
      </c>
      <c r="AG65" s="306">
        <f>V65*100+W65*10+X65</f>
        <v>62</v>
      </c>
    </row>
    <row r="66" spans="1:38" ht="7.5" customHeight="1" x14ac:dyDescent="0.3">
      <c r="A66" s="185"/>
      <c r="B66" s="17"/>
      <c r="C66" s="314"/>
      <c r="D66" s="313"/>
      <c r="E66" s="18"/>
      <c r="F66" s="227"/>
      <c r="G66" s="18"/>
      <c r="H66" s="18"/>
      <c r="I66" s="223"/>
      <c r="J66" s="223"/>
      <c r="K66" s="223"/>
      <c r="L66" s="18"/>
      <c r="M66" s="18"/>
      <c r="N66" s="227"/>
      <c r="O66" s="18"/>
      <c r="P66" s="229"/>
      <c r="R66" s="220"/>
      <c r="T66" s="320"/>
      <c r="U66" s="323"/>
      <c r="V66" s="323"/>
      <c r="W66" s="320"/>
      <c r="X66" s="320"/>
      <c r="Y66" s="306"/>
      <c r="Z66" s="306"/>
      <c r="AA66" s="306"/>
      <c r="AB66" s="306"/>
      <c r="AC66" s="306"/>
      <c r="AD66" s="306"/>
      <c r="AE66" s="306"/>
      <c r="AF66" s="306"/>
      <c r="AG66" s="306"/>
      <c r="AI66" s="325" t="str">
        <f>IF(AND($AL$8=144,COUNTIF($AG$10:$AG$69,AG65)&gt;1),"! ","")</f>
        <v xml:space="preserve">! </v>
      </c>
      <c r="AJ66" s="298"/>
      <c r="AL66" s="228">
        <v>0.1</v>
      </c>
    </row>
    <row r="67" spans="1:38" ht="7.5" customHeight="1" thickBot="1" x14ac:dyDescent="0.35">
      <c r="A67" s="185"/>
      <c r="B67" s="17"/>
      <c r="C67" s="314"/>
      <c r="D67" s="313"/>
      <c r="E67" s="18"/>
      <c r="F67" s="227"/>
      <c r="G67" s="18"/>
      <c r="H67" s="18"/>
      <c r="I67" s="223"/>
      <c r="J67" s="223"/>
      <c r="K67" s="223"/>
      <c r="L67" s="18"/>
      <c r="M67" s="18"/>
      <c r="N67" s="227"/>
      <c r="O67" s="18"/>
      <c r="P67" s="229"/>
      <c r="R67" s="220"/>
      <c r="T67" s="320"/>
      <c r="U67" s="323"/>
      <c r="V67" s="323"/>
      <c r="W67" s="320"/>
      <c r="X67" s="320"/>
      <c r="Y67" s="306"/>
      <c r="Z67" s="306"/>
      <c r="AA67" s="306"/>
      <c r="AB67" s="306"/>
      <c r="AC67" s="306"/>
      <c r="AD67" s="306"/>
      <c r="AE67" s="306"/>
      <c r="AF67" s="306"/>
      <c r="AG67" s="306"/>
      <c r="AI67" s="325"/>
      <c r="AJ67" s="299"/>
      <c r="AL67" s="228"/>
    </row>
    <row r="68" spans="1:38" ht="7.5" customHeight="1" x14ac:dyDescent="0.3">
      <c r="A68" s="276">
        <v>88</v>
      </c>
      <c r="B68" s="234">
        <v>87</v>
      </c>
      <c r="C68" s="235">
        <f>VLOOKUP(A68,tDatos[],IF(UTCElegido="",3,12),0)</f>
        <v>46206</v>
      </c>
      <c r="D68" s="231">
        <f>VLOOKUP(A68,tDatos[],IF(UTCElegido="",4,12),0)</f>
        <v>0.89583333333575865</v>
      </c>
      <c r="E68" s="27" t="str">
        <f>IF(F68="","vacía",SUBSTITUTE(F68," ","_"))</f>
        <v>COLOMBIA</v>
      </c>
      <c r="F68" s="233" t="str">
        <f>IF($AL$8=144,VLOOKUP(A68,tDatos[],5,0),"")</f>
        <v>COLOMBIA</v>
      </c>
      <c r="G68" s="223" t="str">
        <f>IF(AND(I68&lt;&gt;"",K68&lt;&gt;""),IF(I68=K68,"E",IF(I68&gt;K68,"G","P")),"")</f>
        <v>G</v>
      </c>
      <c r="H68" s="20"/>
      <c r="I68" s="221">
        <v>2</v>
      </c>
      <c r="J68" s="223" t="s">
        <v>0</v>
      </c>
      <c r="K68" s="221">
        <v>1</v>
      </c>
      <c r="L68" s="223" t="str">
        <f>IF(AND(K68&lt;&gt;"",I68&lt;&gt;""),IF(K68=I68,"E",IF(K68&gt;I68,"G","P")),"")</f>
        <v>P</v>
      </c>
      <c r="M68" s="19"/>
      <c r="N68" s="224" t="str">
        <f>IF($AL$8=144,VLOOKUP(A68,tDatos[],6,0),"")</f>
        <v>SENEGAL</v>
      </c>
      <c r="O68" s="27" t="str">
        <f>IF(N68="","vacía",SUBSTITUTE(N68," ","_"))</f>
        <v>SENEGAL</v>
      </c>
      <c r="P68" s="225" t="str">
        <f>VLOOKUP(A68,tDatos[],9,0)</f>
        <v>Kansas City</v>
      </c>
      <c r="R68" s="218" t="str">
        <f>IF(G68="","",IF(G68="E","Suma los penales",IF(G68="G",F68,N68)))</f>
        <v>COLOMBIA</v>
      </c>
      <c r="T68" s="320"/>
      <c r="U68" s="323"/>
      <c r="V68" s="323"/>
      <c r="W68" s="320"/>
      <c r="X68" s="320"/>
      <c r="Y68" s="306"/>
      <c r="Z68" s="306"/>
      <c r="AA68" s="306"/>
      <c r="AB68" s="306"/>
      <c r="AC68" s="306"/>
      <c r="AD68" s="306"/>
      <c r="AE68" s="306"/>
      <c r="AF68" s="306"/>
      <c r="AG68" s="306"/>
      <c r="AI68" s="325"/>
      <c r="AJ68" s="300"/>
      <c r="AL68" s="228"/>
    </row>
    <row r="69" spans="1:38" ht="7.5" customHeight="1" thickBot="1" x14ac:dyDescent="0.35">
      <c r="A69" s="276"/>
      <c r="B69" s="234"/>
      <c r="C69" s="232"/>
      <c r="D69" s="232"/>
      <c r="E69" s="18"/>
      <c r="F69" s="233"/>
      <c r="G69" s="223"/>
      <c r="H69" s="20"/>
      <c r="I69" s="222"/>
      <c r="J69" s="223"/>
      <c r="K69" s="222"/>
      <c r="L69" s="223"/>
      <c r="M69" s="19"/>
      <c r="N69" s="224"/>
      <c r="O69" s="18"/>
      <c r="P69" s="225"/>
      <c r="R69" s="219"/>
      <c r="T69" s="321"/>
      <c r="U69" s="324"/>
      <c r="V69" s="324"/>
      <c r="W69" s="321"/>
      <c r="X69" s="321"/>
      <c r="Y69" s="306"/>
      <c r="Z69" s="306"/>
      <c r="AA69" s="306"/>
      <c r="AB69" s="306"/>
      <c r="AC69" s="306"/>
      <c r="AD69" s="306"/>
      <c r="AE69" s="306"/>
      <c r="AF69" s="306"/>
      <c r="AG69" s="306"/>
    </row>
    <row r="70" spans="1:38" ht="3.9" customHeight="1" x14ac:dyDescent="0.3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K38" sqref="K3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0.6640625" customWidth="1"/>
    <col min="7" max="7" width="2.10937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2.33203125" hidden="1" customWidth="1"/>
    <col min="13" max="13" width="0.88671875" customWidth="1"/>
    <col min="14" max="14" width="20.6640625" customWidth="1"/>
    <col min="15" max="15" width="0.88671875" customWidth="1"/>
    <col min="16" max="16" width="14.6640625" customWidth="1"/>
    <col min="17" max="17" width="0.88671875" customWidth="1"/>
    <col min="18" max="18" width="19.5546875" bestFit="1" customWidth="1"/>
    <col min="20" max="20" width="0" hidden="1" customWidth="1"/>
  </cols>
  <sheetData>
    <row r="1" spans="1:20" ht="25.5" customHeight="1" x14ac:dyDescent="0.3"/>
    <row r="2" spans="1:20" ht="35.25" customHeight="1" x14ac:dyDescent="0.3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3"/>
    <row r="5" spans="1:20" ht="18" customHeight="1" thickBot="1" x14ac:dyDescent="0.35">
      <c r="B5" s="28" t="s">
        <v>61</v>
      </c>
    </row>
    <row r="6" spans="1:20" ht="18" customHeight="1" thickBot="1" x14ac:dyDescent="0.35">
      <c r="A6" s="4"/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R6" s="50" t="s">
        <v>36</v>
      </c>
      <c r="T6">
        <f>COUNT(Dieciseisavos!I8:K69)</f>
        <v>32</v>
      </c>
    </row>
    <row r="7" spans="1:20" ht="3.9" customHeight="1" thickBot="1" x14ac:dyDescent="0.35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3">
      <c r="A8" s="276">
        <v>89</v>
      </c>
      <c r="B8" s="234">
        <v>90</v>
      </c>
      <c r="C8" s="235">
        <f>VLOOKUP(A8,tDatos[],IF(UTCElegido="",3,12),0)</f>
        <v>46207</v>
      </c>
      <c r="D8" s="231">
        <f>VLOOKUP(A8,tDatos[],IF(UTCElegido="",4,12),0)</f>
        <v>0.54166666666424135</v>
      </c>
      <c r="E8" s="27" t="str">
        <f>IF(F8="","vacía",SUBSTITUTE(F8," ","_"))</f>
        <v>REP._CHECA</v>
      </c>
      <c r="F8" s="233" t="str">
        <f>IF($T$6=32,VLOOKUP(A8,tDatos[],5,0),"")</f>
        <v>REP. CHECA</v>
      </c>
      <c r="G8" s="223" t="str">
        <f>IF(AND(I8&lt;&gt;"",K8&lt;&gt;""),IF(I8=K8,"E",IF(I8&gt;K8,"G","P")),"")</f>
        <v>P</v>
      </c>
      <c r="H8" s="20"/>
      <c r="I8" s="221">
        <v>1</v>
      </c>
      <c r="J8" s="223" t="s">
        <v>0</v>
      </c>
      <c r="K8" s="221">
        <v>3</v>
      </c>
      <c r="L8" s="223" t="str">
        <f>IF(AND(K8&lt;&gt;"",I8&lt;&gt;""),IF(K8=I8,"E",IF(K8&gt;I8,"G","P")),"")</f>
        <v>G</v>
      </c>
      <c r="M8" s="19"/>
      <c r="N8" s="224" t="str">
        <f>IF($T$6=32,VLOOKUP(A8,tDatos[],6,0),"")</f>
        <v>PAÍSES BAJOS</v>
      </c>
      <c r="O8" s="27" t="str">
        <f>IF(N8="","vacía",SUBSTITUTE(N8," ","_"))</f>
        <v>PAÍSES_BAJOS</v>
      </c>
      <c r="P8" s="225" t="str">
        <f>VLOOKUP(A8,tDatos[],9,0)</f>
        <v>Houston</v>
      </c>
      <c r="R8" s="218" t="str">
        <f>IF(G8="","",IF(G8="E","Suma los penales",IF(G8="G",F8,N8)))</f>
        <v>PAÍSES BAJOS</v>
      </c>
    </row>
    <row r="9" spans="1:20" ht="7.5" customHeight="1" thickBot="1" x14ac:dyDescent="0.35">
      <c r="A9" s="276"/>
      <c r="B9" s="234"/>
      <c r="C9" s="232"/>
      <c r="D9" s="232"/>
      <c r="E9" s="18"/>
      <c r="F9" s="233"/>
      <c r="G9" s="223"/>
      <c r="H9" s="20"/>
      <c r="I9" s="222"/>
      <c r="J9" s="223"/>
      <c r="K9" s="222"/>
      <c r="L9" s="223"/>
      <c r="M9" s="19"/>
      <c r="N9" s="224"/>
      <c r="O9" s="18"/>
      <c r="P9" s="225"/>
      <c r="R9" s="219"/>
    </row>
    <row r="10" spans="1:20" ht="7.5" customHeight="1" x14ac:dyDescent="0.3">
      <c r="A10" s="276"/>
      <c r="B10" s="234"/>
      <c r="C10" s="314"/>
      <c r="D10" s="313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229"/>
      <c r="R10" s="220"/>
    </row>
    <row r="11" spans="1:20" ht="7.5" customHeight="1" thickBot="1" x14ac:dyDescent="0.35">
      <c r="A11" s="276"/>
      <c r="B11" s="234"/>
      <c r="C11" s="314"/>
      <c r="D11" s="313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229"/>
      <c r="R11" s="220"/>
    </row>
    <row r="12" spans="1:20" ht="7.5" customHeight="1" x14ac:dyDescent="0.3">
      <c r="A12" s="276">
        <v>90</v>
      </c>
      <c r="B12" s="234">
        <v>89</v>
      </c>
      <c r="C12" s="235">
        <f>VLOOKUP(A12,tDatos[],IF(UTCElegido="",3,12),0)</f>
        <v>46207</v>
      </c>
      <c r="D12" s="231">
        <f>VLOOKUP(A12,tDatos[],IF(UTCElegido="",4,12),0)</f>
        <v>0.70833333333575865</v>
      </c>
      <c r="E12" s="27" t="str">
        <f>IF(F12="","vacía",SUBSTITUTE(F12," ","_"))</f>
        <v>ALEMANIA</v>
      </c>
      <c r="F12" s="233" t="str">
        <f>IF($T$6=32,VLOOKUP(A12,tDatos[],5,0),"")</f>
        <v>ALEMANIA</v>
      </c>
      <c r="G12" s="223" t="str">
        <f>IF(AND(I12&lt;&gt;"",K12&lt;&gt;""),IF(I12=K12,"E",IF(I12&gt;K12,"G","P")),"")</f>
        <v>P</v>
      </c>
      <c r="H12" s="20"/>
      <c r="I12" s="221">
        <v>1</v>
      </c>
      <c r="J12" s="223" t="s">
        <v>0</v>
      </c>
      <c r="K12" s="221">
        <v>2</v>
      </c>
      <c r="L12" s="223" t="str">
        <f>IF(AND(K12&lt;&gt;"",I12&lt;&gt;""),IF(K12=I12,"E",IF(K12&gt;I12,"G","P")),"")</f>
        <v>G</v>
      </c>
      <c r="M12" s="19"/>
      <c r="N12" s="224" t="str">
        <f>IF($T$6=32,VLOOKUP(A12,tDatos[],6,0),"")</f>
        <v>FRANCIA</v>
      </c>
      <c r="O12" s="27" t="str">
        <f>IF(N12="","vacía",SUBSTITUTE(N12," ","_"))</f>
        <v>FRANCIA</v>
      </c>
      <c r="P12" s="225" t="str">
        <f>VLOOKUP(A12,tDatos[],9,0)</f>
        <v>Filadelfia</v>
      </c>
      <c r="R12" s="218" t="str">
        <f>IF(G12="","",IF(G12="E","Suma los penales",IF(G12="G",F12,N12)))</f>
        <v>FRANCIA</v>
      </c>
    </row>
    <row r="13" spans="1:20" ht="7.5" customHeight="1" thickBot="1" x14ac:dyDescent="0.35">
      <c r="A13" s="276"/>
      <c r="B13" s="234"/>
      <c r="C13" s="232"/>
      <c r="D13" s="232"/>
      <c r="E13" s="18"/>
      <c r="F13" s="233"/>
      <c r="G13" s="223"/>
      <c r="H13" s="20"/>
      <c r="I13" s="222"/>
      <c r="J13" s="223"/>
      <c r="K13" s="222"/>
      <c r="L13" s="223"/>
      <c r="M13" s="19"/>
      <c r="N13" s="224"/>
      <c r="O13" s="18"/>
      <c r="P13" s="225"/>
      <c r="R13" s="219"/>
    </row>
    <row r="14" spans="1:20" ht="7.5" customHeight="1" x14ac:dyDescent="0.3">
      <c r="A14" s="276"/>
      <c r="B14" s="234"/>
      <c r="C14" s="314"/>
      <c r="D14" s="313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229"/>
      <c r="R14" s="220"/>
    </row>
    <row r="15" spans="1:20" ht="7.5" customHeight="1" thickBot="1" x14ac:dyDescent="0.35">
      <c r="A15" s="276"/>
      <c r="B15" s="234"/>
      <c r="C15" s="314"/>
      <c r="D15" s="313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229"/>
      <c r="R15" s="220"/>
    </row>
    <row r="16" spans="1:20" ht="7.5" customHeight="1" x14ac:dyDescent="0.3">
      <c r="A16" s="276">
        <v>91</v>
      </c>
      <c r="B16" s="234">
        <v>91</v>
      </c>
      <c r="C16" s="235">
        <f>VLOOKUP(A16,tDatos[],IF(UTCElegido="",3,12),0)</f>
        <v>46208</v>
      </c>
      <c r="D16" s="231">
        <f>VLOOKUP(A16,tDatos[],IF(UTCElegido="",4,12),0)</f>
        <v>0.66666666666424135</v>
      </c>
      <c r="E16" s="27" t="str">
        <f>IF(F16="","vacía",SUBSTITUTE(F16," ","_"))</f>
        <v>BRASIL</v>
      </c>
      <c r="F16" s="233" t="str">
        <f>IF($T$6=32,VLOOKUP(A16,tDatos[],5,0),"")</f>
        <v>BRASIL</v>
      </c>
      <c r="G16" s="223" t="str">
        <f>IF(AND(I16&lt;&gt;"",K16&lt;&gt;""),IF(I16=K16,"E",IF(I16&gt;K16,"G","P")),"")</f>
        <v>G</v>
      </c>
      <c r="H16" s="20"/>
      <c r="I16" s="221">
        <v>2</v>
      </c>
      <c r="J16" s="223" t="s">
        <v>0</v>
      </c>
      <c r="K16" s="221">
        <v>1</v>
      </c>
      <c r="L16" s="223" t="str">
        <f>IF(AND(K16&lt;&gt;"",I16&lt;&gt;""),IF(K16=I16,"E",IF(K16&gt;I16,"G","P")),"")</f>
        <v>P</v>
      </c>
      <c r="M16" s="19"/>
      <c r="N16" s="224" t="str">
        <f>IF($T$6=32,VLOOKUP(A16,tDatos[],6,0),"")</f>
        <v>ECUADOR</v>
      </c>
      <c r="O16" s="27" t="str">
        <f>IF(N16="","vacía",SUBSTITUTE(N16," ","_"))</f>
        <v>ECUADOR</v>
      </c>
      <c r="P16" s="225" t="str">
        <f>VLOOKUP(A16,tDatos[],9,0)</f>
        <v>N. York/N. Jersey</v>
      </c>
      <c r="R16" s="218" t="str">
        <f>IF(G16="","",IF(G16="E","Suma los penales",IF(G16="G",F16,N16)))</f>
        <v>BRASIL</v>
      </c>
    </row>
    <row r="17" spans="1:18" ht="7.5" customHeight="1" thickBot="1" x14ac:dyDescent="0.35">
      <c r="A17" s="276"/>
      <c r="B17" s="234"/>
      <c r="C17" s="232"/>
      <c r="D17" s="232"/>
      <c r="E17" s="18"/>
      <c r="F17" s="233"/>
      <c r="G17" s="223"/>
      <c r="H17" s="20"/>
      <c r="I17" s="222"/>
      <c r="J17" s="223"/>
      <c r="K17" s="222"/>
      <c r="L17" s="223"/>
      <c r="M17" s="19"/>
      <c r="N17" s="224"/>
      <c r="O17" s="18"/>
      <c r="P17" s="225"/>
      <c r="R17" s="219"/>
    </row>
    <row r="18" spans="1:18" ht="7.5" customHeight="1" x14ac:dyDescent="0.3">
      <c r="A18" s="276"/>
      <c r="B18" s="234"/>
      <c r="C18" s="314"/>
      <c r="D18" s="313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229"/>
      <c r="R18" s="220"/>
    </row>
    <row r="19" spans="1:18" ht="7.5" customHeight="1" thickBot="1" x14ac:dyDescent="0.35">
      <c r="A19" s="276"/>
      <c r="B19" s="234"/>
      <c r="C19" s="314"/>
      <c r="D19" s="313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229"/>
      <c r="R19" s="220"/>
    </row>
    <row r="20" spans="1:18" ht="7.5" customHeight="1" x14ac:dyDescent="0.3">
      <c r="A20" s="276">
        <v>92</v>
      </c>
      <c r="B20" s="234">
        <v>92</v>
      </c>
      <c r="C20" s="235">
        <f>VLOOKUP(A20,tDatos[],IF(UTCElegido="",3,12),0)</f>
        <v>46208</v>
      </c>
      <c r="D20" s="231">
        <f>VLOOKUP(A20,tDatos[],IF(UTCElegido="",4,12),0)</f>
        <v>0.83333333333575865</v>
      </c>
      <c r="E20" s="27" t="str">
        <f>IF(F20="","vacía",SUBSTITUTE(F20," ","_"))</f>
        <v>MÉXICO</v>
      </c>
      <c r="F20" s="233" t="str">
        <f>IF($T$6=32,VLOOKUP(A20,tDatos[],5,0),"")</f>
        <v>MÉXICO</v>
      </c>
      <c r="G20" s="223" t="str">
        <f>IF(AND(I20&lt;&gt;"",K20&lt;&gt;""),IF(I20=K20,"E",IF(I20&gt;K20,"G","P")),"")</f>
        <v>P</v>
      </c>
      <c r="H20" s="20"/>
      <c r="I20" s="221">
        <v>1</v>
      </c>
      <c r="J20" s="223" t="s">
        <v>0</v>
      </c>
      <c r="K20" s="221">
        <v>2</v>
      </c>
      <c r="L20" s="223" t="str">
        <f>IF(AND(K20&lt;&gt;"",I20&lt;&gt;""),IF(K20=I20,"E",IF(K20&gt;I20,"G","P")),"")</f>
        <v>G</v>
      </c>
      <c r="M20" s="19"/>
      <c r="N20" s="224" t="str">
        <f>IF($T$6=32,VLOOKUP(A20,tDatos[],6,0),"")</f>
        <v>CROACIA</v>
      </c>
      <c r="O20" s="27" t="str">
        <f>IF(N20="","vacía",SUBSTITUTE(N20," ","_"))</f>
        <v>CROACIA</v>
      </c>
      <c r="P20" s="225" t="str">
        <f>VLOOKUP(A20,tDatos[],9,0)</f>
        <v>Ciudad de México</v>
      </c>
      <c r="R20" s="218" t="str">
        <f>IF(G20="","",IF(G20="E","Suma los penales",IF(G20="G",F20,N20)))</f>
        <v>CROACIA</v>
      </c>
    </row>
    <row r="21" spans="1:18" ht="7.5" customHeight="1" thickBot="1" x14ac:dyDescent="0.35">
      <c r="A21" s="276"/>
      <c r="B21" s="234"/>
      <c r="C21" s="232"/>
      <c r="D21" s="232"/>
      <c r="E21" s="18"/>
      <c r="F21" s="233"/>
      <c r="G21" s="223"/>
      <c r="H21" s="20"/>
      <c r="I21" s="222"/>
      <c r="J21" s="223"/>
      <c r="K21" s="222"/>
      <c r="L21" s="223"/>
      <c r="M21" s="19"/>
      <c r="N21" s="224"/>
      <c r="O21" s="18"/>
      <c r="P21" s="225"/>
      <c r="R21" s="219"/>
    </row>
    <row r="22" spans="1:18" ht="7.5" customHeight="1" x14ac:dyDescent="0.3">
      <c r="A22" s="276"/>
      <c r="B22" s="234"/>
      <c r="C22" s="314"/>
      <c r="D22" s="313"/>
      <c r="E22" s="18"/>
      <c r="F22" s="227"/>
      <c r="G22" s="18"/>
      <c r="H22" s="18"/>
      <c r="I22" s="223"/>
      <c r="J22" s="223"/>
      <c r="K22" s="223"/>
      <c r="L22" s="18"/>
      <c r="M22" s="18"/>
      <c r="N22" s="227"/>
      <c r="O22" s="18"/>
      <c r="P22" s="229"/>
      <c r="R22" s="220"/>
    </row>
    <row r="23" spans="1:18" ht="7.5" customHeight="1" thickBot="1" x14ac:dyDescent="0.35">
      <c r="A23" s="276"/>
      <c r="B23" s="234"/>
      <c r="C23" s="314"/>
      <c r="D23" s="313"/>
      <c r="E23" s="18"/>
      <c r="F23" s="227"/>
      <c r="G23" s="18"/>
      <c r="H23" s="18"/>
      <c r="I23" s="223"/>
      <c r="J23" s="223"/>
      <c r="K23" s="223"/>
      <c r="L23" s="18"/>
      <c r="M23" s="18"/>
      <c r="N23" s="227"/>
      <c r="O23" s="18"/>
      <c r="P23" s="229"/>
      <c r="R23" s="220"/>
    </row>
    <row r="24" spans="1:18" ht="7.5" customHeight="1" x14ac:dyDescent="0.3">
      <c r="A24" s="276">
        <v>93</v>
      </c>
      <c r="B24" s="234">
        <v>93</v>
      </c>
      <c r="C24" s="235">
        <f>VLOOKUP(A24,tDatos[],IF(UTCElegido="",3,12),0)</f>
        <v>46209</v>
      </c>
      <c r="D24" s="231">
        <f>VLOOKUP(A24,tDatos[],IF(UTCElegido="",4,12),0)</f>
        <v>0.625</v>
      </c>
      <c r="E24" s="27" t="str">
        <f>IF(F24="","vacía",SUBSTITUTE(F24," ","_"))</f>
        <v>PORTUGAL</v>
      </c>
      <c r="F24" s="233" t="str">
        <f>IF($T$6=32,VLOOKUP(A24,tDatos[],5,0),"")</f>
        <v>PORTUGAL</v>
      </c>
      <c r="G24" s="223" t="str">
        <f>IF(AND(I24&lt;&gt;"",K24&lt;&gt;""),IF(I24=K24,"E",IF(I24&gt;K24,"G","P")),"")</f>
        <v>G</v>
      </c>
      <c r="H24" s="20"/>
      <c r="I24" s="221">
        <v>1</v>
      </c>
      <c r="J24" s="223" t="s">
        <v>0</v>
      </c>
      <c r="K24" s="221">
        <v>0</v>
      </c>
      <c r="L24" s="223" t="str">
        <f>IF(AND(K24&lt;&gt;"",I24&lt;&gt;""),IF(K24=I24,"E",IF(K24&gt;I24,"G","P")),"")</f>
        <v>P</v>
      </c>
      <c r="M24" s="19"/>
      <c r="N24" s="224" t="str">
        <f>IF($T$6=32,VLOOKUP(A24,tDatos[],6,0),"")</f>
        <v>ESPAÑA</v>
      </c>
      <c r="O24" s="27" t="str">
        <f>IF(N24="","vacía",SUBSTITUTE(N24," ","_"))</f>
        <v>ESPAÑA</v>
      </c>
      <c r="P24" s="225" t="str">
        <f>VLOOKUP(A24,tDatos[],9,0)</f>
        <v>Dallas</v>
      </c>
      <c r="R24" s="218" t="str">
        <f>IF(G24="","",IF(G24="E","Suma los penales",IF(G24="G",F24,N24)))</f>
        <v>PORTUGAL</v>
      </c>
    </row>
    <row r="25" spans="1:18" ht="7.5" customHeight="1" thickBot="1" x14ac:dyDescent="0.35">
      <c r="A25" s="276"/>
      <c r="B25" s="234"/>
      <c r="C25" s="232"/>
      <c r="D25" s="232"/>
      <c r="E25" s="18"/>
      <c r="F25" s="233"/>
      <c r="G25" s="223"/>
      <c r="H25" s="20"/>
      <c r="I25" s="222"/>
      <c r="J25" s="223"/>
      <c r="K25" s="222"/>
      <c r="L25" s="223"/>
      <c r="M25" s="19"/>
      <c r="N25" s="224"/>
      <c r="O25" s="18"/>
      <c r="P25" s="225"/>
      <c r="R25" s="219"/>
    </row>
    <row r="26" spans="1:18" ht="7.5" customHeight="1" x14ac:dyDescent="0.3">
      <c r="A26" s="276"/>
      <c r="B26" s="234"/>
      <c r="C26" s="314"/>
      <c r="D26" s="313"/>
      <c r="E26" s="18"/>
      <c r="F26" s="227"/>
      <c r="G26" s="18"/>
      <c r="H26" s="18"/>
      <c r="I26" s="223"/>
      <c r="J26" s="223"/>
      <c r="K26" s="223"/>
      <c r="L26" s="18"/>
      <c r="M26" s="18"/>
      <c r="N26" s="227"/>
      <c r="O26" s="18"/>
      <c r="P26" s="229"/>
      <c r="R26" s="220"/>
    </row>
    <row r="27" spans="1:18" ht="7.5" customHeight="1" thickBot="1" x14ac:dyDescent="0.35">
      <c r="A27" s="276"/>
      <c r="B27" s="234"/>
      <c r="C27" s="314"/>
      <c r="D27" s="313"/>
      <c r="E27" s="18"/>
      <c r="F27" s="227"/>
      <c r="G27" s="18"/>
      <c r="H27" s="18"/>
      <c r="I27" s="223"/>
      <c r="J27" s="223"/>
      <c r="K27" s="223"/>
      <c r="L27" s="18"/>
      <c r="M27" s="18"/>
      <c r="N27" s="227"/>
      <c r="O27" s="18"/>
      <c r="P27" s="229"/>
      <c r="R27" s="220"/>
    </row>
    <row r="28" spans="1:18" ht="7.5" customHeight="1" x14ac:dyDescent="0.3">
      <c r="A28" s="276">
        <v>94</v>
      </c>
      <c r="B28" s="234">
        <v>94</v>
      </c>
      <c r="C28" s="235">
        <f>VLOOKUP(A28,tDatos[],IF(UTCElegido="",3,12),0)</f>
        <v>46209</v>
      </c>
      <c r="D28" s="231">
        <f>VLOOKUP(A28,tDatos[],IF(UTCElegido="",4,12),0)</f>
        <v>0.83333333333575865</v>
      </c>
      <c r="E28" s="27" t="str">
        <f>IF(F28="","vacía",SUBSTITUTE(F28," ","_"))</f>
        <v>ESTADOS_UNIDOS</v>
      </c>
      <c r="F28" s="233" t="str">
        <f>IF($T$6=32,VLOOKUP(A28,tDatos[],5,0),"")</f>
        <v>ESTADOS UNIDOS</v>
      </c>
      <c r="G28" s="223" t="str">
        <f>IF(AND(I28&lt;&gt;"",K28&lt;&gt;""),IF(I28=K28,"E",IF(I28&gt;K28,"G","P")),"")</f>
        <v>P</v>
      </c>
      <c r="H28" s="20"/>
      <c r="I28" s="221">
        <v>1</v>
      </c>
      <c r="J28" s="223" t="s">
        <v>0</v>
      </c>
      <c r="K28" s="221">
        <v>2</v>
      </c>
      <c r="L28" s="223" t="str">
        <f>IF(AND(K28&lt;&gt;"",I28&lt;&gt;""),IF(K28=I28,"E",IF(K28&gt;I28,"G","P")),"")</f>
        <v>G</v>
      </c>
      <c r="M28" s="19"/>
      <c r="N28" s="224" t="str">
        <f>IF($T$6=32,VLOOKUP(A28,tDatos[],6,0),"")</f>
        <v>BÉLGICA</v>
      </c>
      <c r="O28" s="27" t="str">
        <f>IF(N28="","vacía",SUBSTITUTE(N28," ","_"))</f>
        <v>BÉLGICA</v>
      </c>
      <c r="P28" s="225" t="str">
        <f>VLOOKUP(A28,tDatos[],9,0)</f>
        <v>Seattle</v>
      </c>
      <c r="R28" s="218" t="str">
        <f>IF(G28="","",IF(G28="E","Suma los penales",IF(G28="G",F28,N28)))</f>
        <v>BÉLGICA</v>
      </c>
    </row>
    <row r="29" spans="1:18" ht="8.25" customHeight="1" thickBot="1" x14ac:dyDescent="0.35">
      <c r="A29" s="276"/>
      <c r="B29" s="234"/>
      <c r="C29" s="232"/>
      <c r="D29" s="232"/>
      <c r="E29" s="18"/>
      <c r="F29" s="233"/>
      <c r="G29" s="223"/>
      <c r="H29" s="20"/>
      <c r="I29" s="222"/>
      <c r="J29" s="223"/>
      <c r="K29" s="222"/>
      <c r="L29" s="223"/>
      <c r="M29" s="19"/>
      <c r="N29" s="224"/>
      <c r="O29" s="18"/>
      <c r="P29" s="225"/>
      <c r="R29" s="219"/>
    </row>
    <row r="30" spans="1:18" ht="7.5" customHeight="1" x14ac:dyDescent="0.3">
      <c r="A30" s="276"/>
      <c r="B30" s="234"/>
      <c r="C30" s="314"/>
      <c r="D30" s="313"/>
      <c r="E30" s="18"/>
      <c r="F30" s="227"/>
      <c r="G30" s="18"/>
      <c r="H30" s="18"/>
      <c r="I30" s="315"/>
      <c r="J30" s="223"/>
      <c r="K30" s="315"/>
      <c r="L30" s="18"/>
      <c r="M30" s="18"/>
      <c r="N30" s="227"/>
      <c r="O30" s="18"/>
      <c r="P30" s="229"/>
      <c r="R30" s="220"/>
    </row>
    <row r="31" spans="1:18" ht="7.5" customHeight="1" thickBot="1" x14ac:dyDescent="0.35">
      <c r="A31" s="276"/>
      <c r="B31" s="234"/>
      <c r="C31" s="314"/>
      <c r="D31" s="313"/>
      <c r="E31" s="18"/>
      <c r="F31" s="227"/>
      <c r="G31" s="18"/>
      <c r="H31" s="18"/>
      <c r="I31" s="316"/>
      <c r="J31" s="223"/>
      <c r="K31" s="316"/>
      <c r="L31" s="18"/>
      <c r="M31" s="18"/>
      <c r="N31" s="227"/>
      <c r="O31" s="18"/>
      <c r="P31" s="229"/>
      <c r="R31" s="220"/>
    </row>
    <row r="32" spans="1:18" ht="7.5" customHeight="1" x14ac:dyDescent="0.3">
      <c r="A32" s="276">
        <v>95</v>
      </c>
      <c r="B32" s="234">
        <v>95</v>
      </c>
      <c r="C32" s="235">
        <f>VLOOKUP(A32,tDatos[],IF(UTCElegido="",3,12),0)</f>
        <v>46210</v>
      </c>
      <c r="D32" s="231">
        <f>VLOOKUP(A32,tDatos[],IF(UTCElegido="",4,12),0)</f>
        <v>0.5</v>
      </c>
      <c r="E32" s="27" t="str">
        <f>IF(F32="","vacía",SUBSTITUTE(F32," ","_"))</f>
        <v>ARGENTINA</v>
      </c>
      <c r="F32" s="233" t="str">
        <f>IF($T$6=32,VLOOKUP(A32,tDatos[],5,0),"")</f>
        <v>ARGENTINA</v>
      </c>
      <c r="G32" s="223" t="str">
        <f>IF(AND(I32&lt;&gt;"",K32&lt;&gt;""),IF(I32=K32,"E",IF(I32&gt;K32,"G","P")),"")</f>
        <v>G</v>
      </c>
      <c r="H32" s="20"/>
      <c r="I32" s="221">
        <v>1</v>
      </c>
      <c r="J32" s="223" t="s">
        <v>0</v>
      </c>
      <c r="K32" s="221">
        <v>0</v>
      </c>
      <c r="L32" s="223" t="str">
        <f>IF(AND(K32&lt;&gt;"",I32&lt;&gt;""),IF(K32=I32,"E",IF(K32&gt;I32,"G","P")),"")</f>
        <v>P</v>
      </c>
      <c r="M32" s="19"/>
      <c r="N32" s="224" t="str">
        <f>IF($T$6=32,VLOOKUP(A32,tDatos[],6,0),"")</f>
        <v>EGIPTO</v>
      </c>
      <c r="O32" s="27" t="str">
        <f>IF(N32="","vacía",SUBSTITUTE(N32," ","_"))</f>
        <v>EGIPTO</v>
      </c>
      <c r="P32" s="225" t="str">
        <f>VLOOKUP(A32,tDatos[],9,0)</f>
        <v>Atlanta</v>
      </c>
      <c r="R32" s="218" t="str">
        <f>IF(G32="","",IF(G32="E","Suma los penales",IF(G32="G",F32,N32)))</f>
        <v>ARGENTINA</v>
      </c>
    </row>
    <row r="33" spans="1:18" ht="7.5" customHeight="1" thickBot="1" x14ac:dyDescent="0.35">
      <c r="A33" s="276"/>
      <c r="B33" s="234"/>
      <c r="C33" s="232"/>
      <c r="D33" s="232"/>
      <c r="E33" s="18"/>
      <c r="F33" s="233"/>
      <c r="G33" s="223"/>
      <c r="H33" s="20"/>
      <c r="I33" s="222"/>
      <c r="J33" s="223"/>
      <c r="K33" s="222"/>
      <c r="L33" s="223"/>
      <c r="M33" s="19"/>
      <c r="N33" s="224"/>
      <c r="O33" s="18"/>
      <c r="P33" s="225"/>
      <c r="R33" s="219"/>
    </row>
    <row r="34" spans="1:18" ht="7.5" customHeight="1" x14ac:dyDescent="0.3">
      <c r="A34" s="276"/>
      <c r="B34" s="234"/>
      <c r="C34" s="314"/>
      <c r="D34" s="313"/>
      <c r="E34" s="18"/>
      <c r="F34" s="227"/>
      <c r="G34" s="18"/>
      <c r="H34" s="18"/>
      <c r="I34" s="223"/>
      <c r="J34" s="223"/>
      <c r="K34" s="223"/>
      <c r="L34" s="18"/>
      <c r="M34" s="18"/>
      <c r="N34" s="227"/>
      <c r="O34" s="18"/>
      <c r="P34" s="229"/>
      <c r="R34" s="220"/>
    </row>
    <row r="35" spans="1:18" ht="7.5" customHeight="1" thickBot="1" x14ac:dyDescent="0.35">
      <c r="A35" s="276"/>
      <c r="B35" s="234"/>
      <c r="C35" s="314"/>
      <c r="D35" s="313"/>
      <c r="E35" s="18"/>
      <c r="F35" s="227"/>
      <c r="G35" s="18"/>
      <c r="H35" s="18"/>
      <c r="I35" s="223"/>
      <c r="J35" s="223"/>
      <c r="K35" s="223"/>
      <c r="L35" s="18"/>
      <c r="M35" s="18"/>
      <c r="N35" s="227"/>
      <c r="O35" s="18"/>
      <c r="P35" s="229"/>
      <c r="R35" s="220"/>
    </row>
    <row r="36" spans="1:18" ht="7.5" customHeight="1" x14ac:dyDescent="0.3">
      <c r="A36" s="276">
        <v>96</v>
      </c>
      <c r="B36" s="234">
        <v>96</v>
      </c>
      <c r="C36" s="235">
        <f>VLOOKUP(A36,tDatos[],IF(UTCElegido="",3,12),0)</f>
        <v>46210</v>
      </c>
      <c r="D36" s="231">
        <f>VLOOKUP(A36,tDatos[],IF(UTCElegido="",4,12),0)</f>
        <v>0.66666666666424135</v>
      </c>
      <c r="E36" s="27" t="str">
        <f>IF(F36="","vacía",SUBSTITUTE(F36," ","_"))</f>
        <v>SUIZA</v>
      </c>
      <c r="F36" s="233" t="str">
        <f>IF($T$6=32,VLOOKUP(A36,tDatos[],5,0),"")</f>
        <v>SUIZA</v>
      </c>
      <c r="G36" s="223" t="str">
        <f>IF(AND(I36&lt;&gt;"",K36&lt;&gt;""),IF(I36=K36,"E",IF(I36&gt;K36,"G","P")),"")</f>
        <v>P</v>
      </c>
      <c r="H36" s="20"/>
      <c r="I36" s="221">
        <v>1</v>
      </c>
      <c r="J36" s="223" t="s">
        <v>0</v>
      </c>
      <c r="K36" s="221">
        <v>3</v>
      </c>
      <c r="L36" s="223" t="str">
        <f>IF(AND(K36&lt;&gt;"",I36&lt;&gt;""),IF(K36=I36,"E",IF(K36&gt;I36,"G","P")),"")</f>
        <v>G</v>
      </c>
      <c r="M36" s="19"/>
      <c r="N36" s="224" t="str">
        <f>IF($T$6=32,VLOOKUP(A36,tDatos[],6,0),"")</f>
        <v>COLOMBIA</v>
      </c>
      <c r="O36" s="27" t="str">
        <f>IF(N36="","vacía",SUBSTITUTE(N36," ","_"))</f>
        <v>COLOMBIA</v>
      </c>
      <c r="P36" s="225" t="str">
        <f>VLOOKUP(A36,tDatos[],9,0)</f>
        <v>Vancouver</v>
      </c>
      <c r="R36" s="218" t="str">
        <f>IF(G36="","",IF(G36="E","Suma los penales",IF(G36="G",F36,N36)))</f>
        <v>COLOMBIA</v>
      </c>
    </row>
    <row r="37" spans="1:18" ht="7.5" customHeight="1" thickBot="1" x14ac:dyDescent="0.35">
      <c r="A37" s="276"/>
      <c r="B37" s="234"/>
      <c r="C37" s="232"/>
      <c r="D37" s="232"/>
      <c r="E37" s="18"/>
      <c r="F37" s="233"/>
      <c r="G37" s="223"/>
      <c r="H37" s="20"/>
      <c r="I37" s="222"/>
      <c r="J37" s="223"/>
      <c r="K37" s="222"/>
      <c r="L37" s="223"/>
      <c r="M37" s="19"/>
      <c r="N37" s="224"/>
      <c r="O37" s="18"/>
      <c r="P37" s="225"/>
      <c r="R37" s="219"/>
    </row>
    <row r="38" spans="1:18" ht="3.9" customHeight="1" x14ac:dyDescent="0.3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3">
      <c r="A39" s="4"/>
    </row>
    <row r="40" spans="1:18" ht="15" customHeight="1" x14ac:dyDescent="0.3">
      <c r="A40" s="4"/>
    </row>
    <row r="41" spans="1:18" ht="15" customHeight="1" x14ac:dyDescent="0.3"/>
    <row r="42" spans="1:18" ht="15" customHeight="1" x14ac:dyDescent="0.3"/>
    <row r="43" spans="1:18" ht="15" customHeight="1" x14ac:dyDescent="0.3"/>
  </sheetData>
  <sheetProtection sheet="1" objects="1" scenarios="1"/>
  <mergeCells count="182"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K22" sqref="K22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0.6640625" customWidth="1"/>
    <col min="7" max="7" width="2.3320312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2.33203125" hidden="1" customWidth="1"/>
    <col min="13" max="13" width="0.88671875" customWidth="1"/>
    <col min="14" max="14" width="20.6640625" customWidth="1"/>
    <col min="15" max="15" width="0.88671875" customWidth="1"/>
    <col min="16" max="16" width="14.6640625" customWidth="1"/>
    <col min="17" max="17" width="0.88671875" customWidth="1"/>
    <col min="18" max="18" width="19.5546875" bestFit="1" customWidth="1"/>
    <col min="20" max="20" width="0" hidden="1" customWidth="1"/>
  </cols>
  <sheetData>
    <row r="1" spans="2:20" ht="25.5" customHeight="1" x14ac:dyDescent="0.3"/>
    <row r="2" spans="2:20" ht="35.25" customHeight="1" x14ac:dyDescent="0.3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3">
      <c r="I4" s="2"/>
    </row>
    <row r="5" spans="2:20" ht="18" customHeight="1" thickBot="1" x14ac:dyDescent="0.35">
      <c r="B5" s="28" t="s">
        <v>61</v>
      </c>
      <c r="I5" s="2"/>
    </row>
    <row r="6" spans="2:20" ht="18" customHeight="1" thickBot="1" x14ac:dyDescent="0.35">
      <c r="B6" s="35" t="s">
        <v>81</v>
      </c>
      <c r="C6" s="36" t="s">
        <v>27</v>
      </c>
      <c r="D6" s="36" t="s">
        <v>28</v>
      </c>
      <c r="E6" s="226" t="s">
        <v>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R6" s="50" t="s">
        <v>36</v>
      </c>
      <c r="T6">
        <f>COUNT(Octavos!I8:K37)</f>
        <v>16</v>
      </c>
    </row>
    <row r="7" spans="2:20" ht="3.9" customHeight="1" thickBo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3">
      <c r="B8" s="234">
        <v>97</v>
      </c>
      <c r="C8" s="235">
        <f>VLOOKUP(B8,tDatos[],IF(UTCElegido="",3,12),0)</f>
        <v>46212</v>
      </c>
      <c r="D8" s="231">
        <f>VLOOKUP(B8,tDatos[],IF(UTCElegido="",4,12),0)</f>
        <v>0.66666666666424135</v>
      </c>
      <c r="E8" s="27" t="str">
        <f>IF(F8="","vacía",SUBSTITUTE(F8," ","_"))</f>
        <v>FRANCIA</v>
      </c>
      <c r="F8" s="233" t="str">
        <f>IF($T$6=16,VLOOKUP(B8,tDatos[],5,0),"")</f>
        <v>FRANCIA</v>
      </c>
      <c r="G8" s="223" t="str">
        <f>IF(AND(I8&lt;&gt;"",K8&lt;&gt;""),IF(I8=K8,"E",IF(I8&gt;K8,"G","P")),"")</f>
        <v>P</v>
      </c>
      <c r="H8" s="20"/>
      <c r="I8" s="221">
        <v>1</v>
      </c>
      <c r="J8" s="223" t="s">
        <v>0</v>
      </c>
      <c r="K8" s="221">
        <v>2</v>
      </c>
      <c r="L8" s="223" t="str">
        <f>IF(AND(K8&lt;&gt;"",I8&lt;&gt;""),IF(K8=I8,"E",IF(K8&gt;I8,"G","P")),"")</f>
        <v>G</v>
      </c>
      <c r="M8" s="19"/>
      <c r="N8" s="224" t="str">
        <f>IF($T$6=16,VLOOKUP(B8,tDatos[],6,0),"")</f>
        <v>PAÍSES BAJOS</v>
      </c>
      <c r="O8" s="27" t="str">
        <f>IF(N8="","vacía",SUBSTITUTE(N8," ","_"))</f>
        <v>PAÍSES_BAJOS</v>
      </c>
      <c r="P8" s="225" t="str">
        <f>VLOOKUP(B8,tDatos[],9,0)</f>
        <v>Boston</v>
      </c>
      <c r="R8" s="218" t="str">
        <f>IF(G8="","",IF(G8="E","Suma los penales",IF(G8="G",F8,N8)))</f>
        <v>PAÍSES BAJOS</v>
      </c>
    </row>
    <row r="9" spans="2:20" ht="7.5" customHeight="1" thickBot="1" x14ac:dyDescent="0.35">
      <c r="B9" s="234"/>
      <c r="C9" s="232"/>
      <c r="D9" s="232"/>
      <c r="E9" s="18"/>
      <c r="F9" s="233"/>
      <c r="G9" s="223"/>
      <c r="H9" s="20"/>
      <c r="I9" s="222"/>
      <c r="J9" s="223"/>
      <c r="K9" s="222"/>
      <c r="L9" s="223"/>
      <c r="M9" s="19"/>
      <c r="N9" s="224"/>
      <c r="O9" s="18"/>
      <c r="P9" s="225"/>
      <c r="R9" s="219"/>
    </row>
    <row r="10" spans="2:20" ht="7.5" customHeight="1" x14ac:dyDescent="0.3">
      <c r="B10" s="234"/>
      <c r="C10" s="236"/>
      <c r="D10" s="230"/>
      <c r="E10" s="18"/>
      <c r="F10" s="227"/>
      <c r="G10" s="18"/>
      <c r="H10" s="18"/>
      <c r="I10" s="223"/>
      <c r="J10" s="223"/>
      <c r="K10" s="223"/>
      <c r="L10" s="18"/>
      <c r="M10" s="18"/>
      <c r="N10" s="227"/>
      <c r="O10" s="18"/>
      <c r="P10" s="329"/>
      <c r="R10" s="220"/>
    </row>
    <row r="11" spans="2:20" ht="7.5" customHeight="1" thickBot="1" x14ac:dyDescent="0.35">
      <c r="B11" s="234"/>
      <c r="C11" s="236"/>
      <c r="D11" s="230"/>
      <c r="E11" s="18"/>
      <c r="F11" s="227"/>
      <c r="G11" s="18"/>
      <c r="H11" s="18"/>
      <c r="I11" s="223"/>
      <c r="J11" s="223"/>
      <c r="K11" s="223"/>
      <c r="L11" s="18"/>
      <c r="M11" s="18"/>
      <c r="N11" s="227"/>
      <c r="O11" s="18"/>
      <c r="P11" s="329"/>
      <c r="R11" s="220"/>
    </row>
    <row r="12" spans="2:20" ht="7.5" customHeight="1" x14ac:dyDescent="0.3">
      <c r="B12" s="234">
        <v>98</v>
      </c>
      <c r="C12" s="235">
        <f>VLOOKUP(B12,tDatos[],IF(UTCElegido="",3,12),0)</f>
        <v>46213</v>
      </c>
      <c r="D12" s="231">
        <f>VLOOKUP(B12,tDatos[],IF(UTCElegido="",4,12),0)</f>
        <v>0.625</v>
      </c>
      <c r="E12" s="27" t="str">
        <f>IF(F12="","vacía",SUBSTITUTE(F12," ","_"))</f>
        <v>PORTUGAL</v>
      </c>
      <c r="F12" s="233" t="str">
        <f>IF($T$6=16,VLOOKUP(B12,tDatos[],5,0),"")</f>
        <v>PORTUGAL</v>
      </c>
      <c r="G12" s="223" t="str">
        <f>IF(AND(I12&lt;&gt;"",K12&lt;&gt;""),IF(I12=K12,"E",IF(I12&gt;K12,"G","P")),"")</f>
        <v>G</v>
      </c>
      <c r="H12" s="20"/>
      <c r="I12" s="221">
        <v>1</v>
      </c>
      <c r="J12" s="223" t="s">
        <v>0</v>
      </c>
      <c r="K12" s="221">
        <v>0</v>
      </c>
      <c r="L12" s="223" t="str">
        <f>IF(AND(K12&lt;&gt;"",I12&lt;&gt;""),IF(K12=I12,"E",IF(K12&gt;I12,"G","P")),"")</f>
        <v>P</v>
      </c>
      <c r="M12" s="19"/>
      <c r="N12" s="224" t="str">
        <f>IF($T$6=16,VLOOKUP(B12,tDatos[],6,0),"")</f>
        <v>BÉLGICA</v>
      </c>
      <c r="O12" s="27" t="str">
        <f>IF(N12="","vacía",SUBSTITUTE(N12," ","_"))</f>
        <v>BÉLGICA</v>
      </c>
      <c r="P12" s="225" t="str">
        <f>VLOOKUP(B12,tDatos[],9,0)</f>
        <v>Los Angeles</v>
      </c>
      <c r="R12" s="218" t="str">
        <f>IF(G12="","",IF(G12="E","Suma los penales",IF(G12="G",F12,N12)))</f>
        <v>PORTUGAL</v>
      </c>
    </row>
    <row r="13" spans="2:20" ht="7.5" customHeight="1" thickBot="1" x14ac:dyDescent="0.35">
      <c r="B13" s="234"/>
      <c r="C13" s="232"/>
      <c r="D13" s="232"/>
      <c r="E13" s="18"/>
      <c r="F13" s="233"/>
      <c r="G13" s="223"/>
      <c r="H13" s="20"/>
      <c r="I13" s="222"/>
      <c r="J13" s="223"/>
      <c r="K13" s="222"/>
      <c r="L13" s="223"/>
      <c r="M13" s="19"/>
      <c r="N13" s="224"/>
      <c r="O13" s="18"/>
      <c r="P13" s="225"/>
      <c r="R13" s="219"/>
    </row>
    <row r="14" spans="2:20" ht="7.5" customHeight="1" x14ac:dyDescent="0.3">
      <c r="B14" s="234"/>
      <c r="C14" s="236"/>
      <c r="D14" s="230"/>
      <c r="E14" s="18"/>
      <c r="F14" s="227"/>
      <c r="G14" s="18"/>
      <c r="H14" s="18"/>
      <c r="I14" s="223"/>
      <c r="J14" s="223"/>
      <c r="K14" s="223"/>
      <c r="L14" s="18"/>
      <c r="M14" s="18"/>
      <c r="N14" s="227"/>
      <c r="O14" s="18"/>
      <c r="P14" s="329"/>
      <c r="R14" s="220"/>
    </row>
    <row r="15" spans="2:20" ht="7.5" customHeight="1" thickBot="1" x14ac:dyDescent="0.35">
      <c r="B15" s="234"/>
      <c r="C15" s="236"/>
      <c r="D15" s="230"/>
      <c r="E15" s="18"/>
      <c r="F15" s="227"/>
      <c r="G15" s="18"/>
      <c r="H15" s="18"/>
      <c r="I15" s="223"/>
      <c r="J15" s="223"/>
      <c r="K15" s="223"/>
      <c r="L15" s="18"/>
      <c r="M15" s="18"/>
      <c r="N15" s="227"/>
      <c r="O15" s="18"/>
      <c r="P15" s="329"/>
      <c r="R15" s="220"/>
    </row>
    <row r="16" spans="2:20" ht="7.5" customHeight="1" x14ac:dyDescent="0.3">
      <c r="B16" s="234">
        <v>99</v>
      </c>
      <c r="C16" s="235">
        <f>VLOOKUP(B16,tDatos[],IF(UTCElegido="",3,12),0)</f>
        <v>46214</v>
      </c>
      <c r="D16" s="231">
        <f>VLOOKUP(B16,tDatos[],IF(UTCElegido="",4,12),0)</f>
        <v>0.70833333333575865</v>
      </c>
      <c r="E16" s="27" t="str">
        <f>IF(F16="","vacía",SUBSTITUTE(F16," ","_"))</f>
        <v>BRASIL</v>
      </c>
      <c r="F16" s="233" t="str">
        <f>IF($T$6=16,VLOOKUP(B16,tDatos[],5,0),"")</f>
        <v>BRASIL</v>
      </c>
      <c r="G16" s="223" t="str">
        <f>IF(AND(I16&lt;&gt;"",K16&lt;&gt;""),IF(I16=K16,"E",IF(I16&gt;K16,"G","P")),"")</f>
        <v>G</v>
      </c>
      <c r="H16" s="20"/>
      <c r="I16" s="221">
        <v>2</v>
      </c>
      <c r="J16" s="223" t="s">
        <v>0</v>
      </c>
      <c r="K16" s="221">
        <v>1</v>
      </c>
      <c r="L16" s="223" t="str">
        <f>IF(AND(K16&lt;&gt;"",I16&lt;&gt;""),IF(K16=I16,"E",IF(K16&gt;I16,"G","P")),"")</f>
        <v>P</v>
      </c>
      <c r="M16" s="19"/>
      <c r="N16" s="224" t="str">
        <f>IF($T$6=16,VLOOKUP(B16,tDatos[],6,0),"")</f>
        <v>CROACIA</v>
      </c>
      <c r="O16" s="27" t="str">
        <f>IF(N16="","vacía",SUBSTITUTE(N16," ","_"))</f>
        <v>CROACIA</v>
      </c>
      <c r="P16" s="225" t="str">
        <f>VLOOKUP(B16,tDatos[],9,0)</f>
        <v>Miami</v>
      </c>
      <c r="R16" s="218" t="str">
        <f>IF(G16="","",IF(G16="E","Suma los penales",IF(G16="G",F16,N16)))</f>
        <v>BRASIL</v>
      </c>
    </row>
    <row r="17" spans="2:18" ht="7.5" customHeight="1" thickBot="1" x14ac:dyDescent="0.35">
      <c r="B17" s="234"/>
      <c r="C17" s="232"/>
      <c r="D17" s="232"/>
      <c r="E17" s="18"/>
      <c r="F17" s="233"/>
      <c r="G17" s="223"/>
      <c r="H17" s="20"/>
      <c r="I17" s="222"/>
      <c r="J17" s="223"/>
      <c r="K17" s="222"/>
      <c r="L17" s="223"/>
      <c r="M17" s="19"/>
      <c r="N17" s="224"/>
      <c r="O17" s="18"/>
      <c r="P17" s="225"/>
      <c r="R17" s="219"/>
    </row>
    <row r="18" spans="2:18" ht="7.5" customHeight="1" x14ac:dyDescent="0.3">
      <c r="B18" s="234"/>
      <c r="C18" s="236"/>
      <c r="D18" s="230"/>
      <c r="E18" s="18"/>
      <c r="F18" s="227"/>
      <c r="G18" s="18"/>
      <c r="H18" s="18"/>
      <c r="I18" s="223"/>
      <c r="J18" s="223"/>
      <c r="K18" s="223"/>
      <c r="L18" s="18"/>
      <c r="M18" s="18"/>
      <c r="N18" s="227"/>
      <c r="O18" s="18"/>
      <c r="P18" s="329"/>
      <c r="R18" s="220"/>
    </row>
    <row r="19" spans="2:18" ht="7.5" customHeight="1" thickBot="1" x14ac:dyDescent="0.35">
      <c r="B19" s="234"/>
      <c r="C19" s="236"/>
      <c r="D19" s="230"/>
      <c r="E19" s="18"/>
      <c r="F19" s="227"/>
      <c r="G19" s="18"/>
      <c r="H19" s="18"/>
      <c r="I19" s="223"/>
      <c r="J19" s="223"/>
      <c r="K19" s="223"/>
      <c r="L19" s="18"/>
      <c r="M19" s="18"/>
      <c r="N19" s="227"/>
      <c r="O19" s="18"/>
      <c r="P19" s="329"/>
      <c r="R19" s="220"/>
    </row>
    <row r="20" spans="2:18" ht="7.5" customHeight="1" x14ac:dyDescent="0.3">
      <c r="B20" s="234">
        <v>100</v>
      </c>
      <c r="C20" s="235">
        <f>VLOOKUP(B20,tDatos[],IF(UTCElegido="",3,12),0)</f>
        <v>46214</v>
      </c>
      <c r="D20" s="231">
        <f>VLOOKUP(B20,tDatos[],IF(UTCElegido="",4,12),0)</f>
        <v>0.875</v>
      </c>
      <c r="E20" s="27" t="str">
        <f>IF(F20="","vacía",SUBSTITUTE(F20," ","_"))</f>
        <v>ARGENTINA</v>
      </c>
      <c r="F20" s="233" t="str">
        <f>IF($T$6=16,VLOOKUP(B20,tDatos[],5,0),"")</f>
        <v>ARGENTINA</v>
      </c>
      <c r="G20" s="223" t="str">
        <f>IF(AND(I20&lt;&gt;"",K20&lt;&gt;""),IF(I20=K20,"E",IF(I20&gt;K20,"G","P")),"")</f>
        <v>P</v>
      </c>
      <c r="H20" s="20"/>
      <c r="I20" s="221">
        <v>1</v>
      </c>
      <c r="J20" s="223" t="s">
        <v>0</v>
      </c>
      <c r="K20" s="221">
        <v>2</v>
      </c>
      <c r="L20" s="223" t="str">
        <f>IF(AND(K20&lt;&gt;"",I20&lt;&gt;""),IF(K20=I20,"E",IF(K20&gt;I20,"G","P")),"")</f>
        <v>G</v>
      </c>
      <c r="M20" s="19"/>
      <c r="N20" s="224" t="str">
        <f>IF($T$6=16,VLOOKUP(B20,tDatos[],6,0),"")</f>
        <v>COLOMBIA</v>
      </c>
      <c r="O20" s="27" t="str">
        <f>IF(N20="","vacía",SUBSTITUTE(N20," ","_"))</f>
        <v>COLOMBIA</v>
      </c>
      <c r="P20" s="225" t="str">
        <f>VLOOKUP(B20,tDatos[],9,0)</f>
        <v>Kansas City</v>
      </c>
      <c r="R20" s="218" t="str">
        <f>IF(G20="","",IF(G20="E","Suma los penales",IF(G20="G",F20,N20)))</f>
        <v>COLOMBIA</v>
      </c>
    </row>
    <row r="21" spans="2:18" ht="7.5" customHeight="1" thickBot="1" x14ac:dyDescent="0.35">
      <c r="B21" s="234"/>
      <c r="C21" s="232"/>
      <c r="D21" s="232"/>
      <c r="E21" s="18"/>
      <c r="F21" s="233"/>
      <c r="G21" s="223"/>
      <c r="H21" s="20"/>
      <c r="I21" s="222"/>
      <c r="J21" s="223"/>
      <c r="K21" s="222"/>
      <c r="L21" s="223"/>
      <c r="M21" s="19"/>
      <c r="N21" s="224"/>
      <c r="O21" s="18"/>
      <c r="P21" s="225"/>
      <c r="R21" s="219"/>
    </row>
    <row r="22" spans="2:18" ht="3.9" customHeight="1" x14ac:dyDescent="0.3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" customHeight="1" x14ac:dyDescent="0.3"/>
    <row r="24" spans="2:18" ht="7.5" customHeight="1" x14ac:dyDescent="0.3"/>
    <row r="25" spans="2:18" ht="7.5" customHeight="1" x14ac:dyDescent="0.3"/>
    <row r="26" spans="2:18" ht="7.5" customHeight="1" x14ac:dyDescent="0.3"/>
  </sheetData>
  <sheetProtection sheet="1" objects="1" scenarios="1"/>
  <mergeCells count="79"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D12:D13"/>
    <mergeCell ref="F12:F13"/>
    <mergeCell ref="G12:G13"/>
    <mergeCell ref="I12:I13"/>
    <mergeCell ref="J12:J13"/>
    <mergeCell ref="D14:D15"/>
    <mergeCell ref="F14:F15"/>
    <mergeCell ref="D16:D17"/>
    <mergeCell ref="F16:F17"/>
    <mergeCell ref="G16:G17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R18:R19"/>
    <mergeCell ref="R20:R21"/>
    <mergeCell ref="R8:R9"/>
    <mergeCell ref="R10:R11"/>
    <mergeCell ref="R12:R13"/>
    <mergeCell ref="R14:R15"/>
    <mergeCell ref="R16:R17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N28" sqref="N28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0.6640625" customWidth="1"/>
    <col min="7" max="7" width="2.3320312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2.33203125" hidden="1" customWidth="1"/>
    <col min="13" max="13" width="0.88671875" customWidth="1"/>
    <col min="14" max="14" width="20.6640625" customWidth="1"/>
    <col min="15" max="15" width="0.88671875" customWidth="1"/>
    <col min="16" max="16" width="14.6640625" customWidth="1"/>
    <col min="17" max="17" width="0.88671875" customWidth="1"/>
    <col min="18" max="18" width="19.5546875" customWidth="1"/>
    <col min="19" max="19" width="0.88671875" hidden="1" customWidth="1"/>
    <col min="20" max="20" width="22.88671875" hidden="1" customWidth="1"/>
    <col min="22" max="22" width="0" hidden="1" customWidth="1"/>
  </cols>
  <sheetData>
    <row r="1" spans="2:22" ht="25.5" customHeight="1" x14ac:dyDescent="0.3">
      <c r="T1" s="11"/>
    </row>
    <row r="2" spans="2:22" ht="35.25" customHeight="1" x14ac:dyDescent="0.3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3">
      <c r="N4" s="2"/>
    </row>
    <row r="5" spans="2:22" ht="18" customHeight="1" thickBot="1" x14ac:dyDescent="0.35">
      <c r="B5" s="28" t="s">
        <v>61</v>
      </c>
      <c r="N5" s="2"/>
    </row>
    <row r="6" spans="2:22" ht="18" customHeight="1" thickBot="1" x14ac:dyDescent="0.35">
      <c r="B6" s="35" t="s">
        <v>81</v>
      </c>
      <c r="C6" s="36" t="s">
        <v>27</v>
      </c>
      <c r="D6" s="36" t="s">
        <v>28</v>
      </c>
      <c r="E6" s="226" t="s">
        <v>21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63</v>
      </c>
      <c r="R6" s="50" t="s">
        <v>36</v>
      </c>
      <c r="V6">
        <f>COUNT(Cuartos!I8:K21)</f>
        <v>8</v>
      </c>
    </row>
    <row r="7" spans="2:22" ht="3.9" customHeight="1" thickBo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3">
      <c r="B8" s="234">
        <v>101</v>
      </c>
      <c r="C8" s="235">
        <f>VLOOKUP(B8,tDatos[],IF(UTCElegido="",3,12),0)</f>
        <v>46217</v>
      </c>
      <c r="D8" s="231">
        <f>VLOOKUP(B8,tDatos[],IF(UTCElegido="",4,12),0)</f>
        <v>0.625</v>
      </c>
      <c r="E8" s="27" t="str">
        <f>IF(F8="","vacía",SUBSTITUTE(F8," ","_"))</f>
        <v>PAÍSES_BAJOS</v>
      </c>
      <c r="F8" s="233" t="str">
        <f>IF($V$6=8,VLOOKUP(B8,tDatos[],5,0),"")</f>
        <v>PAÍSES BAJOS</v>
      </c>
      <c r="G8" s="223" t="str">
        <f>IF(AND(I8&lt;&gt;"",K8&lt;&gt;""),IF(I8=K8,"E",IF(I8&gt;K8,"G","P")),"")</f>
        <v>G</v>
      </c>
      <c r="H8" s="20"/>
      <c r="I8" s="221">
        <v>2</v>
      </c>
      <c r="J8" s="223" t="s">
        <v>0</v>
      </c>
      <c r="K8" s="221">
        <v>1</v>
      </c>
      <c r="L8" s="223" t="str">
        <f>IF(AND(K8&lt;&gt;"",I8&lt;&gt;""),IF(K8=I8,"E",IF(K8&gt;I8,"G","P")),"")</f>
        <v>P</v>
      </c>
      <c r="M8" s="19"/>
      <c r="N8" s="224" t="str">
        <f>IF($V$6=8,VLOOKUP(B8,tDatos[],6,0),"")</f>
        <v>PORTUGAL</v>
      </c>
      <c r="O8" s="27" t="str">
        <f>IF(N8="","vacía",SUBSTITUTE(N8," ","_"))</f>
        <v>PORTUGAL</v>
      </c>
      <c r="P8" s="225" t="str">
        <f>VLOOKUP(B8,tDatos[],9,0)</f>
        <v>Dallas</v>
      </c>
      <c r="R8" s="218" t="str">
        <f>IF(G8="","",IF(G8="E","Suma los penales",IF(G8="G",F8,N8)))</f>
        <v>PAÍSES BAJOS</v>
      </c>
      <c r="T8" s="228" t="str">
        <f>IF(OR(G8="",G8="E"),"",IF(G8="P",F8,N8))</f>
        <v>PORTUGAL</v>
      </c>
    </row>
    <row r="9" spans="2:22" ht="7.5" customHeight="1" thickBot="1" x14ac:dyDescent="0.35">
      <c r="B9" s="234"/>
      <c r="C9" s="232"/>
      <c r="D9" s="232"/>
      <c r="E9" s="29"/>
      <c r="F9" s="233"/>
      <c r="G9" s="223"/>
      <c r="H9" s="20"/>
      <c r="I9" s="222"/>
      <c r="J9" s="223"/>
      <c r="K9" s="222"/>
      <c r="L9" s="223"/>
      <c r="M9" s="19"/>
      <c r="N9" s="224"/>
      <c r="O9" s="29"/>
      <c r="P9" s="225"/>
      <c r="R9" s="219"/>
      <c r="T9" s="228"/>
    </row>
    <row r="10" spans="2:22" ht="7.5" customHeight="1" x14ac:dyDescent="0.3">
      <c r="B10" s="234"/>
      <c r="C10" s="236"/>
      <c r="D10" s="230"/>
      <c r="E10" s="29"/>
      <c r="F10" s="227"/>
      <c r="G10" s="18"/>
      <c r="H10" s="18"/>
      <c r="I10" s="223"/>
      <c r="J10" s="223"/>
      <c r="K10" s="223"/>
      <c r="L10" s="18"/>
      <c r="M10" s="18"/>
      <c r="N10" s="227"/>
      <c r="O10" s="29"/>
      <c r="P10" s="229"/>
      <c r="R10" s="220"/>
    </row>
    <row r="11" spans="2:22" ht="7.5" customHeight="1" thickBot="1" x14ac:dyDescent="0.35">
      <c r="B11" s="234"/>
      <c r="C11" s="236"/>
      <c r="D11" s="230"/>
      <c r="E11" s="29"/>
      <c r="F11" s="227"/>
      <c r="G11" s="18"/>
      <c r="H11" s="18"/>
      <c r="I11" s="223"/>
      <c r="J11" s="223"/>
      <c r="K11" s="223"/>
      <c r="L11" s="18"/>
      <c r="M11" s="18"/>
      <c r="N11" s="227"/>
      <c r="O11" s="29"/>
      <c r="P11" s="229"/>
      <c r="R11" s="220"/>
    </row>
    <row r="12" spans="2:22" ht="7.5" customHeight="1" x14ac:dyDescent="0.3">
      <c r="B12" s="234">
        <v>102</v>
      </c>
      <c r="C12" s="235">
        <f>VLOOKUP(B12,tDatos[],IF(UTCElegido="",3,12),0)</f>
        <v>46218</v>
      </c>
      <c r="D12" s="231">
        <f>VLOOKUP(B12,tDatos[],IF(UTCElegido="",4,12),0)</f>
        <v>0.625</v>
      </c>
      <c r="E12" s="27" t="str">
        <f>IF(F12="","vacía",SUBSTITUTE(F12," ","_"))</f>
        <v>BRASIL</v>
      </c>
      <c r="F12" s="233" t="str">
        <f>IF($V$6=8,VLOOKUP(B12,tDatos[],5,0),"")</f>
        <v>BRASIL</v>
      </c>
      <c r="G12" s="223" t="str">
        <f>IF(AND(I12&lt;&gt;"",K12&lt;&gt;""),IF(I12=K12,"E",IF(I12&gt;K12,"G","P")),"")</f>
        <v>P</v>
      </c>
      <c r="H12" s="20"/>
      <c r="I12" s="221">
        <v>1</v>
      </c>
      <c r="J12" s="223" t="s">
        <v>0</v>
      </c>
      <c r="K12" s="221">
        <v>2</v>
      </c>
      <c r="L12" s="223" t="str">
        <f>IF(AND(K12&lt;&gt;"",I12&lt;&gt;""),IF(K12=I12,"E",IF(K12&gt;I12,"G","P")),"")</f>
        <v>G</v>
      </c>
      <c r="M12" s="19"/>
      <c r="N12" s="224" t="str">
        <f>IF($V$6=8,VLOOKUP(B12,tDatos[],6,0),"")</f>
        <v>COLOMBIA</v>
      </c>
      <c r="O12" s="27" t="str">
        <f>IF(N12="","vacía",SUBSTITUTE(N12," ","_"))</f>
        <v>COLOMBIA</v>
      </c>
      <c r="P12" s="225" t="str">
        <f>VLOOKUP(B12,tDatos[],9,0)</f>
        <v>Atlanta</v>
      </c>
      <c r="R12" s="218" t="str">
        <f>IF(G12="","",IF(G12="E","Suma los penales",IF(G12="G",F12,N12)))</f>
        <v>COLOMBIA</v>
      </c>
      <c r="T12" s="228" t="str">
        <f>IF(OR(G12="",G12="E"),"",IF(G12="P",F12,N12))</f>
        <v>BRASIL</v>
      </c>
    </row>
    <row r="13" spans="2:22" ht="7.5" customHeight="1" thickBot="1" x14ac:dyDescent="0.35">
      <c r="B13" s="234"/>
      <c r="C13" s="232"/>
      <c r="D13" s="232"/>
      <c r="E13" s="29"/>
      <c r="F13" s="233"/>
      <c r="G13" s="223"/>
      <c r="H13" s="20"/>
      <c r="I13" s="222"/>
      <c r="J13" s="223"/>
      <c r="K13" s="222"/>
      <c r="L13" s="223"/>
      <c r="M13" s="19"/>
      <c r="N13" s="224"/>
      <c r="O13" s="29"/>
      <c r="P13" s="225"/>
      <c r="R13" s="219"/>
      <c r="T13" s="228"/>
    </row>
    <row r="14" spans="2:22" ht="3.9" customHeight="1" x14ac:dyDescent="0.3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B8:B9"/>
    <mergeCell ref="C8:C9"/>
    <mergeCell ref="B10:B11"/>
    <mergeCell ref="C10:C11"/>
    <mergeCell ref="B12:B13"/>
    <mergeCell ref="C12:C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E6:O6"/>
    <mergeCell ref="G12:G13"/>
    <mergeCell ref="I12:I13"/>
    <mergeCell ref="J12:J13"/>
    <mergeCell ref="N10:N11"/>
    <mergeCell ref="K12:K13"/>
    <mergeCell ref="L12:L13"/>
    <mergeCell ref="N12:N13"/>
    <mergeCell ref="R8:R9"/>
    <mergeCell ref="R10:R11"/>
    <mergeCell ref="R12:R13"/>
    <mergeCell ref="K8:K9"/>
    <mergeCell ref="L8:L9"/>
    <mergeCell ref="N8:N9"/>
    <mergeCell ref="P8:P9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15" sqref="I15:I16"/>
    </sheetView>
  </sheetViews>
  <sheetFormatPr baseColWidth="10" defaultColWidth="12.6640625" defaultRowHeight="14.4" x14ac:dyDescent="0.3"/>
  <cols>
    <col min="1" max="1" width="5.6640625" customWidth="1"/>
    <col min="2" max="2" width="3.6640625" customWidth="1"/>
    <col min="3" max="3" width="7.6640625" customWidth="1"/>
    <col min="4" max="4" width="6.6640625" customWidth="1"/>
    <col min="5" max="5" width="0.88671875" customWidth="1"/>
    <col min="6" max="6" width="20.6640625" customWidth="1"/>
    <col min="7" max="7" width="2.33203125" hidden="1" customWidth="1"/>
    <col min="8" max="8" width="0.88671875" customWidth="1"/>
    <col min="9" max="9" width="6.6640625" customWidth="1"/>
    <col min="10" max="10" width="2.6640625" customWidth="1"/>
    <col min="11" max="11" width="6.6640625" customWidth="1"/>
    <col min="12" max="12" width="2.33203125" hidden="1" customWidth="1"/>
    <col min="13" max="13" width="0.88671875" customWidth="1"/>
    <col min="14" max="14" width="20.6640625" customWidth="1"/>
    <col min="15" max="15" width="0.88671875" customWidth="1"/>
    <col min="16" max="16" width="14.6640625" customWidth="1"/>
    <col min="17" max="17" width="0.88671875" customWidth="1"/>
    <col min="18" max="18" width="22.88671875" bestFit="1" customWidth="1"/>
    <col min="19" max="19" width="0.88671875" customWidth="1"/>
    <col min="20" max="20" width="22.88671875" customWidth="1"/>
    <col min="22" max="22" width="12.6640625" hidden="1" customWidth="1"/>
    <col min="23" max="23" width="8.88671875" bestFit="1" customWidth="1"/>
  </cols>
  <sheetData>
    <row r="1" spans="2:22" ht="25.5" customHeight="1" x14ac:dyDescent="0.3">
      <c r="T1" s="11"/>
    </row>
    <row r="2" spans="2:22" ht="35.25" customHeight="1" x14ac:dyDescent="0.3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3"/>
    <row r="5" spans="2:22" ht="18" customHeight="1" thickBot="1" x14ac:dyDescent="0.35">
      <c r="B5" s="28" t="s">
        <v>61</v>
      </c>
    </row>
    <row r="6" spans="2:22" ht="18" customHeight="1" x14ac:dyDescent="0.3">
      <c r="B6" s="35" t="s">
        <v>81</v>
      </c>
      <c r="C6" s="36" t="s">
        <v>80</v>
      </c>
      <c r="D6" s="36" t="s">
        <v>79</v>
      </c>
      <c r="E6" s="226" t="s">
        <v>23</v>
      </c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7" t="s">
        <v>78</v>
      </c>
      <c r="Q6" s="30"/>
      <c r="R6" s="48" t="s">
        <v>22</v>
      </c>
      <c r="T6" s="49" t="s">
        <v>24</v>
      </c>
      <c r="V6">
        <f>COUNT(Semifinales!I8:K13)</f>
        <v>4</v>
      </c>
    </row>
    <row r="7" spans="2:22" ht="3.9" customHeigh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30" t="str">
        <f>IF(G8="","",IF(G8="E","Suma los penales",IF(G8="G",F8,N8)))</f>
        <v>PORTUGAL</v>
      </c>
      <c r="T7" s="344" t="str">
        <f>IF(G8="","",IF(G8="E","Suma los penales",IF(G8="P",F8,N8)))</f>
        <v>BRASIL</v>
      </c>
    </row>
    <row r="8" spans="2:22" ht="7.5" customHeight="1" x14ac:dyDescent="0.3">
      <c r="B8" s="234">
        <v>103</v>
      </c>
      <c r="C8" s="235">
        <f>VLOOKUP(B8,tDatos[],IF(UTCElegido="",3,12),0)</f>
        <v>46221</v>
      </c>
      <c r="D8" s="231">
        <f>VLOOKUP(B8,tDatos[],IF(UTCElegido="",4,12),0)</f>
        <v>0.70833333333575865</v>
      </c>
      <c r="E8" s="27" t="str">
        <f>IF(F8="","vacía",SUBSTITUTE(F8," ","_"))</f>
        <v>PORTUGAL</v>
      </c>
      <c r="F8" s="233" t="str">
        <f>IF($V$6=4,VLOOKUP(B8,tDatos[],5,0),"")</f>
        <v>PORTUGAL</v>
      </c>
      <c r="G8" s="223" t="str">
        <f>IF(AND(I8&lt;&gt;"",K8&lt;&gt;""),IF(I8=K8,"E",IF(I8&gt;K8,"G","P")),"")</f>
        <v>G</v>
      </c>
      <c r="H8" s="20"/>
      <c r="I8" s="221">
        <v>2</v>
      </c>
      <c r="J8" s="223" t="s">
        <v>0</v>
      </c>
      <c r="K8" s="221">
        <v>1</v>
      </c>
      <c r="L8" s="223" t="str">
        <f>IF(AND(K8&lt;&gt;"",I8&lt;&gt;""),IF(K8=I8,"E",IF(K8&gt;I8,"G","P")),"")</f>
        <v>P</v>
      </c>
      <c r="M8" s="19"/>
      <c r="N8" s="224" t="str">
        <f>IF($V$6=4,VLOOKUP(B8,tDatos[],6,0),"")</f>
        <v>BRASIL</v>
      </c>
      <c r="O8" s="27" t="str">
        <f>IF(N8="","vacía",SUBSTITUTE(N8," ","_"))</f>
        <v>BRASIL</v>
      </c>
      <c r="P8" s="225" t="str">
        <f>VLOOKUP(B8,tDatos[],9,0)</f>
        <v>Miami</v>
      </c>
      <c r="R8" s="330"/>
      <c r="T8" s="344"/>
    </row>
    <row r="9" spans="2:22" ht="7.5" customHeight="1" x14ac:dyDescent="0.3">
      <c r="B9" s="234"/>
      <c r="C9" s="232"/>
      <c r="D9" s="232"/>
      <c r="E9" s="29"/>
      <c r="F9" s="233"/>
      <c r="G9" s="223"/>
      <c r="H9" s="20"/>
      <c r="I9" s="222"/>
      <c r="J9" s="223"/>
      <c r="K9" s="222"/>
      <c r="L9" s="223"/>
      <c r="M9" s="19"/>
      <c r="N9" s="224"/>
      <c r="O9" s="29"/>
      <c r="P9" s="225"/>
      <c r="R9" s="330"/>
      <c r="T9" s="344"/>
    </row>
    <row r="10" spans="2:22" ht="3.9" customHeight="1" thickBot="1" x14ac:dyDescent="0.35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31"/>
      <c r="T10" s="345"/>
    </row>
    <row r="11" spans="2:22" ht="7.5" customHeight="1" x14ac:dyDescent="0.3"/>
    <row r="12" spans="2:22" ht="7.5" customHeight="1" thickBot="1" x14ac:dyDescent="0.35"/>
    <row r="13" spans="2:22" ht="18" customHeight="1" x14ac:dyDescent="0.3">
      <c r="B13" s="35" t="s">
        <v>81</v>
      </c>
      <c r="C13" s="36" t="s">
        <v>80</v>
      </c>
      <c r="D13" s="36" t="s">
        <v>79</v>
      </c>
      <c r="E13" s="226" t="s">
        <v>26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37" t="s">
        <v>78</v>
      </c>
      <c r="R13" s="48" t="s">
        <v>25</v>
      </c>
      <c r="V13" t="str">
        <f>IF(G15="","",IF(G15="E","",IF(G15="G",F15,N15)))</f>
        <v>COLOMBIA</v>
      </c>
    </row>
    <row r="14" spans="2:22" ht="3.9" customHeight="1" x14ac:dyDescent="0.3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46" t="str">
        <f>IF(G15="","",IF(G15="E","Suma los penales",IF(G15="P",F15,N15)))</f>
        <v>PAÍSES BAJOS</v>
      </c>
    </row>
    <row r="15" spans="2:22" ht="7.5" customHeight="1" x14ac:dyDescent="0.3">
      <c r="B15" s="234">
        <v>104</v>
      </c>
      <c r="C15" s="235">
        <f>VLOOKUP(B15,tDatos[],IF(UTCElegido="",3,12),0)</f>
        <v>46222</v>
      </c>
      <c r="D15" s="231">
        <f>VLOOKUP(B15,tDatos[],IF(UTCElegido="",4,12),0)</f>
        <v>0.625</v>
      </c>
      <c r="E15" s="27" t="str">
        <f>IF(F15="","vacía",SUBSTITUTE(F15," ","_"))</f>
        <v>PAÍSES_BAJOS</v>
      </c>
      <c r="F15" s="233" t="str">
        <f>IF($V$6=4,VLOOKUP(B15,tDatos[],5,0),"")</f>
        <v>PAÍSES BAJOS</v>
      </c>
      <c r="G15" s="223" t="str">
        <f>IF(AND(I15&lt;&gt;"",K15&lt;&gt;""),IF(I15=K15,"E",IF(I15&gt;K15,"G","P")),"")</f>
        <v>P</v>
      </c>
      <c r="H15" s="20"/>
      <c r="I15" s="221">
        <v>0</v>
      </c>
      <c r="J15" s="223" t="s">
        <v>0</v>
      </c>
      <c r="K15" s="221">
        <v>5</v>
      </c>
      <c r="L15" s="223" t="str">
        <f>IF(AND(K15&lt;&gt;"",I15&lt;&gt;""),IF(K15=I15,"E",IF(K15&gt;I15,"G","P")),"")</f>
        <v>G</v>
      </c>
      <c r="M15" s="19"/>
      <c r="N15" s="224" t="str">
        <f>IF($V$6=4,VLOOKUP(B15,tDatos[],6,0),"")</f>
        <v>COLOMBIA</v>
      </c>
      <c r="O15" s="27" t="str">
        <f>IF(N15="","vacía",SUBSTITUTE(N15," ","_"))</f>
        <v>COLOMBIA</v>
      </c>
      <c r="P15" s="225" t="str">
        <f>VLOOKUP(B15,tDatos[],9,0)</f>
        <v>N. York/N. Jersey</v>
      </c>
      <c r="R15" s="347"/>
    </row>
    <row r="16" spans="2:22" ht="7.5" customHeight="1" x14ac:dyDescent="0.3">
      <c r="B16" s="234"/>
      <c r="C16" s="232"/>
      <c r="D16" s="232"/>
      <c r="E16" s="27" t="str">
        <f>IF(V13="","vacía",SUBSTITUTE(V13," ","_"))</f>
        <v>COLOMBIA</v>
      </c>
      <c r="F16" s="233"/>
      <c r="G16" s="223"/>
      <c r="H16" s="20"/>
      <c r="I16" s="222"/>
      <c r="J16" s="223"/>
      <c r="K16" s="222"/>
      <c r="L16" s="223"/>
      <c r="M16" s="19"/>
      <c r="N16" s="224"/>
      <c r="O16" s="29"/>
      <c r="P16" s="225"/>
      <c r="R16" s="347"/>
    </row>
    <row r="17" spans="2:18" ht="3.9" customHeight="1" thickBot="1" x14ac:dyDescent="0.35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48"/>
    </row>
    <row r="18" spans="2:18" ht="3.6" customHeight="1" x14ac:dyDescent="0.3"/>
    <row r="19" spans="2:18" ht="7.5" customHeight="1" x14ac:dyDescent="0.3"/>
    <row r="20" spans="2:18" ht="7.5" customHeight="1" thickBot="1" x14ac:dyDescent="0.35"/>
    <row r="21" spans="2:18" ht="7.5" customHeight="1" x14ac:dyDescent="0.3">
      <c r="E21" s="332" t="s">
        <v>949</v>
      </c>
      <c r="F21" s="333"/>
      <c r="G21" s="333"/>
      <c r="H21" s="333"/>
      <c r="I21" s="333"/>
      <c r="J21" s="333"/>
      <c r="K21" s="333"/>
      <c r="L21" s="333"/>
      <c r="M21" s="333"/>
      <c r="N21" s="333"/>
      <c r="O21" s="334"/>
    </row>
    <row r="22" spans="2:18" ht="15" customHeight="1" x14ac:dyDescent="0.3">
      <c r="E22" s="335"/>
      <c r="F22" s="336"/>
      <c r="G22" s="336"/>
      <c r="H22" s="336"/>
      <c r="I22" s="336"/>
      <c r="J22" s="336"/>
      <c r="K22" s="336"/>
      <c r="L22" s="336"/>
      <c r="M22" s="336"/>
      <c r="N22" s="336"/>
      <c r="O22" s="337"/>
    </row>
    <row r="23" spans="2:18" ht="15" customHeight="1" x14ac:dyDescent="0.3">
      <c r="E23" s="338" t="str">
        <f>IF(V13="","","¡¡¡ "&amp;V13&amp;" !!!")</f>
        <v>¡¡¡ COLOMBIA !!!</v>
      </c>
      <c r="F23" s="339"/>
      <c r="G23" s="339"/>
      <c r="H23" s="339"/>
      <c r="I23" s="339"/>
      <c r="J23" s="339"/>
      <c r="K23" s="339"/>
      <c r="L23" s="339"/>
      <c r="M23" s="339"/>
      <c r="N23" s="339"/>
      <c r="O23" s="340"/>
    </row>
    <row r="24" spans="2:18" ht="15" customHeight="1" thickBot="1" x14ac:dyDescent="0.35">
      <c r="E24" s="341"/>
      <c r="F24" s="342"/>
      <c r="G24" s="342"/>
      <c r="H24" s="342"/>
      <c r="I24" s="342"/>
      <c r="J24" s="342"/>
      <c r="K24" s="342"/>
      <c r="L24" s="342"/>
      <c r="M24" s="342"/>
      <c r="N24" s="342"/>
      <c r="O24" s="343"/>
    </row>
  </sheetData>
  <sheetProtection sheet="1" objects="1" scenarios="1"/>
  <mergeCells count="29"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  <mergeCell ref="B15:B16"/>
    <mergeCell ref="C15:C16"/>
    <mergeCell ref="D15:D16"/>
    <mergeCell ref="F15:F16"/>
    <mergeCell ref="G15:G16"/>
    <mergeCell ref="B8:B9"/>
    <mergeCell ref="C8:C9"/>
    <mergeCell ref="D8:D9"/>
    <mergeCell ref="F8:F9"/>
    <mergeCell ref="G8:G9"/>
    <mergeCell ref="R7:R10"/>
    <mergeCell ref="E21:O22"/>
    <mergeCell ref="E23:O24"/>
    <mergeCell ref="T7:T10"/>
    <mergeCell ref="R14:R17"/>
    <mergeCell ref="P15:P16"/>
    <mergeCell ref="P8:P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25FE-D5CC-42E2-A9EA-C2D0A805D336}">
  <dimension ref="A1:F52"/>
  <sheetViews>
    <sheetView tabSelected="1" topLeftCell="A25" workbookViewId="0">
      <selection activeCell="A52" sqref="A52:B52"/>
    </sheetView>
  </sheetViews>
  <sheetFormatPr baseColWidth="10" defaultRowHeight="14.4" x14ac:dyDescent="0.3"/>
  <cols>
    <col min="1" max="1" width="24.109375" customWidth="1"/>
    <col min="2" max="2" width="15.88671875" customWidth="1"/>
    <col min="3" max="3" width="26.6640625" customWidth="1"/>
    <col min="4" max="4" width="13.33203125" style="12" customWidth="1"/>
    <col min="5" max="5" width="26.6640625" customWidth="1"/>
    <col min="6" max="6" width="33.33203125" customWidth="1"/>
  </cols>
  <sheetData>
    <row r="1" spans="1:6" ht="18" x14ac:dyDescent="0.3">
      <c r="A1" s="350" t="s">
        <v>954</v>
      </c>
      <c r="B1" s="350"/>
      <c r="C1" s="350"/>
      <c r="D1" s="350"/>
      <c r="E1" s="350"/>
      <c r="F1" s="350"/>
    </row>
    <row r="2" spans="1:6" x14ac:dyDescent="0.3">
      <c r="A2" s="186"/>
      <c r="B2" s="186"/>
      <c r="C2" s="186"/>
      <c r="D2" s="134"/>
      <c r="E2" s="186"/>
      <c r="F2" s="186"/>
    </row>
    <row r="3" spans="1:6" x14ac:dyDescent="0.3">
      <c r="A3" s="189" t="s">
        <v>955</v>
      </c>
      <c r="B3" s="189" t="s">
        <v>198</v>
      </c>
      <c r="C3" s="189" t="s">
        <v>200</v>
      </c>
      <c r="D3" s="189" t="s">
        <v>956</v>
      </c>
      <c r="E3" s="189" t="s">
        <v>201</v>
      </c>
      <c r="F3" s="189" t="s">
        <v>203</v>
      </c>
    </row>
    <row r="4" spans="1:6" x14ac:dyDescent="0.3">
      <c r="A4" s="190"/>
      <c r="B4" s="190"/>
      <c r="C4" s="190"/>
      <c r="D4" s="191"/>
      <c r="E4" s="190"/>
      <c r="F4" s="190"/>
    </row>
    <row r="5" spans="1:6" x14ac:dyDescent="0.3">
      <c r="A5" s="351" t="s">
        <v>957</v>
      </c>
      <c r="B5" s="351"/>
      <c r="C5" s="351"/>
      <c r="D5" s="351"/>
      <c r="E5" s="351"/>
      <c r="F5" s="351"/>
    </row>
    <row r="6" spans="1:6" x14ac:dyDescent="0.3">
      <c r="A6" s="192" t="str">
        <f t="shared" ref="A6:A21" si="0">"Dieciseisavos"</f>
        <v>Dieciseisavos</v>
      </c>
      <c r="B6" s="193">
        <f>Dieciseisavos!C8</f>
        <v>46201</v>
      </c>
      <c r="C6" s="192" t="str">
        <f>Dieciseisavos!F8</f>
        <v>REP. CHECA</v>
      </c>
      <c r="D6" s="194" t="str">
        <f>Dieciseisavos!I8&amp;"-"&amp;Dieciseisavos!K8</f>
        <v>1-0</v>
      </c>
      <c r="E6" s="192" t="str">
        <f>Dieciseisavos!N8</f>
        <v>CATAR</v>
      </c>
      <c r="F6" s="192" t="str">
        <f>Dieciseisavos!P8</f>
        <v>Los Angeles</v>
      </c>
    </row>
    <row r="7" spans="1:6" x14ac:dyDescent="0.3">
      <c r="A7" s="195" t="str">
        <f t="shared" si="0"/>
        <v>Dieciseisavos</v>
      </c>
      <c r="B7" s="196">
        <f>Dieciseisavos!C12</f>
        <v>46202</v>
      </c>
      <c r="C7" s="195" t="str">
        <f>Dieciseisavos!F12</f>
        <v>BRASIL</v>
      </c>
      <c r="D7" s="197" t="str">
        <f>Dieciseisavos!I12&amp;"-"&amp;Dieciseisavos!K12</f>
        <v>2-1</v>
      </c>
      <c r="E7" s="195" t="str">
        <f>Dieciseisavos!N12</f>
        <v>SUECIA</v>
      </c>
      <c r="F7" s="195" t="str">
        <f>Dieciseisavos!P12</f>
        <v>Houston</v>
      </c>
    </row>
    <row r="8" spans="1:6" x14ac:dyDescent="0.3">
      <c r="A8" s="192" t="str">
        <f t="shared" si="0"/>
        <v>Dieciseisavos</v>
      </c>
      <c r="B8" s="193">
        <f>Dieciseisavos!C16</f>
        <v>46202</v>
      </c>
      <c r="C8" s="192" t="str">
        <f>Dieciseisavos!F16</f>
        <v>ALEMANIA</v>
      </c>
      <c r="D8" s="194" t="str">
        <f>Dieciseisavos!I16&amp;"-"&amp;Dieciseisavos!K16</f>
        <v>2-0</v>
      </c>
      <c r="E8" s="192" t="str">
        <f>Dieciseisavos!N16</f>
        <v>PARAGUAY</v>
      </c>
      <c r="F8" s="192" t="str">
        <f>Dieciseisavos!P16</f>
        <v>Boston</v>
      </c>
    </row>
    <row r="9" spans="1:6" x14ac:dyDescent="0.3">
      <c r="A9" s="195" t="str">
        <f t="shared" si="0"/>
        <v>Dieciseisavos</v>
      </c>
      <c r="B9" s="196">
        <f>Dieciseisavos!C20</f>
        <v>46202</v>
      </c>
      <c r="C9" s="195" t="str">
        <f>Dieciseisavos!F20</f>
        <v>PAÍSES BAJOS</v>
      </c>
      <c r="D9" s="197" t="str">
        <f>Dieciseisavos!I20&amp;"-"&amp;Dieciseisavos!K20</f>
        <v>2-1</v>
      </c>
      <c r="E9" s="195" t="str">
        <f>Dieciseisavos!N20</f>
        <v>MARRUECOS</v>
      </c>
      <c r="F9" s="195" t="str">
        <f>Dieciseisavos!P20</f>
        <v>Monterrey</v>
      </c>
    </row>
    <row r="10" spans="1:6" x14ac:dyDescent="0.3">
      <c r="A10" s="192" t="str">
        <f t="shared" si="0"/>
        <v>Dieciseisavos</v>
      </c>
      <c r="B10" s="193">
        <f>Dieciseisavos!C24</f>
        <v>46203</v>
      </c>
      <c r="C10" s="192" t="str">
        <f>Dieciseisavos!F24</f>
        <v>ECUADOR</v>
      </c>
      <c r="D10" s="194" t="str">
        <f>Dieciseisavos!I24&amp;"-"&amp;Dieciseisavos!K24</f>
        <v>2-1</v>
      </c>
      <c r="E10" s="192" t="str">
        <f>Dieciseisavos!N24</f>
        <v>NORUEGA</v>
      </c>
      <c r="F10" s="192" t="str">
        <f>Dieciseisavos!P24</f>
        <v>Dallas</v>
      </c>
    </row>
    <row r="11" spans="1:6" x14ac:dyDescent="0.3">
      <c r="A11" s="195" t="str">
        <f t="shared" si="0"/>
        <v>Dieciseisavos</v>
      </c>
      <c r="B11" s="196">
        <f>Dieciseisavos!C28</f>
        <v>46203</v>
      </c>
      <c r="C11" s="195" t="str">
        <f>Dieciseisavos!F28</f>
        <v>FRANCIA</v>
      </c>
      <c r="D11" s="197" t="str">
        <f>Dieciseisavos!I28&amp;"-"&amp;Dieciseisavos!K28</f>
        <v>3-2</v>
      </c>
      <c r="E11" s="195" t="str">
        <f>Dieciseisavos!N28</f>
        <v>JAPÓN</v>
      </c>
      <c r="F11" s="195" t="str">
        <f>Dieciseisavos!P28</f>
        <v>N. York/N. Jersey</v>
      </c>
    </row>
    <row r="12" spans="1:6" x14ac:dyDescent="0.3">
      <c r="A12" s="192" t="str">
        <f t="shared" si="0"/>
        <v>Dieciseisavos</v>
      </c>
      <c r="B12" s="193">
        <f>Dieciseisavos!C32</f>
        <v>46203</v>
      </c>
      <c r="C12" s="192" t="str">
        <f>Dieciseisavos!F32</f>
        <v>MÉXICO</v>
      </c>
      <c r="D12" s="194" t="str">
        <f>Dieciseisavos!I32&amp;"-"&amp;Dieciseisavos!K32</f>
        <v>2-1</v>
      </c>
      <c r="E12" s="192" t="str">
        <f>Dieciseisavos!N32</f>
        <v>ESCOCIA</v>
      </c>
      <c r="F12" s="192" t="str">
        <f>Dieciseisavos!P32</f>
        <v>Ciudad de México</v>
      </c>
    </row>
    <row r="13" spans="1:6" x14ac:dyDescent="0.3">
      <c r="A13" s="195" t="str">
        <f t="shared" si="0"/>
        <v>Dieciseisavos</v>
      </c>
      <c r="B13" s="196">
        <f>Dieciseisavos!C36</f>
        <v>46204</v>
      </c>
      <c r="C13" s="195" t="str">
        <f>Dieciseisavos!F36</f>
        <v>CROACIA</v>
      </c>
      <c r="D13" s="197" t="str">
        <f>Dieciseisavos!I36&amp;"-"&amp;Dieciseisavos!K36</f>
        <v>3-1</v>
      </c>
      <c r="E13" s="195" t="str">
        <f>Dieciseisavos!N36</f>
        <v>REP. del CONGO</v>
      </c>
      <c r="F13" s="195" t="str">
        <f>Dieciseisavos!P36</f>
        <v>Atlanta</v>
      </c>
    </row>
    <row r="14" spans="1:6" x14ac:dyDescent="0.3">
      <c r="A14" s="192" t="str">
        <f t="shared" si="0"/>
        <v>Dieciseisavos</v>
      </c>
      <c r="B14" s="193">
        <f>Dieciseisavos!C40</f>
        <v>46204</v>
      </c>
      <c r="C14" s="192" t="str">
        <f>Dieciseisavos!F40</f>
        <v>BÉLGICA</v>
      </c>
      <c r="D14" s="194" t="str">
        <f>Dieciseisavos!I40&amp;"-"&amp;Dieciseisavos!K40</f>
        <v>3-0</v>
      </c>
      <c r="E14" s="192" t="str">
        <f>Dieciseisavos!N40</f>
        <v>SUDÁFRICA</v>
      </c>
      <c r="F14" s="192" t="str">
        <f>Dieciseisavos!P40</f>
        <v>Seattle</v>
      </c>
    </row>
    <row r="15" spans="1:6" x14ac:dyDescent="0.3">
      <c r="A15" s="195" t="str">
        <f t="shared" si="0"/>
        <v>Dieciseisavos</v>
      </c>
      <c r="B15" s="196">
        <f>Dieciseisavos!C44</f>
        <v>46204</v>
      </c>
      <c r="C15" s="195" t="str">
        <f>Dieciseisavos!F44</f>
        <v>ESTADOS UNIDOS</v>
      </c>
      <c r="D15" s="197" t="str">
        <f>Dieciseisavos!I44&amp;"-"&amp;Dieciseisavos!K44</f>
        <v>2-1</v>
      </c>
      <c r="E15" s="195" t="str">
        <f>Dieciseisavos!N44</f>
        <v>COSTA de MARFIL</v>
      </c>
      <c r="F15" s="195" t="str">
        <f>Dieciseisavos!P44</f>
        <v>San Francisco</v>
      </c>
    </row>
    <row r="16" spans="1:6" x14ac:dyDescent="0.3">
      <c r="A16" s="192" t="str">
        <f t="shared" si="0"/>
        <v>Dieciseisavos</v>
      </c>
      <c r="B16" s="193">
        <f>Dieciseisavos!C48</f>
        <v>46205</v>
      </c>
      <c r="C16" s="192" t="str">
        <f>Dieciseisavos!F48</f>
        <v>ESPAÑA</v>
      </c>
      <c r="D16" s="194" t="str">
        <f>Dieciseisavos!I48&amp;"-"&amp;Dieciseisavos!K48</f>
        <v>3-1</v>
      </c>
      <c r="E16" s="192" t="str">
        <f>Dieciseisavos!N48</f>
        <v>AUSTRIA</v>
      </c>
      <c r="F16" s="192" t="str">
        <f>Dieciseisavos!P48</f>
        <v>Los Angeles</v>
      </c>
    </row>
    <row r="17" spans="1:6" x14ac:dyDescent="0.3">
      <c r="A17" s="195" t="str">
        <f t="shared" si="0"/>
        <v>Dieciseisavos</v>
      </c>
      <c r="B17" s="196">
        <f>Dieciseisavos!C52</f>
        <v>46205</v>
      </c>
      <c r="C17" s="195" t="str">
        <f>Dieciseisavos!F52</f>
        <v>PORTUGAL</v>
      </c>
      <c r="D17" s="197" t="str">
        <f>Dieciseisavos!I52&amp;"-"&amp;Dieciseisavos!K52</f>
        <v>3-2</v>
      </c>
      <c r="E17" s="195" t="str">
        <f>Dieciseisavos!N52</f>
        <v>INGLATERRA</v>
      </c>
      <c r="F17" s="195" t="str">
        <f>Dieciseisavos!P52</f>
        <v>Toronto</v>
      </c>
    </row>
    <row r="18" spans="1:6" x14ac:dyDescent="0.3">
      <c r="A18" s="192" t="str">
        <f t="shared" si="0"/>
        <v>Dieciseisavos</v>
      </c>
      <c r="B18" s="193">
        <f>Dieciseisavos!C56</f>
        <v>46206</v>
      </c>
      <c r="C18" s="192" t="str">
        <f>Dieciseisavos!F56</f>
        <v>SUIZA</v>
      </c>
      <c r="D18" s="194" t="str">
        <f>Dieciseisavos!I56&amp;"-"&amp;Dieciseisavos!K56</f>
        <v>2-1</v>
      </c>
      <c r="E18" s="192" t="str">
        <f>Dieciseisavos!N56</f>
        <v>JORDANIA</v>
      </c>
      <c r="F18" s="192" t="str">
        <f>Dieciseisavos!P56</f>
        <v>Vancouver</v>
      </c>
    </row>
    <row r="19" spans="1:6" x14ac:dyDescent="0.3">
      <c r="A19" s="195" t="str">
        <f t="shared" si="0"/>
        <v>Dieciseisavos</v>
      </c>
      <c r="B19" s="196">
        <f>Dieciseisavos!C60</f>
        <v>46206</v>
      </c>
      <c r="C19" s="195" t="str">
        <f>Dieciseisavos!F60</f>
        <v>PARAGUAY</v>
      </c>
      <c r="D19" s="197" t="str">
        <f>Dieciseisavos!I60&amp;"-"&amp;Dieciseisavos!K60</f>
        <v>1-2</v>
      </c>
      <c r="E19" s="195" t="str">
        <f>Dieciseisavos!N60</f>
        <v>EGIPTO</v>
      </c>
      <c r="F19" s="195" t="str">
        <f>Dieciseisavos!P60</f>
        <v>Dallas</v>
      </c>
    </row>
    <row r="20" spans="1:6" x14ac:dyDescent="0.3">
      <c r="A20" s="192" t="str">
        <f t="shared" si="0"/>
        <v>Dieciseisavos</v>
      </c>
      <c r="B20" s="193">
        <f>Dieciseisavos!C64</f>
        <v>46206</v>
      </c>
      <c r="C20" s="192" t="str">
        <f>Dieciseisavos!F64</f>
        <v>ARGENTINA</v>
      </c>
      <c r="D20" s="194" t="str">
        <f>Dieciseisavos!I64&amp;"-"&amp;Dieciseisavos!K64</f>
        <v>2-1</v>
      </c>
      <c r="E20" s="192" t="str">
        <f>Dieciseisavos!N64</f>
        <v>URUGUAY</v>
      </c>
      <c r="F20" s="192" t="str">
        <f>Dieciseisavos!P64</f>
        <v>Miami</v>
      </c>
    </row>
    <row r="21" spans="1:6" x14ac:dyDescent="0.3">
      <c r="A21" s="195" t="str">
        <f t="shared" si="0"/>
        <v>Dieciseisavos</v>
      </c>
      <c r="B21" s="196">
        <f>Dieciseisavos!C68</f>
        <v>46206</v>
      </c>
      <c r="C21" s="195" t="str">
        <f>Dieciseisavos!F68</f>
        <v>COLOMBIA</v>
      </c>
      <c r="D21" s="197" t="str">
        <f>Dieciseisavos!I68&amp;"-"&amp;Dieciseisavos!K68</f>
        <v>2-1</v>
      </c>
      <c r="E21" s="195" t="str">
        <f>Dieciseisavos!N68</f>
        <v>SENEGAL</v>
      </c>
      <c r="F21" s="195" t="str">
        <f>Dieciseisavos!P68</f>
        <v>Kansas City</v>
      </c>
    </row>
    <row r="22" spans="1:6" x14ac:dyDescent="0.3">
      <c r="A22" s="190"/>
      <c r="B22" s="190"/>
      <c r="C22" s="190"/>
      <c r="D22" s="191"/>
      <c r="E22" s="190"/>
      <c r="F22" s="190"/>
    </row>
    <row r="23" spans="1:6" x14ac:dyDescent="0.3">
      <c r="A23" s="352" t="s">
        <v>958</v>
      </c>
      <c r="B23" s="352"/>
      <c r="C23" s="352"/>
      <c r="D23" s="352"/>
      <c r="E23" s="352"/>
      <c r="F23" s="352"/>
    </row>
    <row r="24" spans="1:6" x14ac:dyDescent="0.3">
      <c r="A24" s="198" t="str">
        <f t="shared" ref="A24:A31" si="1">"Octavos"</f>
        <v>Octavos</v>
      </c>
      <c r="B24" s="199">
        <f>Octavos!C8</f>
        <v>46207</v>
      </c>
      <c r="C24" s="198" t="str">
        <f>Octavos!F8</f>
        <v>REP. CHECA</v>
      </c>
      <c r="D24" s="200" t="str">
        <f>Octavos!I8&amp;"-"&amp;Octavos!K8</f>
        <v>1-3</v>
      </c>
      <c r="E24" s="198" t="str">
        <f>Octavos!N8</f>
        <v>PAÍSES BAJOS</v>
      </c>
      <c r="F24" s="198" t="str">
        <f>Octavos!P8</f>
        <v>Houston</v>
      </c>
    </row>
    <row r="25" spans="1:6" x14ac:dyDescent="0.3">
      <c r="A25" s="195" t="str">
        <f t="shared" si="1"/>
        <v>Octavos</v>
      </c>
      <c r="B25" s="196">
        <f>Octavos!C12</f>
        <v>46207</v>
      </c>
      <c r="C25" s="195" t="str">
        <f>Octavos!F12</f>
        <v>ALEMANIA</v>
      </c>
      <c r="D25" s="197" t="str">
        <f>Octavos!I12&amp;"-"&amp;Octavos!K12</f>
        <v>1-2</v>
      </c>
      <c r="E25" s="195" t="str">
        <f>Octavos!N12</f>
        <v>FRANCIA</v>
      </c>
      <c r="F25" s="195" t="str">
        <f>Octavos!P12</f>
        <v>Filadelfia</v>
      </c>
    </row>
    <row r="26" spans="1:6" x14ac:dyDescent="0.3">
      <c r="A26" s="198" t="str">
        <f t="shared" si="1"/>
        <v>Octavos</v>
      </c>
      <c r="B26" s="199">
        <f>Octavos!C16</f>
        <v>46208</v>
      </c>
      <c r="C26" s="198" t="str">
        <f>Octavos!F16</f>
        <v>BRASIL</v>
      </c>
      <c r="D26" s="200" t="str">
        <f>Octavos!I16&amp;"-"&amp;Octavos!K16</f>
        <v>2-1</v>
      </c>
      <c r="E26" s="198" t="str">
        <f>Octavos!N16</f>
        <v>ECUADOR</v>
      </c>
      <c r="F26" s="198" t="str">
        <f>Octavos!P16</f>
        <v>N. York/N. Jersey</v>
      </c>
    </row>
    <row r="27" spans="1:6" x14ac:dyDescent="0.3">
      <c r="A27" s="195" t="str">
        <f t="shared" si="1"/>
        <v>Octavos</v>
      </c>
      <c r="B27" s="196">
        <f>Octavos!C20</f>
        <v>46208</v>
      </c>
      <c r="C27" s="195" t="str">
        <f>Octavos!F20</f>
        <v>MÉXICO</v>
      </c>
      <c r="D27" s="197" t="str">
        <f>Octavos!I20&amp;"-"&amp;Octavos!K20</f>
        <v>1-2</v>
      </c>
      <c r="E27" s="195" t="str">
        <f>Octavos!N20</f>
        <v>CROACIA</v>
      </c>
      <c r="F27" s="195" t="str">
        <f>Octavos!P20</f>
        <v>Ciudad de México</v>
      </c>
    </row>
    <row r="28" spans="1:6" x14ac:dyDescent="0.3">
      <c r="A28" s="198" t="str">
        <f t="shared" si="1"/>
        <v>Octavos</v>
      </c>
      <c r="B28" s="199">
        <f>Octavos!C24</f>
        <v>46209</v>
      </c>
      <c r="C28" s="198" t="str">
        <f>Octavos!F24</f>
        <v>PORTUGAL</v>
      </c>
      <c r="D28" s="200" t="str">
        <f>Octavos!I24&amp;"-"&amp;Octavos!K24</f>
        <v>1-0</v>
      </c>
      <c r="E28" s="198" t="str">
        <f>Octavos!N24</f>
        <v>ESPAÑA</v>
      </c>
      <c r="F28" s="198" t="str">
        <f>Octavos!P24</f>
        <v>Dallas</v>
      </c>
    </row>
    <row r="29" spans="1:6" x14ac:dyDescent="0.3">
      <c r="A29" s="195" t="str">
        <f t="shared" si="1"/>
        <v>Octavos</v>
      </c>
      <c r="B29" s="196">
        <f>Octavos!C28</f>
        <v>46209</v>
      </c>
      <c r="C29" s="195" t="str">
        <f>Octavos!F28</f>
        <v>ESTADOS UNIDOS</v>
      </c>
      <c r="D29" s="197" t="str">
        <f>Octavos!I28&amp;"-"&amp;Octavos!K28</f>
        <v>1-2</v>
      </c>
      <c r="E29" s="195" t="str">
        <f>Octavos!N28</f>
        <v>BÉLGICA</v>
      </c>
      <c r="F29" s="195" t="str">
        <f>Octavos!P28</f>
        <v>Seattle</v>
      </c>
    </row>
    <row r="30" spans="1:6" x14ac:dyDescent="0.3">
      <c r="A30" s="198" t="str">
        <f t="shared" si="1"/>
        <v>Octavos</v>
      </c>
      <c r="B30" s="199">
        <f>Octavos!C32</f>
        <v>46210</v>
      </c>
      <c r="C30" s="198" t="str">
        <f>Octavos!F32</f>
        <v>ARGENTINA</v>
      </c>
      <c r="D30" s="200" t="str">
        <f>Octavos!I32&amp;"-"&amp;Octavos!K32</f>
        <v>1-0</v>
      </c>
      <c r="E30" s="198" t="str">
        <f>Octavos!N32</f>
        <v>EGIPTO</v>
      </c>
      <c r="F30" s="198" t="str">
        <f>Octavos!P32</f>
        <v>Atlanta</v>
      </c>
    </row>
    <row r="31" spans="1:6" x14ac:dyDescent="0.3">
      <c r="A31" s="195" t="str">
        <f t="shared" si="1"/>
        <v>Octavos</v>
      </c>
      <c r="B31" s="196">
        <f>Octavos!C36</f>
        <v>46210</v>
      </c>
      <c r="C31" s="195" t="str">
        <f>Octavos!F36</f>
        <v>SUIZA</v>
      </c>
      <c r="D31" s="197" t="str">
        <f>Octavos!I36&amp;"-"&amp;Octavos!K36</f>
        <v>1-3</v>
      </c>
      <c r="E31" s="195" t="str">
        <f>Octavos!N36</f>
        <v>COLOMBIA</v>
      </c>
      <c r="F31" s="195" t="str">
        <f>Octavos!P36</f>
        <v>Vancouver</v>
      </c>
    </row>
    <row r="32" spans="1:6" x14ac:dyDescent="0.3">
      <c r="A32" s="190"/>
      <c r="B32" s="190"/>
      <c r="C32" s="190"/>
      <c r="D32" s="191"/>
      <c r="E32" s="190"/>
      <c r="F32" s="190"/>
    </row>
    <row r="33" spans="1:6" x14ac:dyDescent="0.3">
      <c r="A33" s="353" t="s">
        <v>959</v>
      </c>
      <c r="B33" s="353"/>
      <c r="C33" s="353"/>
      <c r="D33" s="353"/>
      <c r="E33" s="353"/>
      <c r="F33" s="353"/>
    </row>
    <row r="34" spans="1:6" x14ac:dyDescent="0.3">
      <c r="A34" s="201" t="str">
        <f>"Cuartos"</f>
        <v>Cuartos</v>
      </c>
      <c r="B34" s="202">
        <f>Cuartos!C8</f>
        <v>46212</v>
      </c>
      <c r="C34" s="201" t="str">
        <f>Cuartos!F8</f>
        <v>FRANCIA</v>
      </c>
      <c r="D34" s="203" t="str">
        <f>Cuartos!I8&amp;"-"&amp;Cuartos!K8</f>
        <v>1-2</v>
      </c>
      <c r="E34" s="201" t="str">
        <f>Cuartos!N8</f>
        <v>PAÍSES BAJOS</v>
      </c>
      <c r="F34" s="201" t="str">
        <f>Cuartos!P8</f>
        <v>Boston</v>
      </c>
    </row>
    <row r="35" spans="1:6" x14ac:dyDescent="0.3">
      <c r="A35" s="195" t="str">
        <f>"Cuartos"</f>
        <v>Cuartos</v>
      </c>
      <c r="B35" s="196">
        <f>Cuartos!C12</f>
        <v>46213</v>
      </c>
      <c r="C35" s="195" t="str">
        <f>Cuartos!F12</f>
        <v>PORTUGAL</v>
      </c>
      <c r="D35" s="197" t="str">
        <f>Cuartos!I12&amp;"-"&amp;Cuartos!K12</f>
        <v>1-0</v>
      </c>
      <c r="E35" s="195" t="str">
        <f>Cuartos!N12</f>
        <v>BÉLGICA</v>
      </c>
      <c r="F35" s="195" t="str">
        <f>Cuartos!P12</f>
        <v>Los Angeles</v>
      </c>
    </row>
    <row r="36" spans="1:6" x14ac:dyDescent="0.3">
      <c r="A36" s="201" t="str">
        <f>"Cuartos"</f>
        <v>Cuartos</v>
      </c>
      <c r="B36" s="202">
        <f>Cuartos!C16</f>
        <v>46214</v>
      </c>
      <c r="C36" s="201" t="str">
        <f>Cuartos!F16</f>
        <v>BRASIL</v>
      </c>
      <c r="D36" s="203" t="str">
        <f>Cuartos!I16&amp;"-"&amp;Cuartos!K16</f>
        <v>2-1</v>
      </c>
      <c r="E36" s="201" t="str">
        <f>Cuartos!N16</f>
        <v>CROACIA</v>
      </c>
      <c r="F36" s="201" t="str">
        <f>Cuartos!P16</f>
        <v>Miami</v>
      </c>
    </row>
    <row r="37" spans="1:6" x14ac:dyDescent="0.3">
      <c r="A37" s="195" t="str">
        <f>"Cuartos"</f>
        <v>Cuartos</v>
      </c>
      <c r="B37" s="196">
        <f>Cuartos!C20</f>
        <v>46214</v>
      </c>
      <c r="C37" s="195" t="str">
        <f>Cuartos!F20</f>
        <v>ARGENTINA</v>
      </c>
      <c r="D37" s="197" t="str">
        <f>Cuartos!I20&amp;"-"&amp;Cuartos!K20</f>
        <v>1-2</v>
      </c>
      <c r="E37" s="195" t="str">
        <f>Cuartos!N20</f>
        <v>COLOMBIA</v>
      </c>
      <c r="F37" s="195" t="str">
        <f>Cuartos!P20</f>
        <v>Kansas City</v>
      </c>
    </row>
    <row r="38" spans="1:6" x14ac:dyDescent="0.3">
      <c r="A38" s="190"/>
      <c r="B38" s="190"/>
      <c r="C38" s="190"/>
      <c r="D38" s="191"/>
      <c r="E38" s="190"/>
      <c r="F38" s="190"/>
    </row>
    <row r="39" spans="1:6" x14ac:dyDescent="0.3">
      <c r="A39" s="354" t="s">
        <v>21</v>
      </c>
      <c r="B39" s="354"/>
      <c r="C39" s="354"/>
      <c r="D39" s="354"/>
      <c r="E39" s="354"/>
      <c r="F39" s="354"/>
    </row>
    <row r="40" spans="1:6" x14ac:dyDescent="0.3">
      <c r="A40" s="204" t="str">
        <f>"Semifinales"</f>
        <v>Semifinales</v>
      </c>
      <c r="B40" s="205">
        <f>Semifinales!C8</f>
        <v>46217</v>
      </c>
      <c r="C40" s="204" t="str">
        <f>Semifinales!F8</f>
        <v>PAÍSES BAJOS</v>
      </c>
      <c r="D40" s="206" t="str">
        <f>Semifinales!I8&amp;"-"&amp;Semifinales!K8</f>
        <v>2-1</v>
      </c>
      <c r="E40" s="204" t="str">
        <f>Semifinales!N8</f>
        <v>PORTUGAL</v>
      </c>
      <c r="F40" s="204" t="str">
        <f>Semifinales!P8</f>
        <v>Dallas</v>
      </c>
    </row>
    <row r="41" spans="1:6" x14ac:dyDescent="0.3">
      <c r="A41" s="195" t="str">
        <f>"Semifinales"</f>
        <v>Semifinales</v>
      </c>
      <c r="B41" s="196">
        <f>Semifinales!C12</f>
        <v>46218</v>
      </c>
      <c r="C41" s="195" t="str">
        <f>Semifinales!F12</f>
        <v>BRASIL</v>
      </c>
      <c r="D41" s="197" t="str">
        <f>Semifinales!I12&amp;"-"&amp;Semifinales!K12</f>
        <v>1-2</v>
      </c>
      <c r="E41" s="195" t="str">
        <f>Semifinales!N12</f>
        <v>COLOMBIA</v>
      </c>
      <c r="F41" s="195" t="str">
        <f>Semifinales!P12</f>
        <v>Atlanta</v>
      </c>
    </row>
    <row r="42" spans="1:6" x14ac:dyDescent="0.3">
      <c r="A42" s="190"/>
      <c r="B42" s="190"/>
      <c r="C42" s="190"/>
      <c r="D42" s="191"/>
      <c r="E42" s="190"/>
      <c r="F42" s="190"/>
    </row>
    <row r="43" spans="1:6" x14ac:dyDescent="0.3">
      <c r="A43" s="355" t="s">
        <v>960</v>
      </c>
      <c r="B43" s="355"/>
      <c r="C43" s="355"/>
      <c r="D43" s="355"/>
      <c r="E43" s="355"/>
      <c r="F43" s="355"/>
    </row>
    <row r="44" spans="1:6" x14ac:dyDescent="0.3">
      <c r="A44" s="207" t="str">
        <f>"3er Puesto"</f>
        <v>3er Puesto</v>
      </c>
      <c r="B44" s="208">
        <f>FINAL!C8</f>
        <v>46221</v>
      </c>
      <c r="C44" s="207" t="str">
        <f>FINAL!F8</f>
        <v>PORTUGAL</v>
      </c>
      <c r="D44" s="209" t="str">
        <f>FINAL!I8&amp;"-"&amp;FINAL!K8</f>
        <v>2-1</v>
      </c>
      <c r="E44" s="207" t="str">
        <f>FINAL!N8</f>
        <v>BRASIL</v>
      </c>
      <c r="F44" s="207" t="str">
        <f>FINAL!P8</f>
        <v>Miami</v>
      </c>
    </row>
    <row r="45" spans="1:6" x14ac:dyDescent="0.3">
      <c r="A45" s="195" t="str">
        <f>"FINAL"</f>
        <v>FINAL</v>
      </c>
      <c r="B45" s="196">
        <f>FINAL!C15</f>
        <v>46222</v>
      </c>
      <c r="C45" s="195" t="str">
        <f>FINAL!F15</f>
        <v>PAÍSES BAJOS</v>
      </c>
      <c r="D45" s="197" t="str">
        <f>FINAL!I15&amp;"-"&amp;FINAL!K15</f>
        <v>0-5</v>
      </c>
      <c r="E45" s="195" t="str">
        <f>FINAL!N15</f>
        <v>COLOMBIA</v>
      </c>
      <c r="F45" s="195" t="str">
        <f>FINAL!P15</f>
        <v>N. York/N. Jersey</v>
      </c>
    </row>
    <row r="46" spans="1:6" x14ac:dyDescent="0.3">
      <c r="A46" s="190"/>
      <c r="B46" s="190"/>
      <c r="C46" s="190"/>
      <c r="D46" s="191"/>
      <c r="E46" s="190"/>
      <c r="F46" s="190"/>
    </row>
    <row r="47" spans="1:6" x14ac:dyDescent="0.3">
      <c r="A47" s="349" t="s">
        <v>961</v>
      </c>
      <c r="B47" s="349"/>
      <c r="C47" s="349"/>
      <c r="D47" s="349"/>
      <c r="E47" s="349"/>
      <c r="F47" s="349"/>
    </row>
    <row r="48" spans="1:6" x14ac:dyDescent="0.3">
      <c r="A48" s="210" t="s">
        <v>962</v>
      </c>
      <c r="B48" s="210" t="str">
        <f>IF(FINAL!I15&gt;FINAL!K15,FINAL!F15,FINAL!N15)</f>
        <v>COLOMBIA</v>
      </c>
      <c r="C48" s="210"/>
      <c r="D48" s="211"/>
      <c r="E48" s="210"/>
      <c r="F48" s="210"/>
    </row>
    <row r="49" spans="1:6" x14ac:dyDescent="0.3">
      <c r="A49" s="212" t="s">
        <v>963</v>
      </c>
      <c r="B49" s="216" t="str">
        <f>IF(FINAL!I15&gt;FINAL!K15,FINAL!N15,FINAL!F15)</f>
        <v>PAÍSES BAJOS</v>
      </c>
      <c r="C49" s="212"/>
      <c r="D49" s="213"/>
      <c r="E49" s="212"/>
      <c r="F49" s="212"/>
    </row>
    <row r="50" spans="1:6" x14ac:dyDescent="0.3">
      <c r="A50" s="214" t="s">
        <v>964</v>
      </c>
      <c r="B50" s="214" t="str">
        <f>IF(FINAL!I8&gt;FINAL!K8,FINAL!F8,FINAL!N8)</f>
        <v>PORTUGAL</v>
      </c>
      <c r="C50" s="214"/>
      <c r="D50" s="215"/>
      <c r="E50" s="214"/>
      <c r="F50" s="214"/>
    </row>
    <row r="51" spans="1:6" x14ac:dyDescent="0.3">
      <c r="A51" s="373" t="s">
        <v>965</v>
      </c>
      <c r="B51" s="373" t="str">
        <f>IF(FINAL!I8&gt;FINAL!K8,FINAL!N8,FINAL!F8)</f>
        <v>BRASIL</v>
      </c>
      <c r="C51" s="216"/>
      <c r="D51" s="217"/>
      <c r="E51" s="216"/>
      <c r="F51" s="216"/>
    </row>
    <row r="52" spans="1:6" ht="23.4" x14ac:dyDescent="0.45">
      <c r="A52" s="374" t="s">
        <v>966</v>
      </c>
      <c r="B52" s="375" t="s">
        <v>967</v>
      </c>
    </row>
  </sheetData>
  <mergeCells count="7">
    <mergeCell ref="A47:F47"/>
    <mergeCell ref="A1:F1"/>
    <mergeCell ref="A5:F5"/>
    <mergeCell ref="A23:F23"/>
    <mergeCell ref="A33:F33"/>
    <mergeCell ref="A39:F39"/>
    <mergeCell ref="A43:F4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workbookViewId="0">
      <selection activeCell="N13" sqref="N13"/>
    </sheetView>
  </sheetViews>
  <sheetFormatPr baseColWidth="10" defaultRowHeight="14.4" x14ac:dyDescent="0.3"/>
  <cols>
    <col min="1" max="1" width="5.6640625" customWidth="1"/>
    <col min="2" max="2" width="20.6640625" customWidth="1"/>
    <col min="3" max="3" width="1.6640625" customWidth="1"/>
    <col min="4" max="4" width="20.6640625" customWidth="1"/>
    <col min="5" max="5" width="1.6640625" customWidth="1"/>
    <col min="6" max="6" width="20.6640625" customWidth="1"/>
    <col min="7" max="7" width="1.6640625" customWidth="1"/>
    <col min="8" max="8" width="20.6640625" customWidth="1"/>
    <col min="9" max="9" width="1.6640625" customWidth="1"/>
    <col min="10" max="10" width="20.6640625" customWidth="1"/>
    <col min="11" max="11" width="6.6640625" customWidth="1"/>
    <col min="14" max="18" width="5.6640625" customWidth="1"/>
    <col min="20" max="20" width="20.88671875" customWidth="1"/>
  </cols>
  <sheetData>
    <row r="1" spans="1:13" ht="33.75" customHeight="1" x14ac:dyDescent="0.3"/>
    <row r="2" spans="1:13" ht="15" thickBot="1" x14ac:dyDescent="0.35"/>
    <row r="3" spans="1:13" ht="15" customHeight="1" x14ac:dyDescent="0.3">
      <c r="B3" s="358">
        <v>96</v>
      </c>
      <c r="D3" s="360">
        <v>22</v>
      </c>
      <c r="F3" s="364">
        <v>16</v>
      </c>
      <c r="H3" s="356">
        <v>48</v>
      </c>
      <c r="J3" s="362">
        <v>104</v>
      </c>
      <c r="K3" s="31"/>
      <c r="M3" s="12"/>
    </row>
    <row r="4" spans="1:13" ht="15" customHeight="1" x14ac:dyDescent="0.3">
      <c r="B4" s="359"/>
      <c r="D4" s="361"/>
      <c r="F4" s="365"/>
      <c r="H4" s="357"/>
      <c r="J4" s="363"/>
      <c r="K4" s="31"/>
    </row>
    <row r="5" spans="1:13" ht="15" customHeight="1" x14ac:dyDescent="0.3">
      <c r="B5" s="359"/>
      <c r="D5" s="361"/>
      <c r="F5" s="365"/>
      <c r="H5" s="357"/>
      <c r="J5" s="363"/>
      <c r="K5" s="31"/>
      <c r="M5" s="12"/>
    </row>
    <row r="6" spans="1:13" ht="15" customHeight="1" x14ac:dyDescent="0.3">
      <c r="B6" s="359"/>
      <c r="D6" s="361"/>
      <c r="F6" s="365"/>
      <c r="H6" s="357"/>
      <c r="J6" s="363"/>
      <c r="K6" s="31"/>
      <c r="M6" s="12"/>
    </row>
    <row r="7" spans="1:13" ht="21" x14ac:dyDescent="0.3">
      <c r="B7" s="368" t="s">
        <v>37</v>
      </c>
      <c r="D7" s="369" t="s">
        <v>39</v>
      </c>
      <c r="F7" s="370" t="s">
        <v>76</v>
      </c>
      <c r="H7" s="371" t="s">
        <v>38</v>
      </c>
      <c r="J7" s="372" t="s">
        <v>1</v>
      </c>
      <c r="K7" s="32"/>
      <c r="M7" s="12"/>
    </row>
    <row r="8" spans="1:13" ht="21" x14ac:dyDescent="0.3">
      <c r="B8" s="368"/>
      <c r="D8" s="369"/>
      <c r="F8" s="370"/>
      <c r="H8" s="371"/>
      <c r="J8" s="372"/>
      <c r="K8" s="32"/>
      <c r="M8" s="12"/>
    </row>
    <row r="9" spans="1:13" ht="5.0999999999999996" customHeight="1" x14ac:dyDescent="0.3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3">
      <c r="A10" s="1"/>
      <c r="B10" s="366" t="s">
        <v>83</v>
      </c>
      <c r="C10" s="1"/>
      <c r="D10" s="366" t="s">
        <v>86</v>
      </c>
      <c r="E10" s="1"/>
      <c r="F10" s="366" t="s">
        <v>87</v>
      </c>
      <c r="G10" s="1"/>
      <c r="H10" s="366" t="s">
        <v>84</v>
      </c>
      <c r="I10" s="1"/>
      <c r="J10" s="366" t="s">
        <v>88</v>
      </c>
      <c r="K10" s="34"/>
      <c r="L10" s="1"/>
    </row>
    <row r="11" spans="1:13" x14ac:dyDescent="0.3">
      <c r="A11" s="1"/>
      <c r="B11" s="366"/>
      <c r="C11" s="1"/>
      <c r="D11" s="366"/>
      <c r="E11" s="1"/>
      <c r="F11" s="366"/>
      <c r="G11" s="1"/>
      <c r="H11" s="366"/>
      <c r="I11" s="1"/>
      <c r="J11" s="366"/>
      <c r="K11" s="34"/>
      <c r="L11" s="1"/>
    </row>
    <row r="12" spans="1:13" x14ac:dyDescent="0.3">
      <c r="A12" s="1"/>
      <c r="B12" s="366"/>
      <c r="C12" s="1"/>
      <c r="D12" s="366"/>
      <c r="E12" s="1"/>
      <c r="F12" s="366"/>
      <c r="G12" s="1"/>
      <c r="H12" s="366"/>
      <c r="I12" s="1"/>
      <c r="J12" s="366"/>
      <c r="K12" s="34"/>
      <c r="L12" s="1"/>
    </row>
    <row r="13" spans="1:13" x14ac:dyDescent="0.3">
      <c r="A13" s="1"/>
      <c r="B13" s="366"/>
      <c r="C13" s="1"/>
      <c r="D13" s="366"/>
      <c r="E13" s="1"/>
      <c r="F13" s="366"/>
      <c r="G13" s="1"/>
      <c r="H13" s="366"/>
      <c r="I13" s="1"/>
      <c r="J13" s="366"/>
      <c r="K13" s="34"/>
      <c r="L13" s="1"/>
    </row>
    <row r="14" spans="1:13" x14ac:dyDescent="0.3">
      <c r="A14" s="1"/>
      <c r="B14" s="366"/>
      <c r="C14" s="1"/>
      <c r="D14" s="366"/>
      <c r="E14" s="1"/>
      <c r="F14" s="366"/>
      <c r="G14" s="1"/>
      <c r="H14" s="366"/>
      <c r="I14" s="1"/>
      <c r="J14" s="366"/>
      <c r="K14" s="34"/>
      <c r="L14" s="1"/>
    </row>
    <row r="15" spans="1:13" x14ac:dyDescent="0.3">
      <c r="A15" s="1"/>
      <c r="B15" s="366"/>
      <c r="C15" s="1"/>
      <c r="D15" s="366"/>
      <c r="E15" s="1"/>
      <c r="F15" s="366"/>
      <c r="G15" s="1"/>
      <c r="H15" s="366"/>
      <c r="I15" s="1"/>
      <c r="J15" s="366"/>
      <c r="K15" s="34"/>
      <c r="L15" s="1"/>
    </row>
    <row r="16" spans="1:13" ht="5.0999999999999996" customHeight="1" thickBot="1" x14ac:dyDescent="0.35">
      <c r="A16" s="1"/>
      <c r="B16" s="367"/>
      <c r="C16" s="1"/>
      <c r="D16" s="367"/>
      <c r="E16" s="1"/>
      <c r="F16" s="367"/>
      <c r="G16" s="1"/>
      <c r="H16" s="367"/>
      <c r="I16" s="1"/>
      <c r="J16" s="367"/>
      <c r="K16" s="34"/>
      <c r="L16" s="1"/>
      <c r="M16" s="12">
        <v>1974</v>
      </c>
    </row>
    <row r="18" spans="2:18" x14ac:dyDescent="0.3">
      <c r="M18" s="12"/>
    </row>
    <row r="19" spans="2:18" x14ac:dyDescent="0.3">
      <c r="L19" s="12"/>
    </row>
    <row r="20" spans="2:18" x14ac:dyDescent="0.3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3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3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3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6" x14ac:dyDescent="0.3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6" x14ac:dyDescent="0.3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6" x14ac:dyDescent="0.3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6" x14ac:dyDescent="0.3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6" x14ac:dyDescent="0.3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6" x14ac:dyDescent="0.3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6" x14ac:dyDescent="0.3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6" x14ac:dyDescent="0.3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3"/>
    <row r="34" ht="18" customHeight="1" x14ac:dyDescent="0.3"/>
    <row r="35" ht="18" customHeight="1" x14ac:dyDescent="0.3"/>
  </sheetData>
  <sheetProtection sheet="1" objects="1" scenarios="1"/>
  <sortState xmlns:xlrd2="http://schemas.microsoft.com/office/spreadsheetml/2017/richdata2" ref="L25:R31">
    <sortCondition ref="L25"/>
  </sortState>
  <mergeCells count="15"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  <mergeCell ref="H3:H6"/>
    <mergeCell ref="B3:B6"/>
    <mergeCell ref="D3:D6"/>
    <mergeCell ref="J3:J6"/>
    <mergeCell ref="F3:F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4.4" x14ac:dyDescent="0.3"/>
  <cols>
    <col min="1" max="1" width="5.6640625" customWidth="1"/>
    <col min="2" max="2" width="35.33203125" customWidth="1"/>
    <col min="3" max="3" width="16.44140625" customWidth="1"/>
    <col min="5" max="5" width="3.6640625" customWidth="1"/>
    <col min="6" max="6" width="5.6640625" customWidth="1"/>
    <col min="7" max="7" width="29.109375" customWidth="1"/>
    <col min="8" max="8" width="6.6640625" customWidth="1"/>
  </cols>
  <sheetData>
    <row r="1" spans="2:27" ht="82.5" customHeight="1" x14ac:dyDescent="0.3"/>
    <row r="3" spans="2:27" ht="30" customHeight="1" x14ac:dyDescent="0.3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3">
      <c r="G4" s="135" t="s">
        <v>328</v>
      </c>
      <c r="H4" s="128" t="s">
        <v>321</v>
      </c>
    </row>
    <row r="5" spans="2:27" ht="15" customHeight="1" x14ac:dyDescent="0.3">
      <c r="G5" s="135" t="s">
        <v>331</v>
      </c>
      <c r="H5" s="128" t="s">
        <v>318</v>
      </c>
    </row>
    <row r="6" spans="2:27" ht="15" customHeight="1" x14ac:dyDescent="0.3">
      <c r="B6" t="s">
        <v>386</v>
      </c>
      <c r="G6" s="135" t="s">
        <v>325</v>
      </c>
      <c r="H6" s="128" t="s">
        <v>318</v>
      </c>
    </row>
    <row r="7" spans="2:27" ht="15" customHeight="1" x14ac:dyDescent="0.3">
      <c r="G7" s="135" t="s">
        <v>336</v>
      </c>
      <c r="H7" s="128" t="s">
        <v>322</v>
      </c>
    </row>
    <row r="8" spans="2:27" ht="15" customHeight="1" x14ac:dyDescent="0.3">
      <c r="B8" s="131" t="s">
        <v>384</v>
      </c>
      <c r="G8" s="135" t="s">
        <v>341</v>
      </c>
      <c r="H8" s="128" t="s">
        <v>323</v>
      </c>
    </row>
    <row r="9" spans="2:27" ht="15" customHeight="1" x14ac:dyDescent="0.3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3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3">
      <c r="B11" s="131"/>
      <c r="G11" s="135" t="s">
        <v>344</v>
      </c>
      <c r="H11" s="128" t="s">
        <v>323</v>
      </c>
    </row>
    <row r="12" spans="2:27" ht="15" customHeight="1" x14ac:dyDescent="0.3">
      <c r="B12" s="131"/>
      <c r="G12" s="135" t="s">
        <v>327</v>
      </c>
      <c r="H12" s="128" t="s">
        <v>320</v>
      </c>
    </row>
    <row r="13" spans="2:27" ht="15" customHeight="1" x14ac:dyDescent="0.3">
      <c r="G13" s="135" t="s">
        <v>326</v>
      </c>
      <c r="H13" s="128" t="s">
        <v>319</v>
      </c>
    </row>
    <row r="14" spans="2:27" ht="15" customHeight="1" x14ac:dyDescent="0.3">
      <c r="G14" s="135" t="s">
        <v>342</v>
      </c>
      <c r="H14" s="128" t="s">
        <v>323</v>
      </c>
    </row>
    <row r="15" spans="2:27" x14ac:dyDescent="0.3">
      <c r="G15" s="135" t="s">
        <v>346</v>
      </c>
      <c r="H15" s="128" t="s">
        <v>320</v>
      </c>
    </row>
    <row r="16" spans="2:27" x14ac:dyDescent="0.3">
      <c r="G16" s="135" t="s">
        <v>343</v>
      </c>
      <c r="H16" s="128" t="s">
        <v>323</v>
      </c>
    </row>
    <row r="17" spans="7:8" x14ac:dyDescent="0.3">
      <c r="G17" s="135" t="s">
        <v>340</v>
      </c>
      <c r="H17" s="128" t="s">
        <v>323</v>
      </c>
    </row>
    <row r="18" spans="7:8" x14ac:dyDescent="0.3">
      <c r="G18" s="135" t="s">
        <v>347</v>
      </c>
      <c r="H18" s="128" t="s">
        <v>322</v>
      </c>
    </row>
    <row r="19" spans="7:8" x14ac:dyDescent="0.3">
      <c r="G19" s="135" t="s">
        <v>348</v>
      </c>
      <c r="H19" s="128" t="s">
        <v>324</v>
      </c>
    </row>
    <row r="20" spans="7:8" x14ac:dyDescent="0.3">
      <c r="G20" s="135" t="s">
        <v>345</v>
      </c>
      <c r="H20" s="128" t="s">
        <v>323</v>
      </c>
    </row>
    <row r="21" spans="7:8" x14ac:dyDescent="0.3">
      <c r="G21" s="135" t="s">
        <v>339</v>
      </c>
      <c r="H21" s="128" t="s">
        <v>322</v>
      </c>
    </row>
    <row r="22" spans="7:8" x14ac:dyDescent="0.3">
      <c r="G22" s="135" t="s">
        <v>330</v>
      </c>
      <c r="H22" s="128" t="s">
        <v>321</v>
      </c>
    </row>
    <row r="23" spans="7:8" x14ac:dyDescent="0.3">
      <c r="G23" s="135" t="s">
        <v>338</v>
      </c>
      <c r="H23" s="128" t="s">
        <v>322</v>
      </c>
    </row>
    <row r="24" spans="7:8" x14ac:dyDescent="0.3">
      <c r="G24" s="135" t="s">
        <v>334</v>
      </c>
      <c r="H24" s="128" t="s">
        <v>318</v>
      </c>
    </row>
    <row r="25" spans="7:8" x14ac:dyDescent="0.3">
      <c r="G25" s="135" t="s">
        <v>333</v>
      </c>
      <c r="H25" s="128" t="s">
        <v>318</v>
      </c>
    </row>
    <row r="26" spans="7:8" x14ac:dyDescent="0.3">
      <c r="G26" s="135" t="s">
        <v>329</v>
      </c>
      <c r="H26" s="128" t="s">
        <v>321</v>
      </c>
    </row>
    <row r="27" spans="7:8" x14ac:dyDescent="0.3">
      <c r="G27" s="135" t="s">
        <v>332</v>
      </c>
      <c r="H27" s="128" t="s">
        <v>318</v>
      </c>
    </row>
    <row r="28" spans="7:8" x14ac:dyDescent="0.3">
      <c r="H28" s="134"/>
    </row>
    <row r="29" spans="7:8" ht="15.6" x14ac:dyDescent="0.3">
      <c r="G29" s="137" t="s">
        <v>315</v>
      </c>
      <c r="H29" s="136" t="s">
        <v>77</v>
      </c>
    </row>
    <row r="30" spans="7:8" ht="30" x14ac:dyDescent="0.3">
      <c r="G30" s="135" t="s">
        <v>349</v>
      </c>
      <c r="H30" s="128" t="s">
        <v>323</v>
      </c>
    </row>
    <row r="31" spans="7:8" ht="15.6" x14ac:dyDescent="0.3">
      <c r="G31" s="137" t="s">
        <v>316</v>
      </c>
      <c r="H31" s="136" t="s">
        <v>77</v>
      </c>
    </row>
    <row r="32" spans="7:8" ht="43.2" x14ac:dyDescent="0.3">
      <c r="G32" s="135" t="s">
        <v>352</v>
      </c>
      <c r="H32" s="128" t="s">
        <v>318</v>
      </c>
    </row>
    <row r="33" spans="7:8" ht="28.8" x14ac:dyDescent="0.3">
      <c r="G33" s="135" t="s">
        <v>350</v>
      </c>
      <c r="H33" s="128" t="s">
        <v>322</v>
      </c>
    </row>
    <row r="34" spans="7:8" x14ac:dyDescent="0.3">
      <c r="G34" s="135" t="s">
        <v>351</v>
      </c>
      <c r="H34" s="128" t="s">
        <v>323</v>
      </c>
    </row>
    <row r="35" spans="7:8" ht="28.8" x14ac:dyDescent="0.3">
      <c r="G35" s="135" t="s">
        <v>353</v>
      </c>
      <c r="H35" s="128" t="s">
        <v>324</v>
      </c>
    </row>
    <row r="36" spans="7:8" ht="15.6" x14ac:dyDescent="0.3">
      <c r="G36" s="137" t="s">
        <v>317</v>
      </c>
      <c r="H36" s="136" t="s">
        <v>77</v>
      </c>
    </row>
    <row r="37" spans="7:8" x14ac:dyDescent="0.3">
      <c r="G37" s="135" t="s">
        <v>207</v>
      </c>
      <c r="H37" s="128" t="s">
        <v>318</v>
      </c>
    </row>
    <row r="38" spans="7:8" x14ac:dyDescent="0.3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N4" sqref="N4"/>
    </sheetView>
  </sheetViews>
  <sheetFormatPr baseColWidth="10" defaultRowHeight="14.4" x14ac:dyDescent="0.3"/>
  <cols>
    <col min="8" max="8" width="7.109375" customWidth="1"/>
    <col min="16383" max="16384" width="0" hidden="1" customWidth="1"/>
  </cols>
  <sheetData>
    <row r="1" spans="1:19 16383:16383" x14ac:dyDescent="0.3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3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3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3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3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3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3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3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3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3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3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3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3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3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3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3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3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3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3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3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3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3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3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3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Ru1xCVLm+2k8CioPleQdslVuWJ99hqRZ4SfnAeooGTWqAnMNMUTZksgViJAp62OIT9ska+H5vb5vFBJJwJ9l0Q==" saltValue="z5i4J9HsfSMJ5IS0amW0Hg==" spinCount="100000" sheet="1" objects="1" scenarios="1" selectLockedCells="1" selectUnlockedCells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J496"/>
  <sheetViews>
    <sheetView showGridLines="0" workbookViewId="0">
      <selection activeCell="D1" sqref="D1"/>
    </sheetView>
  </sheetViews>
  <sheetFormatPr baseColWidth="10" defaultRowHeight="14.4" x14ac:dyDescent="0.3"/>
  <cols>
    <col min="1" max="1" width="20.109375" customWidth="1"/>
    <col min="2" max="2" width="5" customWidth="1"/>
    <col min="3" max="3" width="4.6640625" customWidth="1"/>
    <col min="4" max="4" width="10" bestFit="1" customWidth="1"/>
    <col min="5" max="5" width="4.6640625" customWidth="1"/>
    <col min="6" max="6" width="4.33203125" bestFit="1" customWidth="1"/>
    <col min="7" max="7" width="17.109375" bestFit="1" customWidth="1"/>
    <col min="8" max="8" width="9.6640625" bestFit="1" customWidth="1"/>
    <col min="9" max="9" width="8.33203125" bestFit="1" customWidth="1"/>
    <col min="10" max="11" width="17.44140625" bestFit="1" customWidth="1"/>
    <col min="12" max="12" width="13.109375" bestFit="1" customWidth="1"/>
    <col min="13" max="13" width="30.88671875" bestFit="1" customWidth="1"/>
    <col min="14" max="14" width="20.6640625" bestFit="1" customWidth="1"/>
    <col min="15" max="15" width="9.6640625" bestFit="1" customWidth="1"/>
    <col min="16" max="16" width="12.33203125" bestFit="1" customWidth="1"/>
    <col min="17" max="17" width="17.5546875" bestFit="1" customWidth="1"/>
    <col min="18" max="18" width="4.6640625" customWidth="1"/>
    <col min="19" max="19" width="5.88671875" bestFit="1" customWidth="1"/>
    <col min="20" max="20" width="13.5546875" customWidth="1"/>
    <col min="21" max="21" width="5.44140625" customWidth="1"/>
    <col min="22" max="22" width="5.33203125" customWidth="1"/>
    <col min="23" max="23" width="5.44140625" customWidth="1"/>
    <col min="24" max="24" width="5.109375" customWidth="1"/>
    <col min="25" max="25" width="5.5546875" customWidth="1"/>
    <col min="26" max="26" width="4.6640625" customWidth="1"/>
    <col min="27" max="27" width="5.33203125" customWidth="1"/>
    <col min="28" max="28" width="5" customWidth="1"/>
    <col min="29" max="29" width="1.6640625" customWidth="1"/>
    <col min="30" max="30" width="17.109375" customWidth="1"/>
    <col min="31" max="31" width="1.6640625" customWidth="1"/>
    <col min="32" max="32" width="6.5546875" bestFit="1" customWidth="1"/>
    <col min="33" max="33" width="5.6640625" bestFit="1" customWidth="1"/>
    <col min="34" max="34" width="1.6640625" customWidth="1"/>
    <col min="35" max="35" width="4.6640625" bestFit="1" customWidth="1"/>
    <col min="36" max="36" width="5.6640625" bestFit="1" customWidth="1"/>
  </cols>
  <sheetData>
    <row r="1" spans="1:36" ht="23.25" customHeight="1" x14ac:dyDescent="0.3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  <c r="AI1" s="187" t="s">
        <v>942</v>
      </c>
      <c r="AJ1" s="187" t="s">
        <v>953</v>
      </c>
    </row>
    <row r="2" spans="1:36" ht="23.25" customHeight="1" x14ac:dyDescent="0.3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FDKAICEJ</v>
      </c>
      <c r="AF2" s="188" t="s">
        <v>426</v>
      </c>
      <c r="AG2" s="188">
        <v>1</v>
      </c>
      <c r="AI2" s="188">
        <v>1</v>
      </c>
      <c r="AJ2" s="188">
        <f t="shared" ref="AJ2:AJ9" si="0">SUM(VLOOKUP(MID(clave, AI2, 1), $AF$2:$AG$13, 2, 0))</f>
        <v>32</v>
      </c>
    </row>
    <row r="3" spans="1:36" ht="23.25" customHeight="1" x14ac:dyDescent="0.3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>
        <f>SUM(AJ2:AJ9)</f>
        <v>1853</v>
      </c>
      <c r="AF3" s="188" t="s">
        <v>427</v>
      </c>
      <c r="AG3" s="188">
        <v>2</v>
      </c>
      <c r="AI3" s="188">
        <v>2</v>
      </c>
      <c r="AJ3" s="188">
        <f t="shared" si="0"/>
        <v>8</v>
      </c>
    </row>
    <row r="4" spans="1:36" ht="23.25" customHeight="1" x14ac:dyDescent="0.3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  <c r="AI4" s="188">
        <v>3</v>
      </c>
      <c r="AJ4" s="188">
        <f t="shared" si="0"/>
        <v>1024</v>
      </c>
    </row>
    <row r="5" spans="1:36" ht="23.25" customHeight="1" x14ac:dyDescent="0.3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>SUDÁFRICA</v>
      </c>
      <c r="AF5" s="188" t="s">
        <v>429</v>
      </c>
      <c r="AG5" s="188">
        <v>8</v>
      </c>
      <c r="AI5" s="188">
        <v>4</v>
      </c>
      <c r="AJ5" s="188">
        <f t="shared" si="0"/>
        <v>1</v>
      </c>
    </row>
    <row r="6" spans="1:36" ht="23.25" customHeight="1" x14ac:dyDescent="0.3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>CANADÁ</v>
      </c>
      <c r="AF6" s="188" t="s">
        <v>430</v>
      </c>
      <c r="AG6" s="188">
        <v>16</v>
      </c>
      <c r="AI6" s="188">
        <v>5</v>
      </c>
      <c r="AJ6" s="188">
        <f t="shared" si="0"/>
        <v>256</v>
      </c>
    </row>
    <row r="7" spans="1:36" ht="23.25" customHeight="1" x14ac:dyDescent="0.3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>ESCOCIA</v>
      </c>
      <c r="AF7" s="188" t="s">
        <v>431</v>
      </c>
      <c r="AG7" s="188">
        <v>32</v>
      </c>
      <c r="AI7" s="188">
        <v>6</v>
      </c>
      <c r="AJ7" s="188">
        <f t="shared" si="0"/>
        <v>4</v>
      </c>
    </row>
    <row r="8" spans="1:36" ht="23.25" customHeight="1" x14ac:dyDescent="0.3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>PARAGUAY</v>
      </c>
      <c r="AF8" s="188" t="s">
        <v>432</v>
      </c>
      <c r="AG8" s="188">
        <v>64</v>
      </c>
      <c r="AI8" s="188">
        <v>7</v>
      </c>
      <c r="AJ8" s="188">
        <f t="shared" si="0"/>
        <v>16</v>
      </c>
    </row>
    <row r="9" spans="1:36" ht="23.25" customHeight="1" x14ac:dyDescent="0.3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>COSTA de MARFIL</v>
      </c>
      <c r="AF9" s="188" t="s">
        <v>433</v>
      </c>
      <c r="AG9" s="188">
        <v>128</v>
      </c>
      <c r="AI9" s="188">
        <v>8</v>
      </c>
      <c r="AJ9" s="188">
        <f t="shared" si="0"/>
        <v>512</v>
      </c>
    </row>
    <row r="10" spans="1:36" ht="23.25" customHeight="1" x14ac:dyDescent="0.3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>JAPÓN</v>
      </c>
      <c r="AF10" s="188" t="s">
        <v>434</v>
      </c>
      <c r="AG10" s="188">
        <v>256</v>
      </c>
    </row>
    <row r="11" spans="1:36" ht="23.25" customHeight="1" x14ac:dyDescent="0.3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>IRÁN</v>
      </c>
      <c r="AF11" s="188" t="s">
        <v>435</v>
      </c>
      <c r="AG11" s="188">
        <v>512</v>
      </c>
    </row>
    <row r="12" spans="1:36" ht="23.25" customHeight="1" x14ac:dyDescent="0.3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>ARABIA SAUDITA</v>
      </c>
      <c r="AF12" s="188" t="s">
        <v>436</v>
      </c>
      <c r="AG12" s="188">
        <v>1024</v>
      </c>
    </row>
    <row r="13" spans="1:36" ht="23.25" customHeight="1" x14ac:dyDescent="0.3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>SENEGAL</v>
      </c>
      <c r="AF13" s="188" t="s">
        <v>437</v>
      </c>
      <c r="AG13" s="188">
        <v>2048</v>
      </c>
    </row>
    <row r="14" spans="1:36" ht="23.25" customHeight="1" x14ac:dyDescent="0.3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>JORDANIA</v>
      </c>
    </row>
    <row r="15" spans="1:36" ht="23.25" customHeight="1" x14ac:dyDescent="0.3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>REP. del CONGO</v>
      </c>
    </row>
    <row r="16" spans="1:36" ht="23.25" customHeight="1" x14ac:dyDescent="0.3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>GHANA</v>
      </c>
    </row>
    <row r="17" spans="1:28" ht="23.25" customHeight="1" x14ac:dyDescent="0.3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3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3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3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3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3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3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3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3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3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3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3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3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3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3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3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3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3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3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3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3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3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3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3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3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3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3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3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3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3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3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3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3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3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3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3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3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3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3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3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3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3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3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3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3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3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3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3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3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3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3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3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3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3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3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3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3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3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>REP. CHECA</v>
      </c>
      <c r="K74" s="161" t="str">
        <f>SegundoB</f>
        <v>CATAR</v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3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>BRASIL</v>
      </c>
      <c r="K75" s="161" t="str">
        <f>SegundoF</f>
        <v>SUECIA</v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3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>ALEMANIA</v>
      </c>
      <c r="K76" s="161" t="str">
        <f>INDEX(Dieciseisavos!$U$10:$Y$69,MATCH(VLOOKUP(claveN,tMT[],6,0),Dieciseisavos!$Y$10:$Y$69,0),1)</f>
        <v>PARAGUAY</v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3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>PAÍSES BAJOS</v>
      </c>
      <c r="K77" s="161" t="str">
        <f>SegundoC</f>
        <v>MARRUECOS</v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3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>ECUADOR</v>
      </c>
      <c r="K78" s="161" t="str">
        <f>SegundoI</f>
        <v>NORUEGA</v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3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>FRANCIA</v>
      </c>
      <c r="K79" s="161" t="str">
        <f>INDEX(Dieciseisavos!$U$10:$Y$69,MATCH(VLOOKUP(claveN,tMT[],8,0),Dieciseisavos!$Y$10:$Y$69,0),1)</f>
        <v>JAPÓN</v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3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>MÉXICO</v>
      </c>
      <c r="K80" s="161" t="str">
        <f>INDEX(Dieciseisavos!$U$10:$Y$69,MATCH(VLOOKUP(claveN,tMT[],3,0),Dieciseisavos!$Y$10:$Y$69,0),1)</f>
        <v>ESCOCIA</v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3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>CROACIA</v>
      </c>
      <c r="K81" s="161" t="str">
        <f>INDEX(Dieciseisavos!$U$10:$Y$69,MATCH(VLOOKUP(claveN,tMT[],10,0),Dieciseisavos!$Y$10:$Y$69,0),1)</f>
        <v>REP. del CONGO</v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3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>BÉLGICA</v>
      </c>
      <c r="K82" s="161" t="str">
        <f>INDEX(Dieciseisavos!$U$10:$Y$69,MATCH(VLOOKUP(claveN,tMT[],7,0),Dieciseisavos!$Y$10:$Y$69,0),1)</f>
        <v>SUDÁFRICA</v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3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>ESTADOS UNIDOS</v>
      </c>
      <c r="K83" s="161" t="str">
        <f>INDEX(Dieciseisavos!$U$10:$Y$69,MATCH(VLOOKUP(claveN,tMT[],5,0),Dieciseisavos!$Y$10:$Y$69,0),1)</f>
        <v>COSTA de MARFIL</v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3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>ESPAÑA</v>
      </c>
      <c r="K84" s="161" t="str">
        <f>SegundoJ</f>
        <v>AUSTRIA</v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3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>PORTUGAL</v>
      </c>
      <c r="K85" s="161" t="str">
        <f>SegundoL</f>
        <v>INGLATERRA</v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3">
      <c r="F86" s="101">
        <v>85</v>
      </c>
      <c r="G86" s="158" t="s">
        <v>406</v>
      </c>
      <c r="H86" s="102">
        <v>46206</v>
      </c>
      <c r="I86" s="103">
        <v>0.95833333333575865</v>
      </c>
      <c r="J86" s="161" t="str">
        <f>PrimeroB</f>
        <v>SUIZA</v>
      </c>
      <c r="K86" s="161" t="str">
        <f>INDEX(Dieciseisavos!$U$10:$Y$69,MATCH(VLOOKUP(claveN,tMT[],4,0),Dieciseisavos!$Y$10:$Y$69,0),1)</f>
        <v>JORDANIA</v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46206.958333333336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3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>PARAGUAY</v>
      </c>
      <c r="K87" s="161" t="str">
        <f>SegundoG</f>
        <v>EGIPTO</v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3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>ARGENTINA</v>
      </c>
      <c r="K88" s="161" t="str">
        <f>SegundoH</f>
        <v>URUGUAY</v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3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>COLOMBIA</v>
      </c>
      <c r="K89" s="161" t="str">
        <f>INDEX(Dieciseisavos!$U$10:$Y$69,MATCH(VLOOKUP(claveN,tMT[],9,0),Dieciseisavos!$Y$10:$Y$69,0),1)</f>
        <v>SENEGAL</v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3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>REP. CHECA</v>
      </c>
      <c r="K90" s="161" t="str">
        <f>Ganador75</f>
        <v>PAÍSES BAJOS</v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3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>ALEMANIA</v>
      </c>
      <c r="K91" s="161" t="str">
        <f>Ganador77</f>
        <v>FRANCIA</v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3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>BRASIL</v>
      </c>
      <c r="K92" s="161" t="str">
        <f>Ganador78</f>
        <v>ECUADOR</v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3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>MÉXICO</v>
      </c>
      <c r="K93" s="161" t="str">
        <f>Ganador80</f>
        <v>CROACIA</v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3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>PORTUGAL</v>
      </c>
      <c r="K94" s="161" t="str">
        <f>Ganador84</f>
        <v>ESPAÑA</v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3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>ESTADOS UNIDOS</v>
      </c>
      <c r="K95" s="161" t="str">
        <f>Ganador82</f>
        <v>BÉLGICA</v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3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>ARGENTINA</v>
      </c>
      <c r="K96" s="161" t="str">
        <f>Ganador88</f>
        <v>EGIPTO</v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3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>SUIZA</v>
      </c>
      <c r="K97" s="161" t="str">
        <f>Ganador87</f>
        <v>COLOMBIA</v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3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>FRANCIA</v>
      </c>
      <c r="K98" s="161" t="str">
        <f>Ganador90</f>
        <v>PAÍSES BAJOS</v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3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>PORTUGAL</v>
      </c>
      <c r="K99" s="161" t="str">
        <f>Ganador94</f>
        <v>BÉLGICA</v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3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>BRASIL</v>
      </c>
      <c r="K100" s="161" t="str">
        <f>Ganador92</f>
        <v>CROACIA</v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3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>ARGENTINA</v>
      </c>
      <c r="K101" s="161" t="str">
        <f>Ganador96</f>
        <v>COLOMBIA</v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3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>PAÍSES BAJOS</v>
      </c>
      <c r="K102" s="161" t="str">
        <f>Ganador98</f>
        <v>PORTUGAL</v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3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>BRASIL</v>
      </c>
      <c r="K103" s="161" t="str">
        <f>Ganador100</f>
        <v>COLOMBIA</v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3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>PORTUGAL</v>
      </c>
      <c r="K104" s="161" t="str">
        <f>Perdedor102</f>
        <v>BRASIL</v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3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>PAÍSES BAJOS</v>
      </c>
      <c r="K105" s="163" t="str">
        <f>Ganador102</f>
        <v>COLOMBIA</v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3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3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3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3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3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3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3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3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3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3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3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3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3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3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3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3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3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3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3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3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3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3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3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3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3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3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3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3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3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3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3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3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3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3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3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3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3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3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3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3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3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3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3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3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3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3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3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3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3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3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3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3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3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3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3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3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3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3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3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3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3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3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3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3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3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3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3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3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3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3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3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3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3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3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3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3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3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3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3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3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3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3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3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3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3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3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3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3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3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3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3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3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3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3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3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3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3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3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3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3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3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3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3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3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3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3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3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3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3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3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3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3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3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3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3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3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3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3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3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3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3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3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3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3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3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3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3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3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3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3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3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3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3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3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3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3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3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3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3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3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3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3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3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3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3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3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3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3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3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3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3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3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3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3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3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3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3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3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3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3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3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3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3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3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3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3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3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3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3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3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3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3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3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3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3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3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3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3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3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3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3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3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3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3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3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3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3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3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3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3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3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3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3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3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3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3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3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3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3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3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3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3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3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3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3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3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3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3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3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3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3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3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3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3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3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3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3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3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3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3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3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3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3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3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3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3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3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3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3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3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3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3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3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3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3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3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3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3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3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3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3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3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3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3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3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3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3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3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3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3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3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3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3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3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3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3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3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3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3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3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3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3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3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3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3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3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3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3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3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3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3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3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3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3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3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3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3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3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3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3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3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3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3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3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3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3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3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3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3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3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3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3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3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3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3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3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3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3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3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3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3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3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3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3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3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3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3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3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3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3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3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3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3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3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3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3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3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3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3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3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3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3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3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3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3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3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3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3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3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3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3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3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3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3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3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3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3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3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3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3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3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3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3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3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3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3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3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3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3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3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3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3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3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3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3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3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3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3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3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3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3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3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3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3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3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3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3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3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3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3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3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3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3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3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3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3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3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3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3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3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3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3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3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3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3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3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3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3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3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3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3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algorithmName="SHA-512" hashValue="h2uCuk5QGqNsz4+NxKgcfZ8WVLSJPjDw08DIL7gXP6f8gRN/Fwe0kdASlkJ+bz6DyE/lf/BZgOdNbWfh+FDwkQ==" saltValue="Hd7X4Gu/A0l/q4RMqxx8Tw==" spinCount="100000"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130</vt:i4>
      </vt:variant>
    </vt:vector>
  </HeadingPairs>
  <TitlesOfParts>
    <vt:vector size="154" baseType="lpstr">
      <vt:lpstr>Portada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RESUMEN</vt:lpstr>
      <vt:lpstr>Extra</vt:lpstr>
      <vt:lpstr>UTC</vt:lpstr>
      <vt:lpstr>Copyright</vt:lpstr>
      <vt:lpstr>Recursos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Vanessa Triviño</cp:lastModifiedBy>
  <dcterms:created xsi:type="dcterms:W3CDTF">2017-12-04T20:32:11Z</dcterms:created>
  <dcterms:modified xsi:type="dcterms:W3CDTF">2026-06-11T04:02:46Z</dcterms:modified>
</cp:coreProperties>
</file>