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sos y Charlas\Data Science MFIN\"/>
    </mc:Choice>
  </mc:AlternateContent>
  <xr:revisionPtr revIDLastSave="0" documentId="13_ncr:1_{731926C0-3CC3-4753-8091-F13572646717}" xr6:coauthVersionLast="47" xr6:coauthVersionMax="47" xr10:uidLastSave="{00000000-0000-0000-0000-000000000000}"/>
  <bookViews>
    <workbookView xWindow="-120" yWindow="-120" windowWidth="29040" windowHeight="15720" activeTab="3" xr2:uid="{00000000-000D-0000-FFFF-FFFF00000000}"/>
  </bookViews>
  <sheets>
    <sheet name="1_Matriz_confusion_vs_costo" sheetId="4" r:id="rId1"/>
    <sheet name="2_Costos_fijos" sheetId="1" r:id="rId2"/>
    <sheet name="3_Costo_por_monto" sheetId="2" r:id="rId3"/>
    <sheet name="4_Guia_y_fuentes" sheetId="3" r:id="rId4"/>
    <sheet name="5. Otro diseñ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4" l="1"/>
  <c r="H12" i="4"/>
  <c r="B8" i="4"/>
  <c r="B5" i="4"/>
  <c r="H116" i="2"/>
  <c r="G116" i="2"/>
  <c r="F116" i="2"/>
  <c r="K116" i="2" s="1"/>
  <c r="E116" i="2"/>
  <c r="D116" i="2"/>
  <c r="C116" i="2"/>
  <c r="A116" i="2"/>
  <c r="H115" i="2"/>
  <c r="G115" i="2"/>
  <c r="F115" i="2"/>
  <c r="K115" i="2" s="1"/>
  <c r="E115" i="2"/>
  <c r="D115" i="2"/>
  <c r="C115" i="2"/>
  <c r="A115" i="2"/>
  <c r="H114" i="2"/>
  <c r="G114" i="2"/>
  <c r="F114" i="2"/>
  <c r="K114" i="2" s="1"/>
  <c r="E114" i="2"/>
  <c r="D114" i="2"/>
  <c r="C114" i="2"/>
  <c r="A114" i="2"/>
  <c r="H113" i="2"/>
  <c r="G113" i="2"/>
  <c r="F113" i="2"/>
  <c r="K113" i="2" s="1"/>
  <c r="E113" i="2"/>
  <c r="D113" i="2"/>
  <c r="C113" i="2"/>
  <c r="A113" i="2"/>
  <c r="H112" i="2"/>
  <c r="G112" i="2"/>
  <c r="F112" i="2"/>
  <c r="K112" i="2" s="1"/>
  <c r="E112" i="2"/>
  <c r="D112" i="2"/>
  <c r="C112" i="2"/>
  <c r="A112" i="2"/>
  <c r="H111" i="2"/>
  <c r="G111" i="2"/>
  <c r="F111" i="2"/>
  <c r="K111" i="2" s="1"/>
  <c r="E111" i="2"/>
  <c r="D111" i="2"/>
  <c r="C111" i="2"/>
  <c r="A111" i="2"/>
  <c r="H110" i="2"/>
  <c r="G110" i="2"/>
  <c r="F110" i="2"/>
  <c r="K110" i="2" s="1"/>
  <c r="E110" i="2"/>
  <c r="D110" i="2"/>
  <c r="C110" i="2"/>
  <c r="A110" i="2"/>
  <c r="T109" i="2"/>
  <c r="H109" i="2"/>
  <c r="G109" i="2"/>
  <c r="F109" i="2"/>
  <c r="K109" i="2" s="1"/>
  <c r="E109" i="2"/>
  <c r="D109" i="2"/>
  <c r="C109" i="2"/>
  <c r="A109" i="2"/>
  <c r="H108" i="2"/>
  <c r="G108" i="2"/>
  <c r="F108" i="2"/>
  <c r="K108" i="2" s="1"/>
  <c r="E108" i="2"/>
  <c r="D108" i="2"/>
  <c r="C108" i="2"/>
  <c r="A108" i="2"/>
  <c r="H107" i="2"/>
  <c r="G107" i="2"/>
  <c r="F107" i="2"/>
  <c r="K107" i="2" s="1"/>
  <c r="E107" i="2"/>
  <c r="D107" i="2"/>
  <c r="C107" i="2"/>
  <c r="A107" i="2"/>
  <c r="H106" i="2"/>
  <c r="G106" i="2"/>
  <c r="F106" i="2"/>
  <c r="K106" i="2" s="1"/>
  <c r="E106" i="2"/>
  <c r="D106" i="2"/>
  <c r="C106" i="2"/>
  <c r="A106" i="2"/>
  <c r="H105" i="2"/>
  <c r="G105" i="2"/>
  <c r="F105" i="2"/>
  <c r="K105" i="2" s="1"/>
  <c r="E105" i="2"/>
  <c r="D105" i="2"/>
  <c r="C105" i="2"/>
  <c r="A105" i="2"/>
  <c r="H104" i="2"/>
  <c r="G104" i="2"/>
  <c r="F104" i="2"/>
  <c r="K104" i="2" s="1"/>
  <c r="E104" i="2"/>
  <c r="D104" i="2"/>
  <c r="C104" i="2"/>
  <c r="A104" i="2"/>
  <c r="H103" i="2"/>
  <c r="G103" i="2"/>
  <c r="F103" i="2"/>
  <c r="K103" i="2" s="1"/>
  <c r="E103" i="2"/>
  <c r="D103" i="2"/>
  <c r="C103" i="2"/>
  <c r="A103" i="2"/>
  <c r="H102" i="2"/>
  <c r="G102" i="2"/>
  <c r="F102" i="2"/>
  <c r="K102" i="2" s="1"/>
  <c r="E102" i="2"/>
  <c r="D102" i="2"/>
  <c r="C102" i="2"/>
  <c r="A102" i="2"/>
  <c r="H101" i="2"/>
  <c r="G101" i="2"/>
  <c r="F101" i="2"/>
  <c r="K101" i="2" s="1"/>
  <c r="E101" i="2"/>
  <c r="D101" i="2"/>
  <c r="C101" i="2"/>
  <c r="A101" i="2"/>
  <c r="H100" i="2"/>
  <c r="G100" i="2"/>
  <c r="F100" i="2"/>
  <c r="K100" i="2" s="1"/>
  <c r="E100" i="2"/>
  <c r="D100" i="2"/>
  <c r="C100" i="2"/>
  <c r="A100" i="2"/>
  <c r="H99" i="2"/>
  <c r="G99" i="2"/>
  <c r="F99" i="2"/>
  <c r="K99" i="2" s="1"/>
  <c r="E99" i="2"/>
  <c r="D99" i="2"/>
  <c r="C99" i="2"/>
  <c r="A99" i="2"/>
  <c r="H98" i="2"/>
  <c r="G98" i="2"/>
  <c r="F98" i="2"/>
  <c r="K98" i="2" s="1"/>
  <c r="E98" i="2"/>
  <c r="D98" i="2"/>
  <c r="C98" i="2"/>
  <c r="A98" i="2"/>
  <c r="H97" i="2"/>
  <c r="G97" i="2"/>
  <c r="F97" i="2"/>
  <c r="K97" i="2" s="1"/>
  <c r="E97" i="2"/>
  <c r="D97" i="2"/>
  <c r="C97" i="2"/>
  <c r="A97" i="2"/>
  <c r="H96" i="2"/>
  <c r="G96" i="2"/>
  <c r="F96" i="2"/>
  <c r="K96" i="2" s="1"/>
  <c r="E96" i="2"/>
  <c r="D96" i="2"/>
  <c r="C96" i="2"/>
  <c r="A96" i="2"/>
  <c r="H95" i="2"/>
  <c r="G95" i="2"/>
  <c r="F95" i="2"/>
  <c r="K95" i="2" s="1"/>
  <c r="E95" i="2"/>
  <c r="D95" i="2"/>
  <c r="C95" i="2"/>
  <c r="A95" i="2"/>
  <c r="H94" i="2"/>
  <c r="G94" i="2"/>
  <c r="F94" i="2"/>
  <c r="K94" i="2" s="1"/>
  <c r="E94" i="2"/>
  <c r="D94" i="2"/>
  <c r="C94" i="2"/>
  <c r="A94" i="2"/>
  <c r="H93" i="2"/>
  <c r="G93" i="2"/>
  <c r="F93" i="2"/>
  <c r="K93" i="2" s="1"/>
  <c r="E93" i="2"/>
  <c r="D93" i="2"/>
  <c r="C93" i="2"/>
  <c r="A93" i="2"/>
  <c r="H92" i="2"/>
  <c r="G92" i="2"/>
  <c r="F92" i="2"/>
  <c r="K92" i="2" s="1"/>
  <c r="E92" i="2"/>
  <c r="D92" i="2"/>
  <c r="C92" i="2"/>
  <c r="A92" i="2"/>
  <c r="H91" i="2"/>
  <c r="G91" i="2"/>
  <c r="F91" i="2"/>
  <c r="K91" i="2" s="1"/>
  <c r="E91" i="2"/>
  <c r="D91" i="2"/>
  <c r="C91" i="2"/>
  <c r="A91" i="2"/>
  <c r="H90" i="2"/>
  <c r="G90" i="2"/>
  <c r="F90" i="2"/>
  <c r="K90" i="2" s="1"/>
  <c r="E90" i="2"/>
  <c r="D90" i="2"/>
  <c r="C90" i="2"/>
  <c r="A90" i="2"/>
  <c r="H89" i="2"/>
  <c r="G89" i="2"/>
  <c r="F89" i="2"/>
  <c r="K89" i="2" s="1"/>
  <c r="E89" i="2"/>
  <c r="D89" i="2"/>
  <c r="C89" i="2"/>
  <c r="A89" i="2"/>
  <c r="H88" i="2"/>
  <c r="G88" i="2"/>
  <c r="F88" i="2"/>
  <c r="K88" i="2" s="1"/>
  <c r="E88" i="2"/>
  <c r="D88" i="2"/>
  <c r="C88" i="2"/>
  <c r="A88" i="2"/>
  <c r="H87" i="2"/>
  <c r="G87" i="2"/>
  <c r="F87" i="2"/>
  <c r="K87" i="2" s="1"/>
  <c r="E87" i="2"/>
  <c r="D87" i="2"/>
  <c r="C87" i="2"/>
  <c r="A87" i="2"/>
  <c r="H86" i="2"/>
  <c r="G86" i="2"/>
  <c r="F86" i="2"/>
  <c r="K86" i="2" s="1"/>
  <c r="E86" i="2"/>
  <c r="D86" i="2"/>
  <c r="C86" i="2"/>
  <c r="A86" i="2"/>
  <c r="H85" i="2"/>
  <c r="G85" i="2"/>
  <c r="F85" i="2"/>
  <c r="K85" i="2" s="1"/>
  <c r="E85" i="2"/>
  <c r="D85" i="2"/>
  <c r="C85" i="2"/>
  <c r="A85" i="2"/>
  <c r="H84" i="2"/>
  <c r="G84" i="2"/>
  <c r="F84" i="2"/>
  <c r="K84" i="2" s="1"/>
  <c r="E84" i="2"/>
  <c r="D84" i="2"/>
  <c r="C84" i="2"/>
  <c r="A84" i="2"/>
  <c r="H83" i="2"/>
  <c r="G83" i="2"/>
  <c r="F83" i="2"/>
  <c r="K83" i="2" s="1"/>
  <c r="E83" i="2"/>
  <c r="D83" i="2"/>
  <c r="C83" i="2"/>
  <c r="A83" i="2"/>
  <c r="H82" i="2"/>
  <c r="G82" i="2"/>
  <c r="F82" i="2"/>
  <c r="K82" i="2" s="1"/>
  <c r="E82" i="2"/>
  <c r="D82" i="2"/>
  <c r="C82" i="2"/>
  <c r="A82" i="2"/>
  <c r="H81" i="2"/>
  <c r="G81" i="2"/>
  <c r="F81" i="2"/>
  <c r="K81" i="2" s="1"/>
  <c r="E81" i="2"/>
  <c r="D81" i="2"/>
  <c r="C81" i="2"/>
  <c r="A81" i="2"/>
  <c r="H80" i="2"/>
  <c r="G80" i="2"/>
  <c r="F80" i="2"/>
  <c r="K80" i="2" s="1"/>
  <c r="E80" i="2"/>
  <c r="D80" i="2"/>
  <c r="C80" i="2"/>
  <c r="A80" i="2"/>
  <c r="H79" i="2"/>
  <c r="G79" i="2"/>
  <c r="F79" i="2"/>
  <c r="K79" i="2" s="1"/>
  <c r="E79" i="2"/>
  <c r="D79" i="2"/>
  <c r="C79" i="2"/>
  <c r="A79" i="2"/>
  <c r="H78" i="2"/>
  <c r="G78" i="2"/>
  <c r="F78" i="2"/>
  <c r="K78" i="2" s="1"/>
  <c r="E78" i="2"/>
  <c r="D78" i="2"/>
  <c r="C78" i="2"/>
  <c r="A78" i="2"/>
  <c r="H77" i="2"/>
  <c r="G77" i="2"/>
  <c r="F77" i="2"/>
  <c r="K77" i="2" s="1"/>
  <c r="E77" i="2"/>
  <c r="D77" i="2"/>
  <c r="C77" i="2"/>
  <c r="A77" i="2"/>
  <c r="H76" i="2"/>
  <c r="G76" i="2"/>
  <c r="F76" i="2"/>
  <c r="K76" i="2" s="1"/>
  <c r="E76" i="2"/>
  <c r="D76" i="2"/>
  <c r="C76" i="2"/>
  <c r="A76" i="2"/>
  <c r="H75" i="2"/>
  <c r="G75" i="2"/>
  <c r="F75" i="2"/>
  <c r="K75" i="2" s="1"/>
  <c r="E75" i="2"/>
  <c r="D75" i="2"/>
  <c r="C75" i="2"/>
  <c r="A75" i="2"/>
  <c r="H74" i="2"/>
  <c r="G74" i="2"/>
  <c r="F74" i="2"/>
  <c r="K74" i="2" s="1"/>
  <c r="E74" i="2"/>
  <c r="D74" i="2"/>
  <c r="C74" i="2"/>
  <c r="A74" i="2"/>
  <c r="H73" i="2"/>
  <c r="G73" i="2"/>
  <c r="F73" i="2"/>
  <c r="K73" i="2" s="1"/>
  <c r="E73" i="2"/>
  <c r="D73" i="2"/>
  <c r="C73" i="2"/>
  <c r="A73" i="2"/>
  <c r="H72" i="2"/>
  <c r="G72" i="2"/>
  <c r="F72" i="2"/>
  <c r="K72" i="2" s="1"/>
  <c r="E72" i="2"/>
  <c r="D72" i="2"/>
  <c r="C72" i="2"/>
  <c r="A72" i="2"/>
  <c r="H71" i="2"/>
  <c r="G71" i="2"/>
  <c r="F71" i="2"/>
  <c r="K71" i="2" s="1"/>
  <c r="E71" i="2"/>
  <c r="D71" i="2"/>
  <c r="C71" i="2"/>
  <c r="A71" i="2"/>
  <c r="H70" i="2"/>
  <c r="G70" i="2"/>
  <c r="F70" i="2"/>
  <c r="K70" i="2" s="1"/>
  <c r="E70" i="2"/>
  <c r="D70" i="2"/>
  <c r="C70" i="2"/>
  <c r="A70" i="2"/>
  <c r="H69" i="2"/>
  <c r="G69" i="2"/>
  <c r="F69" i="2"/>
  <c r="K69" i="2" s="1"/>
  <c r="E69" i="2"/>
  <c r="D69" i="2"/>
  <c r="C69" i="2"/>
  <c r="A69" i="2"/>
  <c r="H68" i="2"/>
  <c r="G68" i="2"/>
  <c r="F68" i="2"/>
  <c r="K68" i="2" s="1"/>
  <c r="E68" i="2"/>
  <c r="D68" i="2"/>
  <c r="C68" i="2"/>
  <c r="A68" i="2"/>
  <c r="H67" i="2"/>
  <c r="G67" i="2"/>
  <c r="F67" i="2"/>
  <c r="K67" i="2" s="1"/>
  <c r="E67" i="2"/>
  <c r="D67" i="2"/>
  <c r="C67" i="2"/>
  <c r="A67" i="2"/>
  <c r="H66" i="2"/>
  <c r="G66" i="2"/>
  <c r="F66" i="2"/>
  <c r="K66" i="2" s="1"/>
  <c r="E66" i="2"/>
  <c r="D66" i="2"/>
  <c r="C66" i="2"/>
  <c r="A66" i="2"/>
  <c r="H65" i="2"/>
  <c r="G65" i="2"/>
  <c r="F65" i="2"/>
  <c r="K65" i="2" s="1"/>
  <c r="E65" i="2"/>
  <c r="D65" i="2"/>
  <c r="C65" i="2"/>
  <c r="A65" i="2"/>
  <c r="H64" i="2"/>
  <c r="G64" i="2"/>
  <c r="F64" i="2"/>
  <c r="K64" i="2" s="1"/>
  <c r="E64" i="2"/>
  <c r="D64" i="2"/>
  <c r="C64" i="2"/>
  <c r="A64" i="2"/>
  <c r="H63" i="2"/>
  <c r="G63" i="2"/>
  <c r="F63" i="2"/>
  <c r="K63" i="2" s="1"/>
  <c r="E63" i="2"/>
  <c r="D63" i="2"/>
  <c r="C63" i="2"/>
  <c r="A63" i="2"/>
  <c r="H62" i="2"/>
  <c r="G62" i="2"/>
  <c r="F62" i="2"/>
  <c r="K62" i="2" s="1"/>
  <c r="E62" i="2"/>
  <c r="D62" i="2"/>
  <c r="C62" i="2"/>
  <c r="A62" i="2"/>
  <c r="H61" i="2"/>
  <c r="G61" i="2"/>
  <c r="F61" i="2"/>
  <c r="K61" i="2" s="1"/>
  <c r="E61" i="2"/>
  <c r="D61" i="2"/>
  <c r="C61" i="2"/>
  <c r="A61" i="2"/>
  <c r="H60" i="2"/>
  <c r="G60" i="2"/>
  <c r="F60" i="2"/>
  <c r="K60" i="2" s="1"/>
  <c r="E60" i="2"/>
  <c r="D60" i="2"/>
  <c r="C60" i="2"/>
  <c r="A60" i="2"/>
  <c r="H59" i="2"/>
  <c r="G59" i="2"/>
  <c r="F59" i="2"/>
  <c r="K59" i="2" s="1"/>
  <c r="E59" i="2"/>
  <c r="D59" i="2"/>
  <c r="C59" i="2"/>
  <c r="A59" i="2"/>
  <c r="H58" i="2"/>
  <c r="G58" i="2"/>
  <c r="F58" i="2"/>
  <c r="K58" i="2" s="1"/>
  <c r="E58" i="2"/>
  <c r="D58" i="2"/>
  <c r="C58" i="2"/>
  <c r="A58" i="2"/>
  <c r="H57" i="2"/>
  <c r="G57" i="2"/>
  <c r="F57" i="2"/>
  <c r="K57" i="2" s="1"/>
  <c r="E57" i="2"/>
  <c r="D57" i="2"/>
  <c r="C57" i="2"/>
  <c r="A57" i="2"/>
  <c r="H56" i="2"/>
  <c r="G56" i="2"/>
  <c r="F56" i="2"/>
  <c r="K56" i="2" s="1"/>
  <c r="E56" i="2"/>
  <c r="D56" i="2"/>
  <c r="C56" i="2"/>
  <c r="A56" i="2"/>
  <c r="H55" i="2"/>
  <c r="G55" i="2"/>
  <c r="F55" i="2"/>
  <c r="K55" i="2" s="1"/>
  <c r="E55" i="2"/>
  <c r="D55" i="2"/>
  <c r="C55" i="2"/>
  <c r="A55" i="2"/>
  <c r="H54" i="2"/>
  <c r="G54" i="2"/>
  <c r="F54" i="2"/>
  <c r="K54" i="2" s="1"/>
  <c r="E54" i="2"/>
  <c r="D54" i="2"/>
  <c r="C54" i="2"/>
  <c r="A54" i="2"/>
  <c r="H53" i="2"/>
  <c r="G53" i="2"/>
  <c r="F53" i="2"/>
  <c r="K53" i="2" s="1"/>
  <c r="E53" i="2"/>
  <c r="D53" i="2"/>
  <c r="C53" i="2"/>
  <c r="A53" i="2"/>
  <c r="H52" i="2"/>
  <c r="G52" i="2"/>
  <c r="F52" i="2"/>
  <c r="K52" i="2" s="1"/>
  <c r="E52" i="2"/>
  <c r="D52" i="2"/>
  <c r="C52" i="2"/>
  <c r="A52" i="2"/>
  <c r="N51" i="2"/>
  <c r="O51" i="2" s="1"/>
  <c r="I51" i="2"/>
  <c r="H51" i="2"/>
  <c r="K51" i="2" s="1"/>
  <c r="G51" i="2"/>
  <c r="J51" i="2" s="1"/>
  <c r="F51" i="2"/>
  <c r="E51" i="2"/>
  <c r="D51" i="2"/>
  <c r="C51" i="2"/>
  <c r="A51" i="2"/>
  <c r="H50" i="2"/>
  <c r="G50" i="2"/>
  <c r="F50" i="2"/>
  <c r="K50" i="2" s="1"/>
  <c r="E50" i="2"/>
  <c r="D50" i="2"/>
  <c r="C50" i="2"/>
  <c r="A50" i="2"/>
  <c r="H49" i="2"/>
  <c r="G49" i="2"/>
  <c r="F49" i="2"/>
  <c r="K49" i="2" s="1"/>
  <c r="E49" i="2"/>
  <c r="D49" i="2"/>
  <c r="C49" i="2"/>
  <c r="A49" i="2"/>
  <c r="H48" i="2"/>
  <c r="G48" i="2"/>
  <c r="F48" i="2"/>
  <c r="K48" i="2" s="1"/>
  <c r="E48" i="2"/>
  <c r="D48" i="2"/>
  <c r="C48" i="2"/>
  <c r="A48" i="2"/>
  <c r="H47" i="2"/>
  <c r="G47" i="2"/>
  <c r="F47" i="2"/>
  <c r="K47" i="2" s="1"/>
  <c r="E47" i="2"/>
  <c r="D47" i="2"/>
  <c r="C47" i="2"/>
  <c r="A47" i="2"/>
  <c r="H46" i="2"/>
  <c r="G46" i="2"/>
  <c r="F46" i="2"/>
  <c r="K46" i="2" s="1"/>
  <c r="E46" i="2"/>
  <c r="D46" i="2"/>
  <c r="C46" i="2"/>
  <c r="A46" i="2"/>
  <c r="H45" i="2"/>
  <c r="G45" i="2"/>
  <c r="F45" i="2"/>
  <c r="K45" i="2" s="1"/>
  <c r="E45" i="2"/>
  <c r="D45" i="2"/>
  <c r="C45" i="2"/>
  <c r="A45" i="2"/>
  <c r="H44" i="2"/>
  <c r="G44" i="2"/>
  <c r="F44" i="2"/>
  <c r="K44" i="2" s="1"/>
  <c r="E44" i="2"/>
  <c r="D44" i="2"/>
  <c r="C44" i="2"/>
  <c r="A44" i="2"/>
  <c r="H43" i="2"/>
  <c r="G43" i="2"/>
  <c r="F43" i="2"/>
  <c r="K43" i="2" s="1"/>
  <c r="E43" i="2"/>
  <c r="D43" i="2"/>
  <c r="C43" i="2"/>
  <c r="A43" i="2"/>
  <c r="H42" i="2"/>
  <c r="G42" i="2"/>
  <c r="F42" i="2"/>
  <c r="K42" i="2" s="1"/>
  <c r="E42" i="2"/>
  <c r="D42" i="2"/>
  <c r="C42" i="2"/>
  <c r="A42" i="2"/>
  <c r="H41" i="2"/>
  <c r="G41" i="2"/>
  <c r="F41" i="2"/>
  <c r="K41" i="2" s="1"/>
  <c r="E41" i="2"/>
  <c r="D41" i="2"/>
  <c r="C41" i="2"/>
  <c r="A41" i="2"/>
  <c r="H40" i="2"/>
  <c r="G40" i="2"/>
  <c r="F40" i="2"/>
  <c r="K40" i="2" s="1"/>
  <c r="E40" i="2"/>
  <c r="D40" i="2"/>
  <c r="C40" i="2"/>
  <c r="A40" i="2"/>
  <c r="H39" i="2"/>
  <c r="G39" i="2"/>
  <c r="F39" i="2"/>
  <c r="K39" i="2" s="1"/>
  <c r="E39" i="2"/>
  <c r="D39" i="2"/>
  <c r="C39" i="2"/>
  <c r="A39" i="2"/>
  <c r="H38" i="2"/>
  <c r="G38" i="2"/>
  <c r="F38" i="2"/>
  <c r="K38" i="2" s="1"/>
  <c r="E38" i="2"/>
  <c r="D38" i="2"/>
  <c r="C38" i="2"/>
  <c r="A38" i="2"/>
  <c r="H37" i="2"/>
  <c r="G37" i="2"/>
  <c r="F37" i="2"/>
  <c r="K37" i="2" s="1"/>
  <c r="E37" i="2"/>
  <c r="D37" i="2"/>
  <c r="C37" i="2"/>
  <c r="A37" i="2"/>
  <c r="H36" i="2"/>
  <c r="G36" i="2"/>
  <c r="F36" i="2"/>
  <c r="K36" i="2" s="1"/>
  <c r="E36" i="2"/>
  <c r="D36" i="2"/>
  <c r="C36" i="2"/>
  <c r="A36" i="2"/>
  <c r="H35" i="2"/>
  <c r="G35" i="2"/>
  <c r="F35" i="2"/>
  <c r="K35" i="2" s="1"/>
  <c r="E35" i="2"/>
  <c r="D35" i="2"/>
  <c r="C35" i="2"/>
  <c r="A35" i="2"/>
  <c r="H34" i="2"/>
  <c r="G34" i="2"/>
  <c r="F34" i="2"/>
  <c r="K34" i="2" s="1"/>
  <c r="E34" i="2"/>
  <c r="D34" i="2"/>
  <c r="C34" i="2"/>
  <c r="A34" i="2"/>
  <c r="H33" i="2"/>
  <c r="G33" i="2"/>
  <c r="F33" i="2"/>
  <c r="K33" i="2" s="1"/>
  <c r="E33" i="2"/>
  <c r="D33" i="2"/>
  <c r="C33" i="2"/>
  <c r="A33" i="2"/>
  <c r="H32" i="2"/>
  <c r="G32" i="2"/>
  <c r="F32" i="2"/>
  <c r="K32" i="2" s="1"/>
  <c r="E32" i="2"/>
  <c r="D32" i="2"/>
  <c r="C32" i="2"/>
  <c r="A32" i="2"/>
  <c r="H31" i="2"/>
  <c r="G31" i="2"/>
  <c r="F31" i="2"/>
  <c r="K31" i="2" s="1"/>
  <c r="E31" i="2"/>
  <c r="D31" i="2"/>
  <c r="C31" i="2"/>
  <c r="A31" i="2"/>
  <c r="H30" i="2"/>
  <c r="G30" i="2"/>
  <c r="F30" i="2"/>
  <c r="K30" i="2" s="1"/>
  <c r="E30" i="2"/>
  <c r="D30" i="2"/>
  <c r="C30" i="2"/>
  <c r="A30" i="2"/>
  <c r="N29" i="2"/>
  <c r="O29" i="2" s="1"/>
  <c r="H29" i="2"/>
  <c r="G29" i="2"/>
  <c r="F29" i="2"/>
  <c r="K29" i="2" s="1"/>
  <c r="E29" i="2"/>
  <c r="D29" i="2"/>
  <c r="C29" i="2"/>
  <c r="A29" i="2"/>
  <c r="H28" i="2"/>
  <c r="G28" i="2"/>
  <c r="F28" i="2"/>
  <c r="K28" i="2" s="1"/>
  <c r="E28" i="2"/>
  <c r="D28" i="2"/>
  <c r="C28" i="2"/>
  <c r="A28" i="2"/>
  <c r="H27" i="2"/>
  <c r="G27" i="2"/>
  <c r="F27" i="2"/>
  <c r="K27" i="2" s="1"/>
  <c r="E27" i="2"/>
  <c r="D27" i="2"/>
  <c r="C27" i="2"/>
  <c r="A27" i="2"/>
  <c r="H26" i="2"/>
  <c r="G26" i="2"/>
  <c r="F26" i="2"/>
  <c r="K26" i="2" s="1"/>
  <c r="E26" i="2"/>
  <c r="D26" i="2"/>
  <c r="C26" i="2"/>
  <c r="A26" i="2"/>
  <c r="H25" i="2"/>
  <c r="G25" i="2"/>
  <c r="F25" i="2"/>
  <c r="K25" i="2" s="1"/>
  <c r="E25" i="2"/>
  <c r="D25" i="2"/>
  <c r="C25" i="2"/>
  <c r="A25" i="2"/>
  <c r="H24" i="2"/>
  <c r="G24" i="2"/>
  <c r="F24" i="2"/>
  <c r="K24" i="2" s="1"/>
  <c r="E24" i="2"/>
  <c r="D24" i="2"/>
  <c r="C24" i="2"/>
  <c r="A24" i="2"/>
  <c r="H23" i="2"/>
  <c r="G23" i="2"/>
  <c r="F23" i="2"/>
  <c r="K23" i="2" s="1"/>
  <c r="E23" i="2"/>
  <c r="D23" i="2"/>
  <c r="C23" i="2"/>
  <c r="A23" i="2"/>
  <c r="H22" i="2"/>
  <c r="G22" i="2"/>
  <c r="F22" i="2"/>
  <c r="K22" i="2" s="1"/>
  <c r="E22" i="2"/>
  <c r="D22" i="2"/>
  <c r="C22" i="2"/>
  <c r="A22" i="2"/>
  <c r="H21" i="2"/>
  <c r="G21" i="2"/>
  <c r="F21" i="2"/>
  <c r="K21" i="2" s="1"/>
  <c r="E21" i="2"/>
  <c r="D21" i="2"/>
  <c r="C21" i="2"/>
  <c r="A21" i="2"/>
  <c r="H20" i="2"/>
  <c r="G20" i="2"/>
  <c r="F20" i="2"/>
  <c r="K20" i="2" s="1"/>
  <c r="E20" i="2"/>
  <c r="D20" i="2"/>
  <c r="C20" i="2"/>
  <c r="A20" i="2"/>
  <c r="H19" i="2"/>
  <c r="G19" i="2"/>
  <c r="F19" i="2"/>
  <c r="K19" i="2" s="1"/>
  <c r="E19" i="2"/>
  <c r="D19" i="2"/>
  <c r="C19" i="2"/>
  <c r="A19" i="2"/>
  <c r="H18" i="2"/>
  <c r="G18" i="2"/>
  <c r="F18" i="2"/>
  <c r="K18" i="2" s="1"/>
  <c r="E18" i="2"/>
  <c r="D18" i="2"/>
  <c r="C18" i="2"/>
  <c r="A18" i="2"/>
  <c r="H17" i="2"/>
  <c r="G17" i="2"/>
  <c r="F17" i="2"/>
  <c r="K17" i="2" s="1"/>
  <c r="E17" i="2"/>
  <c r="D17" i="2"/>
  <c r="C17" i="2"/>
  <c r="A17" i="2"/>
  <c r="B9" i="2"/>
  <c r="T6" i="2"/>
  <c r="Y5" i="2"/>
  <c r="X5" i="2"/>
  <c r="W5" i="2"/>
  <c r="V5" i="2"/>
  <c r="U5" i="2"/>
  <c r="F5" i="2"/>
  <c r="D116" i="1"/>
  <c r="F115" i="1"/>
  <c r="D115" i="1"/>
  <c r="E115" i="1" s="1"/>
  <c r="G115" i="1" s="1"/>
  <c r="D114" i="1"/>
  <c r="D113" i="1"/>
  <c r="D112" i="1"/>
  <c r="D111" i="1"/>
  <c r="D110" i="1"/>
  <c r="D109" i="1"/>
  <c r="D108" i="1"/>
  <c r="D107" i="1"/>
  <c r="D106" i="1"/>
  <c r="D105" i="1"/>
  <c r="D104" i="1"/>
  <c r="D103" i="1"/>
  <c r="D102" i="1"/>
  <c r="D101" i="1"/>
  <c r="D100" i="1"/>
  <c r="D99" i="1"/>
  <c r="D98" i="1"/>
  <c r="E97" i="1"/>
  <c r="G97" i="1" s="1"/>
  <c r="D97" i="1"/>
  <c r="F97" i="1" s="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J50"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B9" i="1"/>
  <c r="F9" i="1" s="1"/>
  <c r="L19" i="4" s="1"/>
  <c r="F8" i="1"/>
  <c r="C13" i="4" s="1"/>
  <c r="M13" i="4" s="1"/>
  <c r="F7" i="1"/>
  <c r="C12" i="4" s="1"/>
  <c r="B7" i="1"/>
  <c r="J6" i="1"/>
  <c r="F6" i="1"/>
  <c r="B13" i="4" s="1"/>
  <c r="B6" i="1"/>
  <c r="O5" i="1"/>
  <c r="N5" i="1"/>
  <c r="M5" i="1"/>
  <c r="L5" i="1"/>
  <c r="F5" i="1"/>
  <c r="N116" i="2" l="1"/>
  <c r="O116" i="2" s="1"/>
  <c r="J116" i="2"/>
  <c r="I116" i="2"/>
  <c r="L116" i="2" s="1"/>
  <c r="N115" i="2"/>
  <c r="O115" i="2" s="1"/>
  <c r="J115" i="2"/>
  <c r="I115" i="2"/>
  <c r="L115" i="2" s="1"/>
  <c r="N114" i="2"/>
  <c r="O114" i="2" s="1"/>
  <c r="J114" i="2"/>
  <c r="I114" i="2"/>
  <c r="L114" i="2" s="1"/>
  <c r="I113" i="2"/>
  <c r="J113" i="2"/>
  <c r="N113" i="2"/>
  <c r="O113" i="2" s="1"/>
  <c r="J112" i="2"/>
  <c r="I112" i="2"/>
  <c r="L112" i="2" s="1"/>
  <c r="N112" i="2"/>
  <c r="O112" i="2" s="1"/>
  <c r="I111" i="2"/>
  <c r="J111" i="2"/>
  <c r="N111" i="2"/>
  <c r="O111" i="2" s="1"/>
  <c r="I110" i="2"/>
  <c r="J110" i="2"/>
  <c r="N110" i="2"/>
  <c r="O110" i="2" s="1"/>
  <c r="I109" i="2"/>
  <c r="J109" i="2"/>
  <c r="N109" i="2"/>
  <c r="O109" i="2" s="1"/>
  <c r="I108" i="2"/>
  <c r="J108" i="2"/>
  <c r="N108" i="2"/>
  <c r="O108" i="2" s="1"/>
  <c r="I107" i="2"/>
  <c r="J107" i="2"/>
  <c r="N107" i="2"/>
  <c r="O107" i="2" s="1"/>
  <c r="I106" i="2"/>
  <c r="J106" i="2"/>
  <c r="N106" i="2"/>
  <c r="O106" i="2" s="1"/>
  <c r="I105" i="2"/>
  <c r="N105" i="2"/>
  <c r="O105" i="2" s="1"/>
  <c r="J105" i="2"/>
  <c r="N104" i="2"/>
  <c r="O104" i="2" s="1"/>
  <c r="J104" i="2"/>
  <c r="I104" i="2"/>
  <c r="L104" i="2" s="1"/>
  <c r="J103" i="2"/>
  <c r="I103" i="2"/>
  <c r="L103" i="2" s="1"/>
  <c r="N103" i="2"/>
  <c r="O103" i="2" s="1"/>
  <c r="J102" i="2"/>
  <c r="N102" i="2"/>
  <c r="O102" i="2" s="1"/>
  <c r="I102" i="2"/>
  <c r="L102" i="2" s="1"/>
  <c r="J101" i="2"/>
  <c r="N101" i="2"/>
  <c r="O101" i="2" s="1"/>
  <c r="I101" i="2"/>
  <c r="L101" i="2" s="1"/>
  <c r="I100" i="2"/>
  <c r="J100" i="2"/>
  <c r="N100" i="2"/>
  <c r="O100" i="2" s="1"/>
  <c r="M99" i="2"/>
  <c r="R99" i="2"/>
  <c r="O99" i="2"/>
  <c r="N99" i="2"/>
  <c r="J99" i="2"/>
  <c r="I99" i="2"/>
  <c r="L99" i="2" s="1"/>
  <c r="I98" i="2"/>
  <c r="J98" i="2"/>
  <c r="N98" i="2"/>
  <c r="O98" i="2" s="1"/>
  <c r="J97" i="2"/>
  <c r="N97" i="2"/>
  <c r="O97" i="2" s="1"/>
  <c r="I97" i="2"/>
  <c r="L97" i="2" s="1"/>
  <c r="N96" i="2"/>
  <c r="O96" i="2" s="1"/>
  <c r="J96" i="2"/>
  <c r="I96" i="2"/>
  <c r="L96" i="2" s="1"/>
  <c r="N95" i="2"/>
  <c r="O95" i="2" s="1"/>
  <c r="J95" i="2"/>
  <c r="I95" i="2"/>
  <c r="L95" i="2" s="1"/>
  <c r="N94" i="2"/>
  <c r="O94" i="2" s="1"/>
  <c r="J94" i="2"/>
  <c r="I94" i="2"/>
  <c r="L94" i="2" s="1"/>
  <c r="N93" i="2"/>
  <c r="O93" i="2" s="1"/>
  <c r="J93" i="2"/>
  <c r="I93" i="2"/>
  <c r="L93" i="2" s="1"/>
  <c r="N92" i="2"/>
  <c r="O92" i="2" s="1"/>
  <c r="J92" i="2"/>
  <c r="I92" i="2"/>
  <c r="L92" i="2" s="1"/>
  <c r="N91" i="2"/>
  <c r="O91" i="2" s="1"/>
  <c r="I91" i="2"/>
  <c r="J91" i="2"/>
  <c r="J90" i="2"/>
  <c r="N90" i="2"/>
  <c r="O90" i="2" s="1"/>
  <c r="I90" i="2"/>
  <c r="L90" i="2" s="1"/>
  <c r="I89" i="2"/>
  <c r="J89" i="2"/>
  <c r="N89" i="2"/>
  <c r="O89" i="2" s="1"/>
  <c r="N88" i="2"/>
  <c r="O88" i="2" s="1"/>
  <c r="J88" i="2"/>
  <c r="I88" i="2"/>
  <c r="L88" i="2" s="1"/>
  <c r="J87" i="2"/>
  <c r="I87" i="2"/>
  <c r="L87" i="2" s="1"/>
  <c r="N87" i="2"/>
  <c r="O87" i="2" s="1"/>
  <c r="N86" i="2"/>
  <c r="O86" i="2" s="1"/>
  <c r="J86" i="2"/>
  <c r="I86" i="2"/>
  <c r="L86" i="2" s="1"/>
  <c r="N85" i="2"/>
  <c r="O85" i="2" s="1"/>
  <c r="J85" i="2"/>
  <c r="I85" i="2"/>
  <c r="L85" i="2" s="1"/>
  <c r="J84" i="2"/>
  <c r="I84" i="2"/>
  <c r="L84" i="2" s="1"/>
  <c r="N84" i="2"/>
  <c r="O84" i="2" s="1"/>
  <c r="I83" i="2"/>
  <c r="J83" i="2"/>
  <c r="N83" i="2"/>
  <c r="O83" i="2" s="1"/>
  <c r="O82" i="2"/>
  <c r="J82" i="2"/>
  <c r="I82" i="2"/>
  <c r="L82" i="2" s="1"/>
  <c r="N82" i="2"/>
  <c r="J81" i="2"/>
  <c r="N81" i="2"/>
  <c r="O81" i="2" s="1"/>
  <c r="I81" i="2"/>
  <c r="L81" i="2" s="1"/>
  <c r="J80" i="2"/>
  <c r="N80" i="2"/>
  <c r="O80" i="2" s="1"/>
  <c r="I80" i="2"/>
  <c r="L80" i="2" s="1"/>
  <c r="J79" i="2"/>
  <c r="N79" i="2"/>
  <c r="O79" i="2" s="1"/>
  <c r="I79" i="2"/>
  <c r="L79" i="2" s="1"/>
  <c r="N78" i="2"/>
  <c r="O78" i="2" s="1"/>
  <c r="J78" i="2"/>
  <c r="I78" i="2"/>
  <c r="L78" i="2" s="1"/>
  <c r="I77" i="2"/>
  <c r="J77" i="2"/>
  <c r="N77" i="2"/>
  <c r="O77" i="2" s="1"/>
  <c r="I76" i="2"/>
  <c r="L76" i="2" s="1"/>
  <c r="J76" i="2"/>
  <c r="N76" i="2"/>
  <c r="O76" i="2" s="1"/>
  <c r="N75" i="2"/>
  <c r="O75" i="2" s="1"/>
  <c r="J75" i="2"/>
  <c r="I75" i="2"/>
  <c r="L75" i="2" s="1"/>
  <c r="N74" i="2"/>
  <c r="O74" i="2" s="1"/>
  <c r="J74" i="2"/>
  <c r="I74" i="2"/>
  <c r="L74" i="2" s="1"/>
  <c r="I73" i="2"/>
  <c r="J73" i="2"/>
  <c r="N73" i="2"/>
  <c r="O73" i="2" s="1"/>
  <c r="N72" i="2"/>
  <c r="O72" i="2" s="1"/>
  <c r="I72" i="2"/>
  <c r="J72" i="2"/>
  <c r="N71" i="2"/>
  <c r="O71" i="2" s="1"/>
  <c r="I71" i="2"/>
  <c r="L71" i="2" s="1"/>
  <c r="J71" i="2"/>
  <c r="N70" i="2"/>
  <c r="O70" i="2" s="1"/>
  <c r="J70" i="2"/>
  <c r="I70" i="2"/>
  <c r="L70" i="2" s="1"/>
  <c r="N69" i="2"/>
  <c r="O69" i="2" s="1"/>
  <c r="I69" i="2"/>
  <c r="L69" i="2" s="1"/>
  <c r="J69" i="2"/>
  <c r="N68" i="2"/>
  <c r="O68" i="2" s="1"/>
  <c r="J68" i="2"/>
  <c r="I68" i="2"/>
  <c r="L68" i="2" s="1"/>
  <c r="I67" i="2"/>
  <c r="J67" i="2"/>
  <c r="N67" i="2"/>
  <c r="O67" i="2" s="1"/>
  <c r="I66" i="2"/>
  <c r="J66" i="2"/>
  <c r="N66" i="2"/>
  <c r="O66" i="2" s="1"/>
  <c r="N65" i="2"/>
  <c r="O65" i="2" s="1"/>
  <c r="J65" i="2"/>
  <c r="I65" i="2"/>
  <c r="L65" i="2" s="1"/>
  <c r="O64" i="2"/>
  <c r="M64" i="2"/>
  <c r="N64" i="2"/>
  <c r="J64" i="2"/>
  <c r="I64" i="2"/>
  <c r="L64" i="2" s="1"/>
  <c r="R64" i="2" s="1"/>
  <c r="N63" i="2"/>
  <c r="O63" i="2" s="1"/>
  <c r="J63" i="2"/>
  <c r="I63" i="2"/>
  <c r="L63" i="2" s="1"/>
  <c r="N62" i="2"/>
  <c r="O62" i="2" s="1"/>
  <c r="I62" i="2"/>
  <c r="J62" i="2"/>
  <c r="N61" i="2"/>
  <c r="O61" i="2" s="1"/>
  <c r="I61" i="2"/>
  <c r="J61" i="2"/>
  <c r="N60" i="2"/>
  <c r="O60" i="2" s="1"/>
  <c r="J60" i="2"/>
  <c r="I60" i="2"/>
  <c r="L60" i="2" s="1"/>
  <c r="N59" i="2"/>
  <c r="O59" i="2" s="1"/>
  <c r="J59" i="2"/>
  <c r="I59" i="2"/>
  <c r="L59" i="2" s="1"/>
  <c r="I58" i="2"/>
  <c r="N58" i="2"/>
  <c r="O58" i="2" s="1"/>
  <c r="J58" i="2"/>
  <c r="J57" i="2"/>
  <c r="I57" i="2"/>
  <c r="L57" i="2" s="1"/>
  <c r="N57" i="2"/>
  <c r="O57" i="2" s="1"/>
  <c r="I56" i="2"/>
  <c r="J56" i="2"/>
  <c r="N56" i="2"/>
  <c r="O56" i="2" s="1"/>
  <c r="J55" i="2"/>
  <c r="I55" i="2"/>
  <c r="L55" i="2" s="1"/>
  <c r="N55" i="2"/>
  <c r="O55" i="2" s="1"/>
  <c r="I54" i="2"/>
  <c r="J54" i="2"/>
  <c r="N54" i="2"/>
  <c r="O54" i="2" s="1"/>
  <c r="J53" i="2"/>
  <c r="N53" i="2"/>
  <c r="O53" i="2" s="1"/>
  <c r="I53" i="2"/>
  <c r="L53" i="2" s="1"/>
  <c r="N52" i="2"/>
  <c r="O52" i="2" s="1"/>
  <c r="J52" i="2"/>
  <c r="I52" i="2"/>
  <c r="L52" i="2" s="1"/>
  <c r="N50" i="2"/>
  <c r="O50" i="2" s="1"/>
  <c r="J50" i="2"/>
  <c r="I50" i="2"/>
  <c r="L50" i="2" s="1"/>
  <c r="N49" i="2"/>
  <c r="O49" i="2" s="1"/>
  <c r="J49" i="2"/>
  <c r="I49" i="2"/>
  <c r="L49" i="2" s="1"/>
  <c r="N48" i="2"/>
  <c r="O48" i="2" s="1"/>
  <c r="J48" i="2"/>
  <c r="I48" i="2"/>
  <c r="L48" i="2" s="1"/>
  <c r="N47" i="2"/>
  <c r="O47" i="2" s="1"/>
  <c r="J47" i="2"/>
  <c r="I47" i="2"/>
  <c r="L47" i="2" s="1"/>
  <c r="N46" i="2"/>
  <c r="O46" i="2" s="1"/>
  <c r="J46" i="2"/>
  <c r="I46" i="2"/>
  <c r="L46" i="2" s="1"/>
  <c r="N45" i="2"/>
  <c r="O45" i="2" s="1"/>
  <c r="J45" i="2"/>
  <c r="I45" i="2"/>
  <c r="L45" i="2" s="1"/>
  <c r="N44" i="2"/>
  <c r="O44" i="2" s="1"/>
  <c r="J44" i="2"/>
  <c r="I44" i="2"/>
  <c r="L44" i="2" s="1"/>
  <c r="I43" i="2"/>
  <c r="J43" i="2"/>
  <c r="N43" i="2"/>
  <c r="O43" i="2" s="1"/>
  <c r="I42" i="2"/>
  <c r="N42" i="2"/>
  <c r="O42" i="2" s="1"/>
  <c r="J42" i="2"/>
  <c r="N41" i="2"/>
  <c r="O41" i="2" s="1"/>
  <c r="J41" i="2"/>
  <c r="I41" i="2"/>
  <c r="L41" i="2" s="1"/>
  <c r="N40" i="2"/>
  <c r="O40" i="2" s="1"/>
  <c r="I40" i="2"/>
  <c r="J40" i="2"/>
  <c r="I39" i="2"/>
  <c r="J39" i="2"/>
  <c r="N39" i="2"/>
  <c r="O39" i="2" s="1"/>
  <c r="J38" i="2"/>
  <c r="I38" i="2"/>
  <c r="L38" i="2" s="1"/>
  <c r="N38" i="2"/>
  <c r="O38" i="2" s="1"/>
  <c r="I37" i="2"/>
  <c r="N37" i="2"/>
  <c r="O37" i="2" s="1"/>
  <c r="J37" i="2"/>
  <c r="I36" i="2"/>
  <c r="J36" i="2"/>
  <c r="N36" i="2"/>
  <c r="O36" i="2" s="1"/>
  <c r="N35" i="2"/>
  <c r="O35" i="2" s="1"/>
  <c r="J35" i="2"/>
  <c r="I35" i="2"/>
  <c r="L35" i="2" s="1"/>
  <c r="N34" i="2"/>
  <c r="O34" i="2" s="1"/>
  <c r="J34" i="2"/>
  <c r="I34" i="2"/>
  <c r="L34" i="2" s="1"/>
  <c r="I33" i="2"/>
  <c r="N33" i="2"/>
  <c r="O33" i="2" s="1"/>
  <c r="J33" i="2"/>
  <c r="N32" i="2"/>
  <c r="O32" i="2" s="1"/>
  <c r="J32" i="2"/>
  <c r="I32" i="2"/>
  <c r="L32" i="2" s="1"/>
  <c r="N31" i="2"/>
  <c r="O31" i="2" s="1"/>
  <c r="J31" i="2"/>
  <c r="I31" i="2"/>
  <c r="L31" i="2" s="1"/>
  <c r="J30" i="2"/>
  <c r="N30" i="2"/>
  <c r="O30" i="2" s="1"/>
  <c r="I30" i="2"/>
  <c r="L30" i="2" s="1"/>
  <c r="I29" i="2"/>
  <c r="J29" i="2"/>
  <c r="N28" i="2"/>
  <c r="O28" i="2" s="1"/>
  <c r="J28" i="2"/>
  <c r="I28" i="2"/>
  <c r="L28" i="2" s="1"/>
  <c r="J27" i="2"/>
  <c r="I27" i="2"/>
  <c r="L27" i="2" s="1"/>
  <c r="N27" i="2"/>
  <c r="O27" i="2" s="1"/>
  <c r="I26" i="2"/>
  <c r="J26" i="2"/>
  <c r="N26" i="2"/>
  <c r="O26" i="2" s="1"/>
  <c r="I25" i="2"/>
  <c r="J25" i="2"/>
  <c r="N25" i="2"/>
  <c r="O25" i="2" s="1"/>
  <c r="I24" i="2"/>
  <c r="J24" i="2"/>
  <c r="N24" i="2"/>
  <c r="O24" i="2" s="1"/>
  <c r="I23" i="2"/>
  <c r="J23" i="2"/>
  <c r="N23" i="2"/>
  <c r="O23" i="2" s="1"/>
  <c r="N22" i="2"/>
  <c r="O22" i="2" s="1"/>
  <c r="J22" i="2"/>
  <c r="I22" i="2"/>
  <c r="L22" i="2" s="1"/>
  <c r="J21" i="2"/>
  <c r="I21" i="2"/>
  <c r="L21" i="2" s="1"/>
  <c r="N21" i="2"/>
  <c r="O21" i="2" s="1"/>
  <c r="I20" i="2"/>
  <c r="N20" i="2"/>
  <c r="O20" i="2" s="1"/>
  <c r="J20" i="2"/>
  <c r="I19" i="2"/>
  <c r="N19" i="2"/>
  <c r="O19" i="2" s="1"/>
  <c r="J19" i="2"/>
  <c r="N18" i="2"/>
  <c r="O18" i="2" s="1"/>
  <c r="J18" i="2"/>
  <c r="I18" i="2"/>
  <c r="L18" i="2" s="1"/>
  <c r="N17" i="2"/>
  <c r="O17" i="2" s="1"/>
  <c r="J17" i="2"/>
  <c r="I17" i="2"/>
  <c r="L17" i="2" s="1"/>
  <c r="X6" i="2"/>
  <c r="U6" i="2"/>
  <c r="Y6" i="2"/>
  <c r="V6" i="2"/>
  <c r="T7" i="2"/>
  <c r="W6" i="2"/>
  <c r="U109" i="2"/>
  <c r="F116" i="1"/>
  <c r="E116" i="1"/>
  <c r="G116" i="1" s="1"/>
  <c r="F114" i="1"/>
  <c r="E114" i="1"/>
  <c r="G114" i="1" s="1"/>
  <c r="E113" i="1"/>
  <c r="G113" i="1" s="1"/>
  <c r="F113" i="1"/>
  <c r="E112" i="1"/>
  <c r="G112" i="1" s="1"/>
  <c r="F112" i="1"/>
  <c r="E111" i="1"/>
  <c r="G111" i="1" s="1"/>
  <c r="F111" i="1"/>
  <c r="E110" i="1"/>
  <c r="G110" i="1" s="1"/>
  <c r="F110" i="1"/>
  <c r="F109" i="1"/>
  <c r="E109" i="1"/>
  <c r="G109" i="1" s="1"/>
  <c r="F108" i="1"/>
  <c r="E108" i="1"/>
  <c r="G108" i="1" s="1"/>
  <c r="F107" i="1"/>
  <c r="E107" i="1"/>
  <c r="G107" i="1" s="1"/>
  <c r="E106" i="1"/>
  <c r="G106" i="1" s="1"/>
  <c r="F106" i="1"/>
  <c r="E105" i="1"/>
  <c r="G105" i="1" s="1"/>
  <c r="F105" i="1"/>
  <c r="F104" i="1"/>
  <c r="E104" i="1"/>
  <c r="G104" i="1" s="1"/>
  <c r="E103" i="1"/>
  <c r="G103" i="1" s="1"/>
  <c r="F103" i="1"/>
  <c r="F102" i="1"/>
  <c r="E102" i="1"/>
  <c r="G102" i="1" s="1"/>
  <c r="F101" i="1"/>
  <c r="E101" i="1"/>
  <c r="G101" i="1" s="1"/>
  <c r="E100" i="1"/>
  <c r="G100" i="1" s="1"/>
  <c r="F100" i="1"/>
  <c r="F99" i="1"/>
  <c r="E99" i="1"/>
  <c r="G99" i="1" s="1"/>
  <c r="F98" i="1"/>
  <c r="E98" i="1"/>
  <c r="G98" i="1" s="1"/>
  <c r="F96" i="1"/>
  <c r="E96" i="1"/>
  <c r="G96" i="1" s="1"/>
  <c r="E95" i="1"/>
  <c r="G95" i="1" s="1"/>
  <c r="F95" i="1"/>
  <c r="F94" i="1"/>
  <c r="E94" i="1"/>
  <c r="G94" i="1" s="1"/>
  <c r="E93" i="1"/>
  <c r="G93" i="1" s="1"/>
  <c r="F93" i="1"/>
  <c r="F92" i="1"/>
  <c r="E92" i="1"/>
  <c r="G92" i="1" s="1"/>
  <c r="E91" i="1"/>
  <c r="G91" i="1" s="1"/>
  <c r="F91" i="1"/>
  <c r="F90" i="1"/>
  <c r="E90" i="1"/>
  <c r="G90" i="1" s="1"/>
  <c r="E89" i="1"/>
  <c r="G89" i="1" s="1"/>
  <c r="F89" i="1"/>
  <c r="F88" i="1"/>
  <c r="E88" i="1"/>
  <c r="G88" i="1" s="1"/>
  <c r="E87" i="1"/>
  <c r="G87" i="1" s="1"/>
  <c r="F87" i="1"/>
  <c r="E86" i="1"/>
  <c r="G86" i="1" s="1"/>
  <c r="F86" i="1"/>
  <c r="F85" i="1"/>
  <c r="E85" i="1"/>
  <c r="G85" i="1" s="1"/>
  <c r="F84" i="1"/>
  <c r="E84" i="1"/>
  <c r="G84" i="1" s="1"/>
  <c r="F83" i="1"/>
  <c r="E83" i="1"/>
  <c r="G83" i="1" s="1"/>
  <c r="F82" i="1"/>
  <c r="E82" i="1"/>
  <c r="G82" i="1" s="1"/>
  <c r="F81" i="1"/>
  <c r="E81" i="1"/>
  <c r="G81" i="1" s="1"/>
  <c r="E80" i="1"/>
  <c r="G80" i="1" s="1"/>
  <c r="F80" i="1"/>
  <c r="E79" i="1"/>
  <c r="G79" i="1" s="1"/>
  <c r="F79" i="1"/>
  <c r="F78" i="1"/>
  <c r="E78" i="1"/>
  <c r="G78" i="1" s="1"/>
  <c r="F77" i="1"/>
  <c r="E77" i="1"/>
  <c r="G77" i="1" s="1"/>
  <c r="E76" i="1"/>
  <c r="G76" i="1" s="1"/>
  <c r="F76" i="1"/>
  <c r="F75" i="1"/>
  <c r="E75" i="1"/>
  <c r="G75" i="1" s="1"/>
  <c r="E74" i="1"/>
  <c r="G74" i="1" s="1"/>
  <c r="F74" i="1"/>
  <c r="F73" i="1"/>
  <c r="E73" i="1"/>
  <c r="G73" i="1" s="1"/>
  <c r="F72" i="1"/>
  <c r="E72" i="1"/>
  <c r="G72" i="1" s="1"/>
  <c r="F71" i="1"/>
  <c r="E71" i="1"/>
  <c r="G71" i="1" s="1"/>
  <c r="E70" i="1"/>
  <c r="G70" i="1" s="1"/>
  <c r="F70" i="1"/>
  <c r="E69" i="1"/>
  <c r="G69" i="1" s="1"/>
  <c r="F69" i="1"/>
  <c r="E68" i="1"/>
  <c r="G68" i="1" s="1"/>
  <c r="F68" i="1"/>
  <c r="E67" i="1"/>
  <c r="G67" i="1" s="1"/>
  <c r="F67" i="1"/>
  <c r="E66" i="1"/>
  <c r="G66" i="1" s="1"/>
  <c r="F66" i="1"/>
  <c r="F65" i="1"/>
  <c r="E65" i="1"/>
  <c r="G65" i="1" s="1"/>
  <c r="F64" i="1"/>
  <c r="E64" i="1"/>
  <c r="G64" i="1" s="1"/>
  <c r="E63" i="1"/>
  <c r="G63" i="1" s="1"/>
  <c r="F63" i="1"/>
  <c r="E62" i="1"/>
  <c r="G62" i="1" s="1"/>
  <c r="F62" i="1"/>
  <c r="E61" i="1"/>
  <c r="G61" i="1" s="1"/>
  <c r="F61" i="1"/>
  <c r="F60" i="1"/>
  <c r="E60" i="1"/>
  <c r="G60" i="1" s="1"/>
  <c r="F59" i="1"/>
  <c r="E59" i="1"/>
  <c r="G59" i="1" s="1"/>
  <c r="E58" i="1"/>
  <c r="G58" i="1" s="1"/>
  <c r="F58" i="1"/>
  <c r="F57" i="1"/>
  <c r="E57" i="1"/>
  <c r="G57" i="1" s="1"/>
  <c r="F56" i="1"/>
  <c r="E56" i="1"/>
  <c r="G56" i="1" s="1"/>
  <c r="F55" i="1"/>
  <c r="E55" i="1"/>
  <c r="G55" i="1" s="1"/>
  <c r="E54" i="1"/>
  <c r="G54" i="1" s="1"/>
  <c r="F54" i="1"/>
  <c r="F53" i="1"/>
  <c r="E53" i="1"/>
  <c r="G53" i="1" s="1"/>
  <c r="F52" i="1"/>
  <c r="E52" i="1"/>
  <c r="G52" i="1" s="1"/>
  <c r="F51" i="1"/>
  <c r="E51" i="1"/>
  <c r="G51" i="1" s="1"/>
  <c r="E50" i="1"/>
  <c r="G50" i="1" s="1"/>
  <c r="F50" i="1"/>
  <c r="F49" i="1"/>
  <c r="E49" i="1"/>
  <c r="G49" i="1" s="1"/>
  <c r="F48" i="1"/>
  <c r="E48" i="1"/>
  <c r="G48" i="1" s="1"/>
  <c r="F47" i="1"/>
  <c r="E47" i="1"/>
  <c r="G47" i="1" s="1"/>
  <c r="F46" i="1"/>
  <c r="E46" i="1"/>
  <c r="G46" i="1" s="1"/>
  <c r="F45" i="1"/>
  <c r="E45" i="1"/>
  <c r="G45" i="1" s="1"/>
  <c r="F44" i="1"/>
  <c r="E44" i="1"/>
  <c r="G44" i="1" s="1"/>
  <c r="F43" i="1"/>
  <c r="E43" i="1"/>
  <c r="G43" i="1" s="1"/>
  <c r="F42" i="1"/>
  <c r="E42" i="1"/>
  <c r="G42" i="1" s="1"/>
  <c r="F41" i="1"/>
  <c r="E41" i="1"/>
  <c r="G41" i="1" s="1"/>
  <c r="E40" i="1"/>
  <c r="G40" i="1" s="1"/>
  <c r="F40" i="1"/>
  <c r="F39" i="1"/>
  <c r="E39" i="1"/>
  <c r="G39" i="1" s="1"/>
  <c r="F38" i="1"/>
  <c r="E38" i="1"/>
  <c r="G38" i="1" s="1"/>
  <c r="E37" i="1"/>
  <c r="G37" i="1" s="1"/>
  <c r="F37" i="1"/>
  <c r="F36" i="1"/>
  <c r="E36" i="1"/>
  <c r="G36" i="1" s="1"/>
  <c r="F35" i="1"/>
  <c r="E35" i="1"/>
  <c r="G35" i="1" s="1"/>
  <c r="F34" i="1"/>
  <c r="E34" i="1"/>
  <c r="G34" i="1" s="1"/>
  <c r="E33" i="1"/>
  <c r="G33" i="1" s="1"/>
  <c r="F33" i="1"/>
  <c r="E32" i="1"/>
  <c r="G32" i="1" s="1"/>
  <c r="F32" i="1"/>
  <c r="E31" i="1"/>
  <c r="G31" i="1" s="1"/>
  <c r="F31" i="1"/>
  <c r="E30" i="1"/>
  <c r="G30" i="1" s="1"/>
  <c r="F30" i="1"/>
  <c r="E29" i="1"/>
  <c r="G29" i="1" s="1"/>
  <c r="F29" i="1"/>
  <c r="E28" i="1"/>
  <c r="G28" i="1" s="1"/>
  <c r="F28" i="1"/>
  <c r="F27" i="1"/>
  <c r="E27" i="1"/>
  <c r="G27" i="1" s="1"/>
  <c r="F26" i="1"/>
  <c r="E26" i="1"/>
  <c r="G26" i="1" s="1"/>
  <c r="E25" i="1"/>
  <c r="G25" i="1" s="1"/>
  <c r="F25" i="1"/>
  <c r="E24" i="1"/>
  <c r="G24" i="1" s="1"/>
  <c r="F24" i="1"/>
  <c r="E23" i="1"/>
  <c r="G23" i="1" s="1"/>
  <c r="F23" i="1"/>
  <c r="F22" i="1"/>
  <c r="E22" i="1"/>
  <c r="G22" i="1" s="1"/>
  <c r="E21" i="1"/>
  <c r="G21" i="1" s="1"/>
  <c r="F21" i="1"/>
  <c r="E20" i="1"/>
  <c r="G20" i="1" s="1"/>
  <c r="F20" i="1"/>
  <c r="F19" i="1"/>
  <c r="E19" i="1"/>
  <c r="G19" i="1" s="1"/>
  <c r="E18" i="1"/>
  <c r="G18" i="1" s="1"/>
  <c r="F18" i="1"/>
  <c r="E17" i="1"/>
  <c r="G17" i="1" s="1"/>
  <c r="F17" i="1"/>
  <c r="M12" i="4"/>
  <c r="M14" i="4" s="1"/>
  <c r="C14" i="4"/>
  <c r="B7" i="4"/>
  <c r="B11" i="1"/>
  <c r="G13" i="4"/>
  <c r="J7" i="1"/>
  <c r="N6" i="1"/>
  <c r="L6" i="1"/>
  <c r="O6" i="1"/>
  <c r="M6" i="1"/>
  <c r="D13" i="4"/>
  <c r="L13" i="4"/>
  <c r="N13" i="4" s="1"/>
  <c r="G20" i="4"/>
  <c r="B6" i="4"/>
  <c r="G12" i="4"/>
  <c r="P5" i="1"/>
  <c r="K5" i="1"/>
  <c r="F14" i="1"/>
  <c r="F13" i="1"/>
  <c r="F12" i="1"/>
  <c r="F10" i="1"/>
  <c r="F11" i="1" s="1"/>
  <c r="B12" i="4"/>
  <c r="L51" i="2"/>
  <c r="U7" i="2" l="1"/>
  <c r="V7" i="2"/>
  <c r="W7" i="2"/>
  <c r="X7" i="2"/>
  <c r="Y7" i="2"/>
  <c r="T8" i="2"/>
  <c r="L7" i="1"/>
  <c r="M7" i="1"/>
  <c r="N7" i="1"/>
  <c r="O7" i="1"/>
  <c r="J8" i="1"/>
  <c r="P6" i="1"/>
  <c r="K6" i="1"/>
  <c r="K50" i="1"/>
  <c r="D12" i="4"/>
  <c r="L12" i="4"/>
  <c r="B14" i="4"/>
  <c r="D14" i="4"/>
  <c r="G18" i="4"/>
  <c r="G19" i="4"/>
  <c r="G17" i="4"/>
  <c r="R51" i="2"/>
  <c r="M51" i="2"/>
  <c r="L113" i="2"/>
  <c r="L111" i="2"/>
  <c r="L110" i="2"/>
  <c r="L109" i="2"/>
  <c r="L108" i="2"/>
  <c r="L107" i="2"/>
  <c r="L106" i="2"/>
  <c r="L105" i="2"/>
  <c r="L100" i="2"/>
  <c r="L91" i="2"/>
  <c r="L89" i="2"/>
  <c r="L83" i="2"/>
  <c r="L77" i="2"/>
  <c r="L72" i="2"/>
  <c r="L98" i="2"/>
  <c r="L73" i="2"/>
  <c r="L66" i="2"/>
  <c r="L67" i="2"/>
  <c r="L62" i="2"/>
  <c r="L61" i="2"/>
  <c r="L58" i="2"/>
  <c r="L56" i="2"/>
  <c r="L54" i="2"/>
  <c r="L43" i="2"/>
  <c r="L42" i="2"/>
  <c r="L40" i="2"/>
  <c r="L39" i="2"/>
  <c r="L37" i="2"/>
  <c r="L36" i="2"/>
  <c r="L33" i="2"/>
  <c r="L29" i="2"/>
  <c r="L26" i="2"/>
  <c r="L25" i="2"/>
  <c r="L24" i="2"/>
  <c r="L23" i="2"/>
  <c r="L20" i="2"/>
  <c r="L19" i="2"/>
  <c r="M116" i="2"/>
  <c r="R116" i="2"/>
  <c r="M115" i="2"/>
  <c r="R115" i="2"/>
  <c r="M114" i="2"/>
  <c r="R114" i="2"/>
  <c r="M112" i="2"/>
  <c r="R112" i="2"/>
  <c r="M104" i="2"/>
  <c r="R104" i="2"/>
  <c r="R103" i="2"/>
  <c r="M103" i="2"/>
  <c r="M102" i="2"/>
  <c r="R102" i="2"/>
  <c r="R101" i="2"/>
  <c r="M101" i="2"/>
  <c r="R97" i="2"/>
  <c r="M97" i="2"/>
  <c r="R96" i="2"/>
  <c r="M96" i="2"/>
  <c r="R95" i="2"/>
  <c r="M95" i="2"/>
  <c r="R94" i="2"/>
  <c r="M94" i="2"/>
  <c r="R93" i="2"/>
  <c r="M93" i="2"/>
  <c r="M92" i="2"/>
  <c r="R92" i="2"/>
  <c r="M90" i="2"/>
  <c r="R90" i="2"/>
  <c r="M88" i="2"/>
  <c r="R88" i="2"/>
  <c r="R87" i="2"/>
  <c r="M87" i="2"/>
  <c r="R86" i="2"/>
  <c r="M86" i="2"/>
  <c r="R85" i="2"/>
  <c r="M85" i="2"/>
  <c r="M84" i="2"/>
  <c r="R84" i="2"/>
  <c r="M82" i="2"/>
  <c r="R82" i="2"/>
  <c r="R81" i="2"/>
  <c r="M81" i="2"/>
  <c r="R80" i="2"/>
  <c r="M80" i="2"/>
  <c r="R79" i="2"/>
  <c r="M79" i="2"/>
  <c r="R78" i="2"/>
  <c r="M78" i="2"/>
  <c r="R76" i="2"/>
  <c r="M76" i="2"/>
  <c r="M75" i="2"/>
  <c r="R75" i="2"/>
  <c r="M74" i="2"/>
  <c r="R74" i="2"/>
  <c r="M71" i="2"/>
  <c r="R71" i="2"/>
  <c r="M70" i="2"/>
  <c r="R70" i="2"/>
  <c r="R69" i="2"/>
  <c r="M69" i="2"/>
  <c r="M68" i="2"/>
  <c r="R68" i="2"/>
  <c r="M65" i="2"/>
  <c r="R65" i="2"/>
  <c r="M63" i="2"/>
  <c r="R63" i="2"/>
  <c r="R60" i="2"/>
  <c r="M60" i="2"/>
  <c r="R59" i="2"/>
  <c r="M59" i="2"/>
  <c r="M57" i="2"/>
  <c r="R57" i="2"/>
  <c r="M55" i="2"/>
  <c r="R55" i="2"/>
  <c r="R53" i="2"/>
  <c r="M53" i="2"/>
  <c r="M52" i="2"/>
  <c r="R52" i="2"/>
  <c r="R50" i="2"/>
  <c r="M50" i="2"/>
  <c r="M49" i="2"/>
  <c r="R49" i="2"/>
  <c r="R48" i="2"/>
  <c r="M48" i="2"/>
  <c r="M47" i="2"/>
  <c r="R47" i="2"/>
  <c r="M46" i="2"/>
  <c r="R46" i="2"/>
  <c r="R45" i="2"/>
  <c r="M45" i="2"/>
  <c r="M44" i="2"/>
  <c r="R44" i="2"/>
  <c r="M41" i="2"/>
  <c r="R41" i="2"/>
  <c r="M38" i="2"/>
  <c r="R38" i="2"/>
  <c r="M35" i="2"/>
  <c r="R35" i="2"/>
  <c r="R34" i="2"/>
  <c r="M34" i="2"/>
  <c r="M32" i="2"/>
  <c r="R32" i="2"/>
  <c r="M31" i="2"/>
  <c r="R31" i="2"/>
  <c r="R30" i="2"/>
  <c r="M30" i="2"/>
  <c r="M28" i="2"/>
  <c r="R28" i="2"/>
  <c r="M27" i="2"/>
  <c r="R27" i="2"/>
  <c r="M22" i="2"/>
  <c r="R22" i="2"/>
  <c r="M21" i="2"/>
  <c r="R21" i="2"/>
  <c r="R18" i="2"/>
  <c r="M18" i="2"/>
  <c r="R17" i="2"/>
  <c r="M17" i="2"/>
  <c r="F6" i="2"/>
  <c r="U8" i="2" l="1"/>
  <c r="V8" i="2"/>
  <c r="W8" i="2"/>
  <c r="X8" i="2"/>
  <c r="Y8" i="2"/>
  <c r="T9" i="2"/>
  <c r="P7" i="1"/>
  <c r="K7" i="1"/>
  <c r="L8" i="1"/>
  <c r="M8" i="1"/>
  <c r="N8" i="1"/>
  <c r="O8" i="1"/>
  <c r="J9" i="1"/>
  <c r="N12" i="4"/>
  <c r="L14" i="4"/>
  <c r="N14" i="4"/>
  <c r="M113" i="2"/>
  <c r="R113" i="2"/>
  <c r="M111" i="2"/>
  <c r="R111" i="2"/>
  <c r="R110" i="2"/>
  <c r="M110" i="2"/>
  <c r="R109" i="2"/>
  <c r="M109" i="2"/>
  <c r="R108" i="2"/>
  <c r="M108" i="2"/>
  <c r="R107" i="2"/>
  <c r="M107" i="2"/>
  <c r="R106" i="2"/>
  <c r="M106" i="2"/>
  <c r="M105" i="2"/>
  <c r="R105" i="2"/>
  <c r="R100" i="2"/>
  <c r="M100" i="2"/>
  <c r="R91" i="2"/>
  <c r="M91" i="2"/>
  <c r="R89" i="2"/>
  <c r="M89" i="2"/>
  <c r="R83" i="2"/>
  <c r="M83" i="2"/>
  <c r="M77" i="2"/>
  <c r="R77" i="2"/>
  <c r="M72" i="2"/>
  <c r="R72" i="2"/>
  <c r="M98" i="2"/>
  <c r="R98" i="2"/>
  <c r="R73" i="2"/>
  <c r="M73" i="2"/>
  <c r="M66" i="2"/>
  <c r="R66" i="2"/>
  <c r="M67" i="2"/>
  <c r="R67" i="2"/>
  <c r="M62" i="2"/>
  <c r="R62" i="2"/>
  <c r="M61" i="2"/>
  <c r="R61" i="2"/>
  <c r="R58" i="2"/>
  <c r="M58" i="2"/>
  <c r="R56" i="2"/>
  <c r="M56" i="2"/>
  <c r="M54" i="2"/>
  <c r="R54" i="2"/>
  <c r="M43" i="2"/>
  <c r="R43" i="2"/>
  <c r="R42" i="2"/>
  <c r="M42" i="2"/>
  <c r="M40" i="2"/>
  <c r="R40" i="2"/>
  <c r="M39" i="2"/>
  <c r="R39" i="2"/>
  <c r="M37" i="2"/>
  <c r="R37" i="2"/>
  <c r="R36" i="2"/>
  <c r="M36" i="2"/>
  <c r="M33" i="2"/>
  <c r="R33" i="2"/>
  <c r="R29" i="2"/>
  <c r="M29" i="2"/>
  <c r="R26" i="2"/>
  <c r="M26" i="2"/>
  <c r="R25" i="2"/>
  <c r="M25" i="2"/>
  <c r="M24" i="2"/>
  <c r="R24" i="2"/>
  <c r="R23" i="2"/>
  <c r="M23" i="2"/>
  <c r="R20" i="2"/>
  <c r="M20" i="2"/>
  <c r="M19" i="2"/>
  <c r="R19" i="2"/>
  <c r="F13" i="2"/>
  <c r="F11" i="2"/>
  <c r="U9" i="2" l="1"/>
  <c r="V9" i="2"/>
  <c r="W9" i="2"/>
  <c r="X9" i="2"/>
  <c r="Y9" i="2"/>
  <c r="T10" i="2"/>
  <c r="P8" i="1"/>
  <c r="K8" i="1"/>
  <c r="L9" i="1"/>
  <c r="M9" i="1"/>
  <c r="N9" i="1"/>
  <c r="O9" i="1"/>
  <c r="J10" i="1"/>
  <c r="J51" i="1"/>
  <c r="L17" i="4"/>
  <c r="L20" i="4" s="1"/>
  <c r="L18" i="4"/>
  <c r="F8" i="2"/>
  <c r="F9" i="2" s="1"/>
  <c r="U10" i="2" l="1"/>
  <c r="V10" i="2"/>
  <c r="W10" i="2"/>
  <c r="X10" i="2"/>
  <c r="Y10" i="2"/>
  <c r="T11" i="2"/>
  <c r="P9" i="1"/>
  <c r="K9" i="1"/>
  <c r="L10" i="1"/>
  <c r="M10" i="1"/>
  <c r="N10" i="1"/>
  <c r="O10" i="1"/>
  <c r="J11" i="1"/>
  <c r="U11" i="2" l="1"/>
  <c r="V11" i="2"/>
  <c r="W11" i="2"/>
  <c r="X11" i="2"/>
  <c r="Y11" i="2"/>
  <c r="T12" i="2"/>
  <c r="K51" i="1"/>
  <c r="P10" i="1"/>
  <c r="K10" i="1"/>
  <c r="L11" i="1"/>
  <c r="M11" i="1"/>
  <c r="N11" i="1"/>
  <c r="O11" i="1"/>
  <c r="J12" i="1"/>
  <c r="V12" i="2" l="1"/>
  <c r="X12" i="2"/>
  <c r="U12" i="2"/>
  <c r="W12" i="2"/>
  <c r="Y12" i="2"/>
  <c r="T13" i="2"/>
  <c r="P11" i="1"/>
  <c r="K11" i="1"/>
  <c r="L12" i="1"/>
  <c r="M12" i="1"/>
  <c r="N12" i="1"/>
  <c r="O12" i="1"/>
  <c r="J13" i="1"/>
  <c r="U13" i="2" l="1"/>
  <c r="V13" i="2"/>
  <c r="W13" i="2"/>
  <c r="X13" i="2"/>
  <c r="Y13" i="2"/>
  <c r="T14" i="2"/>
  <c r="P12" i="1"/>
  <c r="K12" i="1"/>
  <c r="L13" i="1"/>
  <c r="M13" i="1"/>
  <c r="N13" i="1"/>
  <c r="O13" i="1"/>
  <c r="J14" i="1"/>
  <c r="J52" i="1"/>
  <c r="U14" i="2" l="1"/>
  <c r="V14" i="2"/>
  <c r="W14" i="2"/>
  <c r="X14" i="2"/>
  <c r="Y14" i="2"/>
  <c r="T15" i="2"/>
  <c r="P13" i="1"/>
  <c r="K13" i="1"/>
  <c r="K52" i="1" s="1"/>
  <c r="L14" i="1"/>
  <c r="M14" i="1"/>
  <c r="N14" i="1"/>
  <c r="O14" i="1"/>
  <c r="J15" i="1"/>
  <c r="U15" i="2" l="1"/>
  <c r="U110" i="2" s="1"/>
  <c r="V15" i="2"/>
  <c r="W15" i="2"/>
  <c r="X15" i="2"/>
  <c r="Y15" i="2"/>
  <c r="T16" i="2"/>
  <c r="T110" i="2"/>
  <c r="P14" i="1"/>
  <c r="K14" i="1"/>
  <c r="L15" i="1"/>
  <c r="M15" i="1"/>
  <c r="N15" i="1"/>
  <c r="O15" i="1"/>
  <c r="J16" i="1"/>
  <c r="U16" i="2" l="1"/>
  <c r="V16" i="2"/>
  <c r="W16" i="2"/>
  <c r="X16" i="2"/>
  <c r="Y16" i="2"/>
  <c r="T17" i="2"/>
  <c r="P15" i="1"/>
  <c r="K15" i="1"/>
  <c r="L16" i="1"/>
  <c r="M16" i="1"/>
  <c r="N16" i="1"/>
  <c r="O16" i="1"/>
  <c r="J17" i="1"/>
  <c r="U17" i="2" l="1"/>
  <c r="V17" i="2"/>
  <c r="W17" i="2"/>
  <c r="X17" i="2"/>
  <c r="Y17" i="2"/>
  <c r="T18" i="2"/>
  <c r="P16" i="1"/>
  <c r="K16" i="1"/>
  <c r="L17" i="1"/>
  <c r="M17" i="1"/>
  <c r="N17" i="1"/>
  <c r="O17" i="1"/>
  <c r="J18" i="1"/>
  <c r="J53" i="1"/>
  <c r="U18" i="2" l="1"/>
  <c r="V18" i="2"/>
  <c r="W18" i="2"/>
  <c r="X18" i="2"/>
  <c r="Y18" i="2"/>
  <c r="T19" i="2"/>
  <c r="P17" i="1"/>
  <c r="K17" i="1"/>
  <c r="K53" i="1" s="1"/>
  <c r="L18" i="1"/>
  <c r="M18" i="1"/>
  <c r="N18" i="1"/>
  <c r="O18" i="1"/>
  <c r="J19" i="1"/>
  <c r="U19" i="2" l="1"/>
  <c r="V19" i="2"/>
  <c r="W19" i="2"/>
  <c r="X19" i="2"/>
  <c r="Y19" i="2"/>
  <c r="T20" i="2"/>
  <c r="P18" i="1"/>
  <c r="K18" i="1"/>
  <c r="L19" i="1"/>
  <c r="M19" i="1"/>
  <c r="N19" i="1"/>
  <c r="O19" i="1"/>
  <c r="J20" i="1"/>
  <c r="U20" i="2" l="1"/>
  <c r="V20" i="2"/>
  <c r="W20" i="2"/>
  <c r="X20" i="2"/>
  <c r="Y20" i="2"/>
  <c r="T21" i="2"/>
  <c r="P19" i="1"/>
  <c r="K19" i="1"/>
  <c r="L20" i="1"/>
  <c r="M20" i="1"/>
  <c r="N20" i="1"/>
  <c r="O20" i="1"/>
  <c r="J21" i="1"/>
  <c r="U21" i="2" l="1"/>
  <c r="V21" i="2"/>
  <c r="W21" i="2"/>
  <c r="X21" i="2"/>
  <c r="Y21" i="2"/>
  <c r="T22" i="2"/>
  <c r="P20" i="1"/>
  <c r="K20" i="1"/>
  <c r="L21" i="1"/>
  <c r="M21" i="1"/>
  <c r="N21" i="1"/>
  <c r="O21" i="1"/>
  <c r="J22" i="1"/>
  <c r="J54" i="1"/>
  <c r="U22" i="2" l="1"/>
  <c r="V22" i="2"/>
  <c r="W22" i="2"/>
  <c r="X22" i="2"/>
  <c r="Y22" i="2"/>
  <c r="T23" i="2"/>
  <c r="P21" i="1"/>
  <c r="K21" i="1"/>
  <c r="K54" i="1" s="1"/>
  <c r="L22" i="1"/>
  <c r="M22" i="1"/>
  <c r="N22" i="1"/>
  <c r="O22" i="1"/>
  <c r="J23" i="1"/>
  <c r="U23" i="2" l="1"/>
  <c r="V23" i="2"/>
  <c r="W23" i="2"/>
  <c r="X23" i="2"/>
  <c r="Y23" i="2"/>
  <c r="T24" i="2"/>
  <c r="P22" i="1"/>
  <c r="K22" i="1"/>
  <c r="L23" i="1"/>
  <c r="M23" i="1"/>
  <c r="N23" i="1"/>
  <c r="O23" i="1"/>
  <c r="J24" i="1"/>
  <c r="U24" i="2" l="1"/>
  <c r="V24" i="2"/>
  <c r="W24" i="2"/>
  <c r="X24" i="2"/>
  <c r="Y24" i="2"/>
  <c r="T25" i="2"/>
  <c r="P23" i="1"/>
  <c r="K23" i="1"/>
  <c r="L24" i="1"/>
  <c r="M24" i="1"/>
  <c r="N24" i="1"/>
  <c r="O24" i="1"/>
  <c r="J25" i="1"/>
  <c r="U25" i="2" l="1"/>
  <c r="U111" i="2" s="1"/>
  <c r="V25" i="2"/>
  <c r="W25" i="2"/>
  <c r="X25" i="2"/>
  <c r="Y25" i="2"/>
  <c r="T26" i="2"/>
  <c r="T111" i="2"/>
  <c r="P24" i="1"/>
  <c r="K24" i="1"/>
  <c r="L25" i="1"/>
  <c r="M25" i="1"/>
  <c r="N25" i="1"/>
  <c r="O25" i="1"/>
  <c r="J26" i="1"/>
  <c r="J55" i="1"/>
  <c r="U26" i="2" l="1"/>
  <c r="V26" i="2"/>
  <c r="W26" i="2"/>
  <c r="X26" i="2"/>
  <c r="Y26" i="2"/>
  <c r="T27" i="2"/>
  <c r="P25" i="1"/>
  <c r="K25" i="1"/>
  <c r="K55" i="1" s="1"/>
  <c r="L26" i="1"/>
  <c r="M26" i="1"/>
  <c r="N26" i="1"/>
  <c r="O26" i="1"/>
  <c r="J27" i="1"/>
  <c r="U27" i="2" l="1"/>
  <c r="V27" i="2"/>
  <c r="W27" i="2"/>
  <c r="X27" i="2"/>
  <c r="Y27" i="2"/>
  <c r="T28" i="2"/>
  <c r="P26" i="1"/>
  <c r="K26" i="1"/>
  <c r="L27" i="1"/>
  <c r="M27" i="1"/>
  <c r="N27" i="1"/>
  <c r="O27" i="1"/>
  <c r="J28" i="1"/>
  <c r="U28" i="2" l="1"/>
  <c r="V28" i="2"/>
  <c r="W28" i="2"/>
  <c r="X28" i="2"/>
  <c r="Y28" i="2"/>
  <c r="T29" i="2"/>
  <c r="P27" i="1"/>
  <c r="K27" i="1"/>
  <c r="L28" i="1"/>
  <c r="M28" i="1"/>
  <c r="N28" i="1"/>
  <c r="O28" i="1"/>
  <c r="J29" i="1"/>
  <c r="U29" i="2" l="1"/>
  <c r="V29" i="2"/>
  <c r="W29" i="2"/>
  <c r="X29" i="2"/>
  <c r="Y29" i="2"/>
  <c r="T30" i="2"/>
  <c r="P28" i="1"/>
  <c r="K28" i="1"/>
  <c r="L29" i="1"/>
  <c r="M29" i="1"/>
  <c r="N29" i="1"/>
  <c r="O29" i="1"/>
  <c r="J30" i="1"/>
  <c r="J56" i="1"/>
  <c r="U30" i="2" l="1"/>
  <c r="V30" i="2"/>
  <c r="W30" i="2"/>
  <c r="X30" i="2"/>
  <c r="Y30" i="2"/>
  <c r="T31" i="2"/>
  <c r="P29" i="1"/>
  <c r="K29" i="1"/>
  <c r="K56" i="1" s="1"/>
  <c r="L30" i="1"/>
  <c r="M30" i="1"/>
  <c r="N30" i="1"/>
  <c r="O30" i="1"/>
  <c r="J31" i="1"/>
  <c r="U31" i="2" l="1"/>
  <c r="V31" i="2"/>
  <c r="W31" i="2"/>
  <c r="X31" i="2"/>
  <c r="Y31" i="2"/>
  <c r="T32" i="2"/>
  <c r="P30" i="1"/>
  <c r="K30" i="1"/>
  <c r="L31" i="1"/>
  <c r="M31" i="1"/>
  <c r="N31" i="1"/>
  <c r="O31" i="1"/>
  <c r="J32" i="1"/>
  <c r="U32" i="2" l="1"/>
  <c r="V32" i="2"/>
  <c r="W32" i="2"/>
  <c r="X32" i="2"/>
  <c r="Y32" i="2"/>
  <c r="T33" i="2"/>
  <c r="P31" i="1"/>
  <c r="K31" i="1"/>
  <c r="L32" i="1"/>
  <c r="M32" i="1"/>
  <c r="N32" i="1"/>
  <c r="O32" i="1"/>
  <c r="J33" i="1"/>
  <c r="U33" i="2" l="1"/>
  <c r="V33" i="2"/>
  <c r="W33" i="2"/>
  <c r="X33" i="2"/>
  <c r="Y33" i="2"/>
  <c r="T34" i="2"/>
  <c r="P32" i="1"/>
  <c r="K32" i="1"/>
  <c r="L33" i="1"/>
  <c r="M33" i="1"/>
  <c r="N33" i="1"/>
  <c r="O33" i="1"/>
  <c r="J34" i="1"/>
  <c r="J57" i="1"/>
  <c r="U34" i="2" l="1"/>
  <c r="V34" i="2"/>
  <c r="W34" i="2"/>
  <c r="X34" i="2"/>
  <c r="Y34" i="2"/>
  <c r="T35" i="2"/>
  <c r="P33" i="1"/>
  <c r="K33" i="1"/>
  <c r="K57" i="1" s="1"/>
  <c r="L34" i="1"/>
  <c r="M34" i="1"/>
  <c r="N34" i="1"/>
  <c r="O34" i="1"/>
  <c r="J35" i="1"/>
  <c r="U35" i="2" l="1"/>
  <c r="U112" i="2" s="1"/>
  <c r="V35" i="2"/>
  <c r="W35" i="2"/>
  <c r="X35" i="2"/>
  <c r="Y35" i="2"/>
  <c r="T36" i="2"/>
  <c r="T112" i="2"/>
  <c r="P34" i="1"/>
  <c r="K34" i="1"/>
  <c r="L35" i="1"/>
  <c r="M35" i="1"/>
  <c r="N35" i="1"/>
  <c r="O35" i="1"/>
  <c r="J36" i="1"/>
  <c r="U36" i="2" l="1"/>
  <c r="V36" i="2"/>
  <c r="W36" i="2"/>
  <c r="X36" i="2"/>
  <c r="Y36" i="2"/>
  <c r="T37" i="2"/>
  <c r="P35" i="1"/>
  <c r="K35" i="1"/>
  <c r="L36" i="1"/>
  <c r="M36" i="1"/>
  <c r="N36" i="1"/>
  <c r="O36" i="1"/>
  <c r="J37" i="1"/>
  <c r="U37" i="2" l="1"/>
  <c r="V37" i="2"/>
  <c r="W37" i="2"/>
  <c r="X37" i="2"/>
  <c r="Y37" i="2"/>
  <c r="T38" i="2"/>
  <c r="P36" i="1"/>
  <c r="K36" i="1"/>
  <c r="L37" i="1"/>
  <c r="M37" i="1"/>
  <c r="N37" i="1"/>
  <c r="O37" i="1"/>
  <c r="J38" i="1"/>
  <c r="J58" i="1"/>
  <c r="U38" i="2" l="1"/>
  <c r="V38" i="2"/>
  <c r="W38" i="2"/>
  <c r="X38" i="2"/>
  <c r="Y38" i="2"/>
  <c r="T39" i="2"/>
  <c r="P37" i="1"/>
  <c r="K37" i="1"/>
  <c r="K58" i="1" s="1"/>
  <c r="L38" i="1"/>
  <c r="M38" i="1"/>
  <c r="N38" i="1"/>
  <c r="O38" i="1"/>
  <c r="J39" i="1"/>
  <c r="U39" i="2" l="1"/>
  <c r="V39" i="2"/>
  <c r="W39" i="2"/>
  <c r="X39" i="2"/>
  <c r="Y39" i="2"/>
  <c r="T40" i="2"/>
  <c r="P38" i="1"/>
  <c r="K38" i="1"/>
  <c r="L39" i="1"/>
  <c r="M39" i="1"/>
  <c r="N39" i="1"/>
  <c r="O39" i="1"/>
  <c r="J40" i="1"/>
  <c r="U40" i="2" l="1"/>
  <c r="V40" i="2"/>
  <c r="W40" i="2"/>
  <c r="X40" i="2"/>
  <c r="Y40" i="2"/>
  <c r="T41" i="2"/>
  <c r="P39" i="1"/>
  <c r="K39" i="1"/>
  <c r="L40" i="1"/>
  <c r="M40" i="1"/>
  <c r="N40" i="1"/>
  <c r="O40" i="1"/>
  <c r="J41" i="1"/>
  <c r="U41" i="2" l="1"/>
  <c r="V41" i="2"/>
  <c r="W41" i="2"/>
  <c r="X41" i="2"/>
  <c r="Y41" i="2"/>
  <c r="T42" i="2"/>
  <c r="P40" i="1"/>
  <c r="K40" i="1"/>
  <c r="L41" i="1"/>
  <c r="M41" i="1"/>
  <c r="N41" i="1"/>
  <c r="O41" i="1"/>
  <c r="J42" i="1"/>
  <c r="J59" i="1"/>
  <c r="U42" i="2" l="1"/>
  <c r="V42" i="2"/>
  <c r="W42" i="2"/>
  <c r="X42" i="2"/>
  <c r="Y42" i="2"/>
  <c r="T43" i="2"/>
  <c r="P41" i="1"/>
  <c r="K41" i="1"/>
  <c r="K59" i="1" s="1"/>
  <c r="L42" i="1"/>
  <c r="M42" i="1"/>
  <c r="N42" i="1"/>
  <c r="O42" i="1"/>
  <c r="J43" i="1"/>
  <c r="U43" i="2" l="1"/>
  <c r="V43" i="2"/>
  <c r="W43" i="2"/>
  <c r="X43" i="2"/>
  <c r="Y43" i="2"/>
  <c r="T44" i="2"/>
  <c r="P42" i="1"/>
  <c r="K42" i="1"/>
  <c r="L43" i="1"/>
  <c r="M43" i="1"/>
  <c r="N43" i="1"/>
  <c r="O43" i="1"/>
  <c r="J44" i="1"/>
  <c r="U44" i="2" l="1"/>
  <c r="V44" i="2"/>
  <c r="W44" i="2"/>
  <c r="X44" i="2"/>
  <c r="Y44" i="2"/>
  <c r="T45" i="2"/>
  <c r="P43" i="1"/>
  <c r="K43" i="1"/>
  <c r="L44" i="1"/>
  <c r="M44" i="1"/>
  <c r="N44" i="1"/>
  <c r="O44" i="1"/>
  <c r="J45" i="1"/>
  <c r="U45" i="2" l="1"/>
  <c r="U113" i="2" s="1"/>
  <c r="V45" i="2"/>
  <c r="W45" i="2"/>
  <c r="X45" i="2"/>
  <c r="Y45" i="2"/>
  <c r="T46" i="2"/>
  <c r="T113" i="2"/>
  <c r="P44" i="1"/>
  <c r="K44" i="1"/>
  <c r="L45" i="1"/>
  <c r="M45" i="1"/>
  <c r="N45" i="1"/>
  <c r="O45" i="1"/>
  <c r="J60" i="1"/>
  <c r="U46" i="2" l="1"/>
  <c r="V46" i="2"/>
  <c r="W46" i="2"/>
  <c r="X46" i="2"/>
  <c r="Y46" i="2"/>
  <c r="T47" i="2"/>
  <c r="P45" i="1"/>
  <c r="K45" i="1"/>
  <c r="U47" i="2" l="1"/>
  <c r="V47" i="2"/>
  <c r="W47" i="2"/>
  <c r="X47" i="2"/>
  <c r="Y47" i="2"/>
  <c r="T48" i="2"/>
  <c r="B12" i="1"/>
  <c r="K60" i="1"/>
  <c r="U48" i="2" l="1"/>
  <c r="V48" i="2"/>
  <c r="W48" i="2"/>
  <c r="X48" i="2"/>
  <c r="Y48" i="2"/>
  <c r="T49" i="2"/>
  <c r="U49" i="2" l="1"/>
  <c r="V49" i="2"/>
  <c r="W49" i="2"/>
  <c r="X49" i="2"/>
  <c r="Y49" i="2"/>
  <c r="T50" i="2"/>
  <c r="U50" i="2" l="1"/>
  <c r="V50" i="2"/>
  <c r="W50" i="2"/>
  <c r="X50" i="2"/>
  <c r="Y50" i="2"/>
  <c r="T51" i="2"/>
  <c r="W51" i="2" l="1"/>
  <c r="T52" i="2"/>
  <c r="U51" i="2"/>
  <c r="V51" i="2"/>
  <c r="X51" i="2"/>
  <c r="Y51" i="2"/>
  <c r="V52" i="2" l="1"/>
  <c r="U52" i="2"/>
  <c r="W52" i="2"/>
  <c r="X52" i="2"/>
  <c r="Y52" i="2"/>
  <c r="T53" i="2"/>
  <c r="U53" i="2" l="1"/>
  <c r="V53" i="2"/>
  <c r="W53" i="2"/>
  <c r="X53" i="2"/>
  <c r="Y53" i="2"/>
  <c r="T54" i="2"/>
  <c r="U54" i="2" l="1"/>
  <c r="V54" i="2"/>
  <c r="W54" i="2"/>
  <c r="X54" i="2"/>
  <c r="Y54" i="2"/>
  <c r="T55" i="2"/>
  <c r="U55" i="2" l="1"/>
  <c r="U114" i="2" s="1"/>
  <c r="V55" i="2"/>
  <c r="W55" i="2"/>
  <c r="X55" i="2"/>
  <c r="Y55" i="2"/>
  <c r="T56" i="2"/>
  <c r="T114" i="2"/>
  <c r="U56" i="2" l="1"/>
  <c r="V56" i="2"/>
  <c r="W56" i="2"/>
  <c r="X56" i="2"/>
  <c r="Y56" i="2"/>
  <c r="T57" i="2"/>
  <c r="U57" i="2" l="1"/>
  <c r="V57" i="2"/>
  <c r="W57" i="2"/>
  <c r="X57" i="2"/>
  <c r="Y57" i="2"/>
  <c r="T58" i="2"/>
  <c r="U58" i="2" l="1"/>
  <c r="V58" i="2"/>
  <c r="W58" i="2"/>
  <c r="X58" i="2"/>
  <c r="Y58" i="2"/>
  <c r="T59" i="2"/>
  <c r="U59" i="2" l="1"/>
  <c r="V59" i="2"/>
  <c r="W59" i="2"/>
  <c r="X59" i="2"/>
  <c r="Y59" i="2"/>
  <c r="T60" i="2"/>
  <c r="U60" i="2" l="1"/>
  <c r="V60" i="2"/>
  <c r="W60" i="2"/>
  <c r="X60" i="2"/>
  <c r="Y60" i="2"/>
  <c r="T61" i="2"/>
  <c r="U61" i="2" l="1"/>
  <c r="V61" i="2"/>
  <c r="W61" i="2"/>
  <c r="X61" i="2"/>
  <c r="Y61" i="2"/>
  <c r="T62" i="2"/>
  <c r="U62" i="2" l="1"/>
  <c r="V62" i="2"/>
  <c r="W62" i="2"/>
  <c r="X62" i="2"/>
  <c r="Y62" i="2"/>
  <c r="T63" i="2"/>
  <c r="U63" i="2" l="1"/>
  <c r="V63" i="2"/>
  <c r="W63" i="2"/>
  <c r="X63" i="2"/>
  <c r="Y63" i="2"/>
  <c r="T64" i="2"/>
  <c r="U64" i="2" l="1"/>
  <c r="V64" i="2"/>
  <c r="W64" i="2"/>
  <c r="X64" i="2"/>
  <c r="Y64" i="2"/>
  <c r="T65" i="2"/>
  <c r="U65" i="2" l="1"/>
  <c r="U115" i="2" s="1"/>
  <c r="V65" i="2"/>
  <c r="W65" i="2"/>
  <c r="X65" i="2"/>
  <c r="Y65" i="2"/>
  <c r="T66" i="2"/>
  <c r="T115" i="2"/>
  <c r="U66" i="2" l="1"/>
  <c r="V66" i="2"/>
  <c r="W66" i="2"/>
  <c r="X66" i="2"/>
  <c r="Y66" i="2"/>
  <c r="T67" i="2"/>
  <c r="U67" i="2" l="1"/>
  <c r="V67" i="2"/>
  <c r="W67" i="2"/>
  <c r="X67" i="2"/>
  <c r="Y67" i="2"/>
  <c r="T68" i="2"/>
  <c r="U68" i="2" l="1"/>
  <c r="V68" i="2"/>
  <c r="W68" i="2"/>
  <c r="X68" i="2"/>
  <c r="Y68" i="2"/>
  <c r="T69" i="2"/>
  <c r="U69" i="2" l="1"/>
  <c r="V69" i="2"/>
  <c r="W69" i="2"/>
  <c r="X69" i="2"/>
  <c r="Y69" i="2"/>
  <c r="T70" i="2"/>
  <c r="U70" i="2" l="1"/>
  <c r="V70" i="2"/>
  <c r="W70" i="2"/>
  <c r="X70" i="2"/>
  <c r="Y70" i="2"/>
  <c r="T71" i="2"/>
  <c r="U71" i="2" l="1"/>
  <c r="V71" i="2"/>
  <c r="W71" i="2"/>
  <c r="X71" i="2"/>
  <c r="Y71" i="2"/>
  <c r="T72" i="2"/>
  <c r="U72" i="2" l="1"/>
  <c r="V72" i="2"/>
  <c r="W72" i="2"/>
  <c r="X72" i="2"/>
  <c r="Y72" i="2"/>
  <c r="T73" i="2"/>
  <c r="U73" i="2" l="1"/>
  <c r="V73" i="2"/>
  <c r="W73" i="2"/>
  <c r="X73" i="2"/>
  <c r="Y73" i="2"/>
  <c r="T74" i="2"/>
  <c r="U74" i="2" l="1"/>
  <c r="V74" i="2"/>
  <c r="W74" i="2"/>
  <c r="X74" i="2"/>
  <c r="Y74" i="2"/>
  <c r="T75" i="2"/>
  <c r="U75" i="2" l="1"/>
  <c r="U116" i="2" s="1"/>
  <c r="V75" i="2"/>
  <c r="W75" i="2"/>
  <c r="X75" i="2"/>
  <c r="Y75" i="2"/>
  <c r="T76" i="2"/>
  <c r="T116" i="2"/>
  <c r="U76" i="2" l="1"/>
  <c r="V76" i="2"/>
  <c r="W76" i="2"/>
  <c r="X76" i="2"/>
  <c r="Y76" i="2"/>
  <c r="T77" i="2"/>
  <c r="U77" i="2" l="1"/>
  <c r="V77" i="2"/>
  <c r="W77" i="2"/>
  <c r="X77" i="2"/>
  <c r="Y77" i="2"/>
  <c r="T78" i="2"/>
  <c r="U78" i="2" l="1"/>
  <c r="V78" i="2"/>
  <c r="W78" i="2"/>
  <c r="X78" i="2"/>
  <c r="Y78" i="2"/>
  <c r="T79" i="2"/>
  <c r="U79" i="2" l="1"/>
  <c r="V79" i="2"/>
  <c r="W79" i="2"/>
  <c r="X79" i="2"/>
  <c r="Y79" i="2"/>
  <c r="T80" i="2"/>
  <c r="U80" i="2" l="1"/>
  <c r="V80" i="2"/>
  <c r="W80" i="2"/>
  <c r="X80" i="2"/>
  <c r="Y80" i="2"/>
  <c r="T81" i="2"/>
  <c r="U81" i="2" l="1"/>
  <c r="V81" i="2"/>
  <c r="W81" i="2"/>
  <c r="X81" i="2"/>
  <c r="Y81" i="2"/>
  <c r="T82" i="2"/>
  <c r="U82" i="2" l="1"/>
  <c r="V82" i="2"/>
  <c r="W82" i="2"/>
  <c r="X82" i="2"/>
  <c r="Y82" i="2"/>
  <c r="T83" i="2"/>
  <c r="U83" i="2" l="1"/>
  <c r="V83" i="2"/>
  <c r="W83" i="2"/>
  <c r="X83" i="2"/>
  <c r="Y83" i="2"/>
  <c r="T84" i="2"/>
  <c r="U84" i="2" l="1"/>
  <c r="V84" i="2"/>
  <c r="W84" i="2"/>
  <c r="X84" i="2"/>
  <c r="Y84" i="2"/>
  <c r="T85" i="2"/>
  <c r="U85" i="2" l="1"/>
  <c r="U117" i="2" s="1"/>
  <c r="V85" i="2"/>
  <c r="W85" i="2"/>
  <c r="X85" i="2"/>
  <c r="Y85" i="2"/>
  <c r="T86" i="2"/>
  <c r="T117" i="2"/>
  <c r="U86" i="2" l="1"/>
  <c r="V86" i="2"/>
  <c r="W86" i="2"/>
  <c r="X86" i="2"/>
  <c r="Y86" i="2"/>
  <c r="T87" i="2"/>
  <c r="U87" i="2" l="1"/>
  <c r="V87" i="2"/>
  <c r="W87" i="2"/>
  <c r="X87" i="2"/>
  <c r="Y87" i="2"/>
  <c r="T88" i="2"/>
  <c r="U88" i="2" l="1"/>
  <c r="V88" i="2"/>
  <c r="W88" i="2"/>
  <c r="X88" i="2"/>
  <c r="Y88" i="2"/>
  <c r="T89" i="2"/>
  <c r="U89" i="2" l="1"/>
  <c r="V89" i="2"/>
  <c r="W89" i="2"/>
  <c r="X89" i="2"/>
  <c r="Y89" i="2"/>
  <c r="T90" i="2"/>
  <c r="U90" i="2" l="1"/>
  <c r="V90" i="2"/>
  <c r="W90" i="2"/>
  <c r="X90" i="2"/>
  <c r="Y90" i="2"/>
  <c r="T91" i="2"/>
  <c r="U91" i="2" l="1"/>
  <c r="V91" i="2"/>
  <c r="W91" i="2"/>
  <c r="X91" i="2"/>
  <c r="Y91" i="2"/>
  <c r="T92" i="2"/>
  <c r="U92" i="2" l="1"/>
  <c r="V92" i="2"/>
  <c r="W92" i="2"/>
  <c r="X92" i="2"/>
  <c r="Y92" i="2"/>
  <c r="T93" i="2"/>
  <c r="U93" i="2" l="1"/>
  <c r="V93" i="2"/>
  <c r="W93" i="2"/>
  <c r="X93" i="2"/>
  <c r="Y93" i="2"/>
  <c r="T94" i="2"/>
  <c r="U94" i="2" l="1"/>
  <c r="W94" i="2"/>
  <c r="T95" i="2"/>
  <c r="V94" i="2"/>
  <c r="X94" i="2"/>
  <c r="Y94" i="2"/>
  <c r="V95" i="2" l="1"/>
  <c r="W95" i="2"/>
  <c r="X95" i="2"/>
  <c r="Y95" i="2"/>
  <c r="T96" i="2"/>
  <c r="T118" i="2"/>
  <c r="U95" i="2"/>
  <c r="U118" i="2" s="1"/>
  <c r="V96" i="2" l="1"/>
  <c r="W96" i="2"/>
  <c r="X96" i="2"/>
  <c r="Y96" i="2"/>
  <c r="U96" i="2"/>
  <c r="T97" i="2"/>
  <c r="W97" i="2" l="1"/>
  <c r="X97" i="2"/>
  <c r="Y97" i="2"/>
  <c r="U97" i="2"/>
  <c r="V97" i="2"/>
  <c r="T98" i="2"/>
  <c r="V98" i="2" l="1"/>
  <c r="W98" i="2"/>
  <c r="X98" i="2"/>
  <c r="Y98" i="2"/>
  <c r="T99" i="2"/>
  <c r="U98" i="2"/>
  <c r="V99" i="2" l="1"/>
  <c r="X99" i="2"/>
  <c r="T100" i="2"/>
  <c r="U99" i="2"/>
  <c r="W99" i="2"/>
  <c r="Y99" i="2"/>
  <c r="W100" i="2" l="1"/>
  <c r="X100" i="2"/>
  <c r="Y100" i="2"/>
  <c r="U100" i="2"/>
  <c r="V100" i="2"/>
  <c r="T101" i="2"/>
  <c r="V101" i="2" l="1"/>
  <c r="W101" i="2"/>
  <c r="X101" i="2"/>
  <c r="Y101" i="2"/>
  <c r="T102" i="2"/>
  <c r="U101" i="2"/>
  <c r="V102" i="2" l="1"/>
  <c r="T103" i="2"/>
  <c r="U102" i="2"/>
  <c r="W102" i="2"/>
  <c r="X102" i="2"/>
  <c r="Y102" i="2"/>
  <c r="V103" i="2" l="1"/>
  <c r="X103" i="2"/>
  <c r="Y103" i="2"/>
  <c r="T104" i="2"/>
  <c r="U103" i="2"/>
  <c r="W103" i="2"/>
  <c r="V104" i="2" l="1"/>
  <c r="W104" i="2"/>
  <c r="T105" i="2"/>
  <c r="U104" i="2"/>
  <c r="X104" i="2"/>
  <c r="Y104" i="2"/>
  <c r="U105" i="2" l="1"/>
  <c r="V105" i="2"/>
  <c r="W105" i="2"/>
  <c r="X105" i="2"/>
  <c r="Y105" i="2"/>
  <c r="T119" i="2"/>
  <c r="B10" i="2" l="1"/>
  <c r="U119" i="2"/>
  <c r="P47" i="2" l="1"/>
  <c r="Q47" i="2" s="1"/>
  <c r="P48" i="2"/>
  <c r="Q48" i="2" s="1"/>
  <c r="P49" i="2"/>
  <c r="Q49" i="2" s="1"/>
  <c r="P50" i="2"/>
  <c r="Q50" i="2" s="1"/>
  <c r="P52" i="2"/>
  <c r="Q52" i="2" s="1"/>
  <c r="P53" i="2"/>
  <c r="Q53" i="2" s="1"/>
  <c r="P54" i="2"/>
  <c r="Q54" i="2" s="1"/>
  <c r="P55" i="2"/>
  <c r="Q55" i="2" s="1"/>
  <c r="P56" i="2"/>
  <c r="Q56" i="2" s="1"/>
  <c r="P57" i="2"/>
  <c r="Q57" i="2" s="1"/>
  <c r="P58" i="2"/>
  <c r="Q58" i="2" s="1"/>
  <c r="P51" i="2"/>
  <c r="Q51" i="2" s="1"/>
  <c r="P29" i="2"/>
  <c r="Q29" i="2" s="1"/>
  <c r="P59" i="2"/>
  <c r="Q59" i="2" s="1"/>
  <c r="P60" i="2"/>
  <c r="Q60" i="2" s="1"/>
  <c r="P61" i="2"/>
  <c r="Q61" i="2" s="1"/>
  <c r="P62" i="2"/>
  <c r="Q62" i="2" s="1"/>
  <c r="P63" i="2"/>
  <c r="Q63" i="2" s="1"/>
  <c r="P64" i="2"/>
  <c r="Q64" i="2" s="1"/>
  <c r="P65" i="2"/>
  <c r="Q65" i="2" s="1"/>
  <c r="P68" i="2"/>
  <c r="Q68" i="2" s="1"/>
  <c r="P69" i="2"/>
  <c r="Q69" i="2" s="1"/>
  <c r="P70" i="2"/>
  <c r="Q70" i="2" s="1"/>
  <c r="P73" i="2"/>
  <c r="Q73" i="2" s="1"/>
  <c r="P79" i="2"/>
  <c r="Q79" i="2" s="1"/>
  <c r="P80" i="2"/>
  <c r="Q80" i="2" s="1"/>
  <c r="P81" i="2"/>
  <c r="Q81" i="2" s="1"/>
  <c r="P67" i="2"/>
  <c r="Q67" i="2" s="1"/>
  <c r="P72" i="2"/>
  <c r="Q72" i="2" s="1"/>
  <c r="P74" i="2"/>
  <c r="Q74" i="2" s="1"/>
  <c r="P77" i="2"/>
  <c r="Q77" i="2" s="1"/>
  <c r="P78" i="2"/>
  <c r="Q78" i="2" s="1"/>
  <c r="P82" i="2"/>
  <c r="Q82" i="2" s="1"/>
  <c r="P83" i="2"/>
  <c r="Q83" i="2" s="1"/>
  <c r="P85" i="2"/>
  <c r="Q85" i="2" s="1"/>
  <c r="P89" i="2"/>
  <c r="Q89" i="2" s="1"/>
  <c r="P91" i="2"/>
  <c r="Q91" i="2" s="1"/>
  <c r="P93" i="2"/>
  <c r="Q93" i="2" s="1"/>
  <c r="P94" i="2"/>
  <c r="Q94" i="2" s="1"/>
  <c r="P95" i="2"/>
  <c r="Q95" i="2" s="1"/>
  <c r="P96" i="2"/>
  <c r="Q96" i="2" s="1"/>
  <c r="P97" i="2"/>
  <c r="Q97" i="2" s="1"/>
  <c r="P98" i="2"/>
  <c r="Q98" i="2" s="1"/>
  <c r="P99" i="2"/>
  <c r="Q99" i="2" s="1"/>
  <c r="P66" i="2"/>
  <c r="Q66" i="2" s="1"/>
  <c r="P71" i="2"/>
  <c r="Q71" i="2" s="1"/>
  <c r="P75" i="2"/>
  <c r="Q75" i="2" s="1"/>
  <c r="P76" i="2"/>
  <c r="Q76" i="2" s="1"/>
  <c r="P84" i="2"/>
  <c r="Q84" i="2" s="1"/>
  <c r="P86" i="2"/>
  <c r="Q86" i="2" s="1"/>
  <c r="P87" i="2"/>
  <c r="Q87" i="2" s="1"/>
  <c r="P88" i="2"/>
  <c r="Q88" i="2" s="1"/>
  <c r="P90" i="2"/>
  <c r="Q90" i="2" s="1"/>
  <c r="P92" i="2"/>
  <c r="Q92"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7" i="2"/>
  <c r="P18" i="2"/>
  <c r="Q18" i="2" s="1"/>
  <c r="P19" i="2"/>
  <c r="Q19" i="2" s="1"/>
  <c r="P20" i="2"/>
  <c r="Q20" i="2" s="1"/>
  <c r="P21" i="2"/>
  <c r="Q21" i="2" s="1"/>
  <c r="P22" i="2"/>
  <c r="Q22" i="2" s="1"/>
  <c r="P23" i="2"/>
  <c r="Q23" i="2" s="1"/>
  <c r="P24" i="2"/>
  <c r="Q24" i="2" s="1"/>
  <c r="P25" i="2"/>
  <c r="Q25" i="2" s="1"/>
  <c r="P26" i="2"/>
  <c r="Q26" i="2" s="1"/>
  <c r="P27" i="2"/>
  <c r="Q27" i="2" s="1"/>
  <c r="P28" i="2"/>
  <c r="Q28"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Q17" i="2" l="1"/>
  <c r="F7" i="2" s="1"/>
  <c r="F10" i="2" s="1"/>
  <c r="F12" i="2"/>
  <c r="F14" i="2"/>
</calcChain>
</file>

<file path=xl/sharedStrings.xml><?xml version="1.0" encoding="utf-8"?>
<sst xmlns="http://schemas.openxmlformats.org/spreadsheetml/2006/main" count="339" uniqueCount="295">
  <si>
    <t>Optimización del umbral con costos fijos por clase</t>
  </si>
  <si>
    <t>Todas las observaciones comparten la misma matriz de costos. Se comparan el umbral teórico de Bayes y el umbral empírico que minimiza el costo en la muestra.</t>
  </si>
  <si>
    <t>Supuestos editables</t>
  </si>
  <si>
    <t>Resultados con el umbral elegido</t>
  </si>
  <si>
    <t>Umbral</t>
  </si>
  <si>
    <t>Costo total ($)</t>
  </si>
  <si>
    <t>TP</t>
  </si>
  <si>
    <t>FP</t>
  </si>
  <si>
    <t>FN</t>
  </si>
  <si>
    <t>TN</t>
  </si>
  <si>
    <t>Accuracy</t>
  </si>
  <si>
    <t>Costo administrativo Ca ($)</t>
  </si>
  <si>
    <t>Input</t>
  </si>
  <si>
    <t>Costo verdadero positivo CTP ($)</t>
  </si>
  <si>
    <t>Se incurre por revisar/contactar</t>
  </si>
  <si>
    <t>Costo falso positivo CFP ($)</t>
  </si>
  <si>
    <t>Se incurre por revisar una operación legítima</t>
  </si>
  <si>
    <t>Multiplicador del falso negativo</t>
  </si>
  <si>
    <t>Correa/Bahnsen usa 100 × Ca en la matriz fija</t>
  </si>
  <si>
    <t>Costo falso negativo CFN ($)</t>
  </si>
  <si>
    <t>Pérdida fija para cualquier fraude omitido</t>
  </si>
  <si>
    <t>Costo sin modelo (todo legítimo)</t>
  </si>
  <si>
    <t>Costo verdadero negativo CTN ($)</t>
  </si>
  <si>
    <t>Sin costo</t>
  </si>
  <si>
    <t>Costo con umbral elegido</t>
  </si>
  <si>
    <t>Umbral teórico de Bayes</t>
  </si>
  <si>
    <t>(CFP-CTN)/[(CFP-CTN)+(CFN-CTP)]</t>
  </si>
  <si>
    <t>Ahorro vs. sin modelo</t>
  </si>
  <si>
    <t>Mejor umbral empírico</t>
  </si>
  <si>
    <t>Mínimo costo observado en la grilla</t>
  </si>
  <si>
    <t>Umbral usado en la tabla</t>
  </si>
  <si>
    <t>Editable: probá 50%, el teórico y el empírico</t>
  </si>
  <si>
    <t>Recall</t>
  </si>
  <si>
    <t>Paso de la grilla</t>
  </si>
  <si>
    <t>0,5 puntos porcentuales</t>
  </si>
  <si>
    <t>Precision</t>
  </si>
  <si>
    <t>ID</t>
  </si>
  <si>
    <t>Prob. fraude estimada</t>
  </si>
  <si>
    <t>Fraude real (1/0)</t>
  </si>
  <si>
    <t>Predicción</t>
  </si>
  <si>
    <t>Resultado</t>
  </si>
  <si>
    <t>Costo realizado ($)</t>
  </si>
  <si>
    <t>Comentario</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</si>
  <si>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</si>
  <si>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</si>
  <si>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</si>
  <si>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</si>
  <si>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</si>
  <si>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</si>
  <si>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</si>
  <si>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</si>
  <si>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</si>
  <si>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</si>
  <si>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</si>
  <si>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</si>
  <si>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</si>
  <si>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</si>
  <si>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</si>
  <si>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</si>
  <si>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</si>
  <si>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</si>
  <si>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</si>
  <si>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</si>
  <si>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</si>
  <si>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</si>
  <si>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</si>
  <si>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</si>
  <si>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</si>
  <si>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</si>
  <si>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</si>
  <si>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</si>
  <si>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</si>
  <si>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</si>
  <si>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</si>
  <si>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</si>
  <si>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</si>
  <si>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</si>
  <si>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</si>
  <si>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</si>
  <si>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</si>
  <si>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</si>
  <si>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</si>
  <si>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</si>
  <si>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</si>
  <si>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</si>
  <si>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</si>
  <si>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</si>
  <si>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</si>
  <si>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</si>
  <si>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</si>
  <si>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</si>
  <si>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</si>
  <si>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</si>
  <si>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</si>
  <si>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</si>
  <si>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</si>
  <si>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</si>
  <si>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</si>
  <si>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</si>
  <si>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</si>
  <si>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</si>
  <si>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</si>
  <si>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</si>
  <si>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</si>
  <si>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</si>
  <si>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</si>
  <si>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</si>
  <si>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</si>
  <si>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</si>
  <si>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</si>
  <si>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</si>
  <si>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</si>
  <si>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</si>
  <si>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</si>
  <si>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</si>
  <si>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</si>
  <si>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</si>
  <si>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</si>
  <si>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</si>
  <si>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</si>
  <si>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</si>
  <si>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</si>
  <si>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</si>
  <si>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</si>
  <si>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</si>
  <si>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</si>
  <si>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</si>
  <si>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</si>
  <si>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</si>
  <si>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</si>
  <si>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</si>
  <si>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</si>
  <si>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</si>
  <si>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</si>
  <si>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</si>
  <si>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</si>
  <si>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</si>
  <si>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</si>
  <si>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</si>
  <si>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</si>
  <si>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</si>
  <si>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</si>
  <si>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</si>
  <si>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Decisión costo-sensible por transacción: umbral individual según monto</t>
  </si>
  <si>
    <t>Matriz de Bahnsen: CTPᵢ = Ca, CFPᵢ = Ca, CFNᵢ = montoᵢ × tasa de pérdida, CTNᵢ = 0. El monto modifica la regla de decisión y genera un umbral económico distinto para cada operación.</t>
  </si>
  <si>
    <t>Comparación económica</t>
  </si>
  <si>
    <t>Umbral global</t>
  </si>
  <si>
    <t>Costo de investigar/contactar, sea TP o FP</t>
  </si>
  <si>
    <t>Tasa de pérdida si el fraude pasa</t>
  </si>
  <si>
    <t>100% del monto; se puede bajar por recuperos</t>
  </si>
  <si>
    <t>Costo con umbral 50%</t>
  </si>
  <si>
    <t>Costo con mejor umbral global</t>
  </si>
  <si>
    <t>Umbral convencional</t>
  </si>
  <si>
    <t>Referencia, no necesariamente óptimo</t>
  </si>
  <si>
    <t>Costo con Bayes individual</t>
  </si>
  <si>
    <t>Tasa de fraude observada</t>
  </si>
  <si>
    <t>Fraudes reales / total de transacciones</t>
  </si>
  <si>
    <t>Ahorro Bayes vs. sin modelo</t>
  </si>
  <si>
    <t>Mejor umbral global</t>
  </si>
  <si>
    <t>Minimiza costo total con un único corte</t>
  </si>
  <si>
    <t>Ahorro global vs. sin modelo</t>
  </si>
  <si>
    <t>Alertas Bayes individual</t>
  </si>
  <si>
    <t>Regla individual simplificada</t>
  </si>
  <si>
    <t>= Ca / (monto × tasa de pérdida)</t>
  </si>
  <si>
    <t>Con CTP=CFP=Ca y CTN=0: umbralᵢ = Ca/CFNᵢ</t>
  </si>
  <si>
    <t>Alertas mejor global</t>
  </si>
  <si>
    <t>Recall Bayes individual</t>
  </si>
  <si>
    <t>Recall mejor global</t>
  </si>
  <si>
    <t>Monto ($)</t>
  </si>
  <si>
    <t>Fraude real</t>
  </si>
  <si>
    <t>CTPᵢ ($)</t>
  </si>
  <si>
    <t>CFPᵢ ($)</t>
  </si>
  <si>
    <t>CFNᵢ ($)</t>
  </si>
  <si>
    <t>CTNᵢ ($)</t>
  </si>
  <si>
    <t>Riesgo si alerta</t>
  </si>
  <si>
    <t>Riesgo si deja pasar</t>
  </si>
  <si>
    <t>Umbral individual</t>
  </si>
  <si>
    <t>Decisión Bayes</t>
  </si>
  <si>
    <t>Costo Bayes ($)</t>
  </si>
  <si>
    <t>Pred. 50%</t>
  </si>
  <si>
    <t>Costo 50% ($)</t>
  </si>
  <si>
    <t>Pred. umbral global</t>
  </si>
  <si>
    <t>Costo global ($)</t>
  </si>
  <si>
    <t>Resultado Bayes</t>
  </si>
  <si>
    <t>Guía de uso, fundamentos y fuentes</t>
  </si>
  <si>
    <t>1</t>
  </si>
  <si>
    <t>En la hoja 1, comenzar con umbral 50% y observar FN, costo y ahorro.</t>
  </si>
  <si>
    <t>2</t>
  </si>
  <si>
    <t>Cambiar el umbral usado por el umbral teórico y luego por el empírico.</t>
  </si>
  <si>
    <t>3</t>
  </si>
  <si>
    <t>Modificar el multiplicador del falso negativo y observar cómo cae o sube el umbral.</t>
  </si>
  <si>
    <t>4</t>
  </si>
  <si>
    <t>Explicar por qué el mejor umbral debe elegirse en validación, no en test.</t>
  </si>
  <si>
    <t>5</t>
  </si>
  <si>
    <t>Pasar a la hoja 2 y comparar 50%, mejor umbral global y Bayes individual.</t>
  </si>
  <si>
    <t>6</t>
  </si>
  <si>
    <t>Cambiar monto, costo administrativo o tasa de pérdida y observar el umbral individual.</t>
  </si>
  <si>
    <t>7</t>
  </si>
  <si>
    <t>Cerrar comparando el umbral global con la regla individual dependiente del monto.</t>
  </si>
  <si>
    <t>Fórmulas clave</t>
  </si>
  <si>
    <t>Riesgo de alertar</t>
  </si>
  <si>
    <t>p·CTP + (1-p)·CFP</t>
  </si>
  <si>
    <t>Riesgo de dejar pasar</t>
  </si>
  <si>
    <t>p·CFN + (1-p)·CTN</t>
  </si>
  <si>
    <t>Alertar cuando Riesgo(alertar) ≤ Riesgo(dejar pasar)</t>
  </si>
  <si>
    <t>Umbral general</t>
  </si>
  <si>
    <t>(CFP-CTN) / [(CFP-CTN) + (CFN-CTP)]</t>
  </si>
  <si>
    <t>Matriz por monto</t>
  </si>
  <si>
    <t>CTPᵢ=Ca; CFPᵢ=Ca; CFNᵢ=montoᵢ×tasa de pérdida; CTNᵢ=0</t>
  </si>
  <si>
    <t>Umbral simplificado</t>
  </si>
  <si>
    <t>Ca / (montoᵢ×tasa de pérdida)</t>
  </si>
  <si>
    <t>Savings</t>
  </si>
  <si>
    <t>1 - costo del modelo / costo del clasificador ingenuo</t>
  </si>
  <si>
    <t>Fuentes</t>
  </si>
  <si>
    <t>Correa Bahnsen — presentación Fraud Analytics</t>
  </si>
  <si>
    <t>https://es.slideshare.net/slideshow/1510-fraud-analyticslong/57178459</t>
  </si>
  <si>
    <t>Diapositivas 32–34: costos FP/FN y necesidad de costos dependientes del monto.</t>
  </si>
  <si>
    <t>CostCla — documentación</t>
  </si>
  <si>
    <t>https://albahnsen.github.io/CostSensitiveClassification/</t>
  </si>
  <si>
    <t>Matriz de costos por observación, métricas de costo y savings.</t>
  </si>
  <si>
    <t>Bahnsen et al. — Bayes Minimum Risk</t>
  </si>
  <si>
    <t>https://albahnsen.github.io/files/Cost%20Sensitive%20Credit%20Card%20Fraud%20Detection%20using%20Bayes%20Minimum%20Risk%20-%20Publish.pdf</t>
  </si>
  <si>
    <t>Tablas II–III y ecuaciones de riesgo: Ca, 100·Ca y monto de la transacción.</t>
  </si>
  <si>
    <t>Nota sobre datos</t>
  </si>
  <si>
    <t>Datos construidos para enseñanza: 100 transacciones y 1 fraude (prevalencia de 1%).</t>
  </si>
  <si>
    <t>Los resultados numéricos son ilustrativos y no deben usarse como benchmark empírico.</t>
  </si>
  <si>
    <t>Advertencias metodológicas</t>
  </si>
  <si>
    <t>• Un umbral optimizado sobre test produce una evaluación optimista. Elegirlo en validación y congelarlo antes del test.</t>
  </si>
  <si>
    <t>• Si hubo undersampling/oversampling, la probabilidad cruda puede no reflejar la prevalencia real; recalibrar antes de BMR.</t>
  </si>
  <si>
    <t>• Los costos deben incluir recuperos, chargebacks, fricción del cliente, costo de revisión y capacidad operativa.</t>
  </si>
  <si>
    <t>• Si existe un límite de alertas diarias, la decisión pasa a ser una optimización con restricción, no sólo un umbral independiente.</t>
  </si>
  <si>
    <t>• Accuracy, recall y F1 son informativas, pero no sustituyen la función económica de pérdidas.</t>
  </si>
  <si>
    <t>Matriz de confusión vs. matriz de costos</t>
  </si>
  <si>
    <t>La matriz de confusión cuenta decisiones correctas e incorrectas. La matriz de costos asigna una consecuencia económica a cada tipo de decisión.</t>
  </si>
  <si>
    <t>Parámetro</t>
  </si>
  <si>
    <t>Valor</t>
  </si>
  <si>
    <t>Umbral utilizado</t>
  </si>
  <si>
    <t>Costo TP</t>
  </si>
  <si>
    <t>Costo FP</t>
  </si>
  <si>
    <t>Costo FN</t>
  </si>
  <si>
    <t>1. Matriz de confusión: cantidades</t>
  </si>
  <si>
    <t>2. Matriz de costos: costo por observación</t>
  </si>
  <si>
    <t>3. Contribución al costo total</t>
  </si>
  <si>
    <t>Real \ Predicción</t>
  </si>
  <si>
    <t>Alerta = 1</t>
  </si>
  <si>
    <t>No alerta = 0</t>
  </si>
  <si>
    <t>Total real</t>
  </si>
  <si>
    <t>Real \ Decisión</t>
  </si>
  <si>
    <t>Lectura</t>
  </si>
  <si>
    <t>Fraude = 1</t>
  </si>
  <si>
    <t>CTP frente a CFN</t>
  </si>
  <si>
    <t>Legítima = 0</t>
  </si>
  <si>
    <t>CFP frente a CTN</t>
  </si>
  <si>
    <t>Total predicho</t>
  </si>
  <si>
    <t>Unidad</t>
  </si>
  <si>
    <t>$ por caso</t>
  </si>
  <si>
    <t>Total decisión</t>
  </si>
  <si>
    <t>Celda</t>
  </si>
  <si>
    <t>Nombre</t>
  </si>
  <si>
    <t>Qué significa</t>
  </si>
  <si>
    <t>¿Es error?</t>
  </si>
  <si>
    <t>Métricas derivadas de cantidades</t>
  </si>
  <si>
    <t>Métricas económicas</t>
  </si>
  <si>
    <t>Fraude–Alerta</t>
  </si>
  <si>
    <t>Se detecta un fraude</t>
  </si>
  <si>
    <t>No</t>
  </si>
  <si>
    <t>Costo total</t>
  </si>
  <si>
    <t>Fraude–No alerta</t>
  </si>
  <si>
    <t>El fraude pasa sin ser detectado</t>
  </si>
  <si>
    <t>Sí</t>
  </si>
  <si>
    <t>Recall fraude</t>
  </si>
  <si>
    <t>Costo promedio por operación</t>
  </si>
  <si>
    <t>Legítima–Alerta</t>
  </si>
  <si>
    <t>Se investiga o bloquea una operación legítima</t>
  </si>
  <si>
    <t>Costo sin modelo</t>
  </si>
  <si>
    <t>Legítima–No alerta</t>
  </si>
  <si>
    <t>La operación legítima pasa normalmente</t>
  </si>
  <si>
    <t>Tasa de falsos positivos</t>
  </si>
  <si>
    <t>Lectura conceptual</t>
  </si>
  <si>
    <t>Pregunta</t>
  </si>
  <si>
    <t>Respuesta</t>
  </si>
  <si>
    <t>Ejemplo para discutir en clase:
Dos modelos pueden tener la misma cantidad total de errores, pero costos muy distintos. Un modelo con 10 falsos positivos y 1 falso negativo puede ser preferible a otro con 1 falso positivo y 10 falsos negativos cuando el fraude omitido cuesta mucho más que una revisión innecesaria.
En la hoja 2, además, el costo del falso negativo depende del monto: ya no existe una sola matriz de costos común a todas las observaciones.</t>
  </si>
  <si>
    <t>¿Qué informa la matriz de confusión?</t>
  </si>
  <si>
    <t>Cuántos TP, FP, FN y TN produjo el clasificador.</t>
  </si>
  <si>
    <t>¿Qué agrega la matriz de costos?</t>
  </si>
  <si>
    <t>Cuánto vale económicamente cada tipo de resultado.</t>
  </si>
  <si>
    <t>¿Por qué accuracy puede engañar?</t>
  </si>
  <si>
    <t>Porque trata como equivalentes errores con consecuencias económicas muy distintas.</t>
  </si>
  <si>
    <t>¿Qué optimizamos en cost-sensitive learning?</t>
  </si>
  <si>
    <t>El costo o riesgo esperado, no necesariamente la cantidad de errores.</t>
  </si>
  <si>
    <t>Costo total = TP·CTP + FP·CFP + FN·CFN + TN·CTN</t>
  </si>
  <si>
    <t>La base contiene 100 transacciones y un único fraude, por lo que la prevalencia observada es 1%. El umbral de 50% rara vez es económicamente óptimo. El umbral empírico debe elegirse en validación y luego evaluarse fuera de muestra; no debe optimizarse y reportarse sobre los mismos datos de test.</t>
  </si>
  <si>
    <t>Punto conceptual clave: por ahora simplificamos y el monto no cambia la probabilidad estimada de fraude. Cambia el costo potencial del falso negativo y, por lo tanto, el umbral económico de decisión. El caso más general implica que los costos asimétricos cambian el modelo estimado para la probabilidad de fraude (vía modificar la log loss). La base contiene 100 transacciones y un único fraude (1%).</t>
  </si>
  <si>
    <t xml:space="preserve">El paquete costcla permite diseño 2 o 3 </t>
  </si>
  <si>
    <t xml:space="preserve">Secuencia sugerida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</si>
</sst>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Red]\(\$#,##0.00\);\-"/>
    <numFmt numFmtId="165" formatCode="0.0\x"/>
    <numFmt numFmtId="166" formatCode="#,##0;[Red]\(#,##0\);\-"/>
    <numFmt numFmtId="167" formatCode="0.000%"/>
  </numFmts>
  <fonts count="11">
    <font>
      <sz val="11"/>
      <name val="Carlito"/>
    </font>
    <font>
      <b/>
      <sz val="16"/>
      <color rgb="FFFFFFFF"/>
      <name val="Carlito"/>
    </font>
    <font>
      <b/>
      <sz val="11"/>
      <color rgb="FFFFFFFF"/>
      <name val="Carlito"/>
    </font>
    <font>
      <sz val="11"/>
      <color rgb="FF0000FF"/>
      <name val="Carlito"/>
    </font>
    <font>
      <sz val="11"/>
      <color rgb="FF000000"/>
      <name val="Carlito"/>
    </font>
    <font>
      <sz val="11"/>
      <color rgb="FF008000"/>
      <name val="Carlito"/>
    </font>
    <font>
      <b/>
      <sz val="11"/>
      <name val="Carlito"/>
    </font>
    <font>
      <sz val="11"/>
      <color rgb="FF0563C1"/>
      <name val="Carlito"/>
    </font>
    <font>
      <i/>
      <sz val="11"/>
      <name val="Carlito"/>
    </font>
    <font>
      <b/>
      <sz val="11"/>
      <color rgb="FFC00000"/>
      <name val="Carlito"/>
    </font>
    <font>
      <b/>
      <sz val="13"/>
      <color rgb="FFFFFFFF"/>
      <name val="Carlito"/>
    </font>
  </fonts>
  <fills count="16">
    <fill>
      <patternFill patternType="none"/>
    </fill>
    <fill>
      <patternFill patternType="gray125"/>
    </fill>
    <fill>
      <patternFill patternType="solid">
        <fgColor rgb="FF17365D"/>
      </patternFill>
    </fill>
    <fill>
      <patternFill patternType="solid">
        <fgColor rgb="FF1F4E78"/>
      </patternFill>
    </fill>
    <fill>
      <patternFill patternType="solid">
        <fgColor rgb="FFFFF2CC"/>
      </patternFill>
    </fill>
    <fill>
      <patternFill patternType="solid">
        <fgColor rgb="FFD9EAF7"/>
      </patternFill>
    </fill>
    <fill>
      <patternFill patternType="solid">
        <fgColor rgb="FFE7E6E6"/>
      </patternFill>
    </fill>
    <fill>
      <patternFill patternType="solid">
        <fgColor rgb="FF17365D"/>
      </patternFill>
    </fill>
    <fill>
      <patternFill patternType="solid">
        <fgColor rgb="FFD9EAF7"/>
      </patternFill>
    </fill>
    <fill>
      <patternFill patternType="solid">
        <fgColor rgb="FF1F4E78"/>
      </patternFill>
    </fill>
    <fill>
      <patternFill patternType="solid">
        <fgColor rgb="FFE7E6E6"/>
      </patternFill>
    </fill>
    <fill>
      <patternFill patternType="solid">
        <fgColor rgb="FFE2F0D9"/>
      </patternFill>
    </fill>
    <fill>
      <patternFill patternType="solid">
        <fgColor rgb="FFF4CCCC"/>
      </patternFill>
    </fill>
    <fill>
      <patternFill patternType="solid">
        <fgColor rgb="FFFCE4D6"/>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57">
    <xf numFmtId="0" fontId="0" fillId="0" borderId="0" xfId="0"/>
    <xf numFmtId="0" fontId="0" fillId="0" borderId="0" xfId="0" applyAlignment="1">
      <alignment wrapText="1"/>
    </xf>
    <xf numFmtId="164" fontId="0" fillId="0" borderId="0" xfId="0" applyNumberFormat="1"/>
    <xf numFmtId="10" fontId="0" fillId="0" borderId="0" xfId="0" applyNumberFormat="1"/>
    <xf numFmtId="166" fontId="0" fillId="0" borderId="0" xfId="0" applyNumberFormat="1"/>
    <xf numFmtId="0" fontId="2" fillId="3" borderId="0" xfId="0" applyFont="1" applyFill="1" applyAlignment="1">
      <alignment horizontal="center" vertical="center" wrapText="1"/>
    </xf>
    <xf numFmtId="0" fontId="0" fillId="0" borderId="0" xfId="0" applyAlignment="1">
      <alignment vertical="center"/>
    </xf>
    <xf numFmtId="0" fontId="0" fillId="0" borderId="0" xfId="0" applyAlignment="1">
      <alignment vertical="center" wrapText="1"/>
    </xf>
    <xf numFmtId="164" fontId="3" fillId="4" borderId="0" xfId="0" applyNumberFormat="1" applyFont="1" applyFill="1" applyAlignment="1">
      <alignment vertical="center"/>
    </xf>
    <xf numFmtId="166" fontId="0" fillId="0" borderId="0" xfId="0" applyNumberFormat="1" applyAlignment="1">
      <alignment vertical="center"/>
    </xf>
    <xf numFmtId="10" fontId="0" fillId="0" borderId="0" xfId="0" applyNumberFormat="1" applyAlignment="1">
      <alignment vertical="center"/>
    </xf>
    <xf numFmtId="164" fontId="0" fillId="0" borderId="0" xfId="0" applyNumberFormat="1" applyAlignment="1">
      <alignment vertical="center"/>
    </xf>
    <xf numFmtId="164" fontId="4" fillId="0" borderId="0" xfId="0" applyNumberFormat="1" applyFont="1" applyAlignment="1">
      <alignment vertical="center"/>
    </xf>
    <xf numFmtId="165" fontId="3" fillId="4" borderId="0" xfId="0" applyNumberFormat="1" applyFont="1" applyFill="1" applyAlignment="1">
      <alignment vertical="center"/>
    </xf>
    <xf numFmtId="164" fontId="4" fillId="4" borderId="0" xfId="0" applyNumberFormat="1" applyFont="1" applyFill="1" applyAlignment="1">
      <alignment vertical="center"/>
    </xf>
    <xf numFmtId="10" fontId="4" fillId="0" borderId="0" xfId="0" applyNumberFormat="1" applyFont="1" applyAlignment="1">
      <alignment vertical="center"/>
    </xf>
    <xf numFmtId="10" fontId="3" fillId="4" borderId="0" xfId="0" applyNumberFormat="1" applyFont="1" applyFill="1" applyAlignment="1">
      <alignment vertical="center"/>
    </xf>
    <xf numFmtId="167" fontId="3" fillId="0" borderId="0" xfId="0" applyNumberFormat="1" applyFont="1" applyAlignment="1">
      <alignment vertical="center"/>
    </xf>
    <xf numFmtId="1" fontId="3" fillId="0" borderId="0" xfId="0" applyNumberFormat="1" applyFont="1" applyAlignment="1">
      <alignment vertical="center"/>
    </xf>
    <xf numFmtId="1" fontId="4" fillId="0" borderId="0" xfId="0" applyNumberFormat="1" applyFont="1" applyAlignment="1">
      <alignment vertical="center"/>
    </xf>
    <xf numFmtId="0" fontId="4" fillId="0" borderId="0" xfId="0" applyFont="1" applyAlignment="1">
      <alignment vertical="center"/>
    </xf>
    <xf numFmtId="0" fontId="0" fillId="5" borderId="0" xfId="0" applyFill="1" applyAlignment="1">
      <alignment vertical="center" wrapText="1"/>
    </xf>
    <xf numFmtId="0" fontId="5" fillId="0" borderId="0" xfId="0" applyFont="1" applyAlignment="1">
      <alignment vertical="center"/>
    </xf>
    <xf numFmtId="167" fontId="5" fillId="0" borderId="0" xfId="0" applyNumberFormat="1" applyFont="1" applyAlignment="1">
      <alignment vertical="center"/>
    </xf>
    <xf numFmtId="0" fontId="6" fillId="6" borderId="0" xfId="0" applyFont="1" applyFill="1" applyAlignment="1">
      <alignment horizontal="center" vertical="center"/>
    </xf>
    <xf numFmtId="0" fontId="6" fillId="5"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wrapText="1"/>
    </xf>
    <xf numFmtId="0" fontId="0" fillId="4" borderId="0" xfId="0" applyFill="1" applyAlignment="1">
      <alignment vertical="center" wrapText="1"/>
    </xf>
    <xf numFmtId="0" fontId="2" fillId="9" borderId="0" xfId="0" applyFont="1" applyFill="1" applyAlignment="1">
      <alignment horizontal="center" vertical="center" wrapText="1"/>
    </xf>
    <xf numFmtId="0" fontId="0" fillId="10" borderId="0" xfId="0" applyFill="1"/>
    <xf numFmtId="0" fontId="6" fillId="10" borderId="0" xfId="0" applyFont="1" applyFill="1" applyAlignment="1">
      <alignment horizontal="center"/>
    </xf>
    <xf numFmtId="166" fontId="6" fillId="11" borderId="0" xfId="0" applyNumberFormat="1" applyFont="1" applyFill="1"/>
    <xf numFmtId="166" fontId="9" fillId="12" borderId="0" xfId="0" applyNumberFormat="1" applyFont="1" applyFill="1"/>
    <xf numFmtId="166" fontId="6" fillId="13" borderId="0" xfId="0" applyNumberFormat="1" applyFont="1" applyFill="1"/>
    <xf numFmtId="164" fontId="6" fillId="11" borderId="0" xfId="0" applyNumberFormat="1" applyFont="1" applyFill="1"/>
    <xf numFmtId="164" fontId="9" fillId="12" borderId="0" xfId="0" applyNumberFormat="1" applyFont="1" applyFill="1"/>
    <xf numFmtId="164" fontId="6" fillId="13" borderId="0" xfId="0" applyNumberFormat="1" applyFont="1" applyFill="1"/>
    <xf numFmtId="0" fontId="6" fillId="10" borderId="0" xfId="0" applyFont="1" applyFill="1" applyAlignment="1">
      <alignment wrapText="1"/>
    </xf>
    <xf numFmtId="167" fontId="0" fillId="0" borderId="0" xfId="0" applyNumberFormat="1" applyAlignment="1">
      <alignment vertical="center"/>
    </xf>
    <xf numFmtId="167" fontId="0" fillId="5" borderId="0" xfId="0" applyNumberFormat="1" applyFill="1" applyAlignment="1">
      <alignment vertical="center" wrapText="1"/>
    </xf>
    <xf numFmtId="164" fontId="0" fillId="5" borderId="0" xfId="0" applyNumberFormat="1" applyFill="1" applyAlignment="1">
      <alignment vertical="center" wrapText="1"/>
    </xf>
    <xf numFmtId="167" fontId="3" fillId="5" borderId="0" xfId="0" applyNumberFormat="1" applyFont="1" applyFill="1" applyAlignment="1">
      <alignment vertical="center" wrapText="1"/>
    </xf>
    <xf numFmtId="1" fontId="3" fillId="5" borderId="0" xfId="0" applyNumberFormat="1" applyFont="1" applyFill="1" applyAlignment="1">
      <alignment vertical="center" wrapText="1"/>
    </xf>
    <xf numFmtId="1" fontId="4" fillId="5" borderId="0" xfId="0" applyNumberFormat="1" applyFont="1" applyFill="1" applyAlignment="1">
      <alignment vertical="center" wrapText="1"/>
    </xf>
    <xf numFmtId="0" fontId="4" fillId="5" borderId="0" xfId="0" applyFont="1" applyFill="1" applyAlignment="1">
      <alignment vertical="center" wrapText="1"/>
    </xf>
    <xf numFmtId="164" fontId="4" fillId="5" borderId="0" xfId="0" applyNumberFormat="1" applyFont="1" applyFill="1" applyAlignment="1">
      <alignment vertical="center" wrapText="1"/>
    </xf>
    <xf numFmtId="10" fontId="0" fillId="5" borderId="0" xfId="0" applyNumberFormat="1" applyFill="1" applyAlignment="1">
      <alignment vertical="center" wrapText="1"/>
    </xf>
    <xf numFmtId="0" fontId="2" fillId="9" borderId="0" xfId="0" applyFont="1" applyFill="1" applyAlignment="1">
      <alignment horizontal="center" vertical="center"/>
    </xf>
    <xf numFmtId="0" fontId="8" fillId="14" borderId="0" xfId="0" applyFont="1" applyFill="1" applyAlignment="1">
      <alignment vertical="top" wrapText="1"/>
    </xf>
    <xf numFmtId="0" fontId="10" fillId="7" borderId="0" xfId="0" applyFont="1" applyFill="1" applyAlignment="1">
      <alignment horizontal="center" vertical="center"/>
    </xf>
    <xf numFmtId="0" fontId="1" fillId="7" borderId="0" xfId="0" applyFont="1" applyFill="1" applyAlignment="1">
      <alignment horizontal="left" vertical="center"/>
    </xf>
    <xf numFmtId="0" fontId="8" fillId="8" borderId="0" xfId="0" applyFont="1" applyFill="1" applyAlignment="1">
      <alignment vertical="center" wrapText="1"/>
    </xf>
    <xf numFmtId="0" fontId="1" fillId="2" borderId="0" xfId="0" applyFont="1" applyFill="1" applyAlignment="1">
      <alignment horizontal="left" vertical="center"/>
    </xf>
    <xf numFmtId="0" fontId="0" fillId="0" borderId="0" xfId="0" applyAlignment="1">
      <alignment vertical="center" wrapText="1"/>
    </xf>
    <xf numFmtId="0" fontId="2" fillId="3" borderId="0" xfId="0" applyFont="1" applyFill="1" applyAlignment="1">
      <alignment horizontal="left" vertical="center"/>
    </xf>
    <xf numFmtId="0" fontId="0" fillId="15" borderId="0" xfId="0" applyFill="1" applyAlignment="1">
      <alignment vertical="top" wrapText="1"/>
    </xf>
  </cellXfs>
  <cellStyles count="1">
    <cellStyle name="Normal" xfId="0" builtinId="0"/>
  </cellStyles>
  <dxfs count="12">
    <dxf>
      <fill>
        <patternFill patternType="solid">
          <bgColor rgb="FFE2F0D9"/>
        </patternFill>
      </fill>
    </dxf>
    <dxf>
      <fill>
        <patternFill patternType="solid">
          <bgColor rgb="FFFCE4D6"/>
        </patternFill>
      </fill>
    </dxf>
    <dxf>
      <font>
        <b/>
        <color rgb="FFC00000"/>
      </font>
      <fill>
        <patternFill patternType="solid">
          <bgColor rgb="FFF4CCCC"/>
        </patternFill>
      </fill>
    </dxf>
    <dxf>
      <fill>
        <patternFill>
          <bgColor rgb="FFE2F0D9"/>
        </patternFill>
      </fill>
    </dxf>
    <dxf>
      <fill>
        <patternFill>
          <bgColor rgb="FFFCE4D6"/>
        </patternFill>
      </fill>
    </dxf>
    <dxf>
      <font>
        <b/>
        <color rgb="FFC00000"/>
      </font>
      <fill>
        <patternFill>
          <bgColor rgb="FFF4CCCC"/>
        </patternFill>
      </fill>
    </dxf>
    <dxf>
      <fill>
        <patternFill patternType="solid">
          <bgColor rgb="FFE2F0D9"/>
        </patternFill>
      </fill>
    </dxf>
    <dxf>
      <fill>
        <patternFill patternType="solid">
          <bgColor rgb="FFFCE4D6"/>
        </patternFill>
      </fill>
    </dxf>
    <dxf>
      <font>
        <b/>
        <color rgb="FFC00000"/>
      </font>
      <fill>
        <patternFill patternType="solid">
          <bgColor rgb="FFF4CCCC"/>
        </patternFill>
      </fill>
    </dxf>
    <dxf>
      <fill>
        <patternFill>
          <bgColor rgb="FFE2F0D9"/>
        </patternFill>
      </fill>
    </dxf>
    <dxf>
      <fill>
        <patternFill>
          <bgColor rgb="FFFCE4D6"/>
        </patternFill>
      </fill>
    </dxf>
    <dxf>
      <font>
        <b/>
        <color rgb="FFC0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Costo total según umbral</a:t>
            </a:r>
          </a:p>
        </c:rich>
      </c:tx>
      <c:overlay val="0"/>
    </c:title>
    <c:autoTitleDeleted val="0"/>
    <c:plotArea>
      <c:layout/>
      <c:lineChart>
        <c:grouping val="standard"/>
        <c:varyColors val="0"/>
        <c:ser>
          <c:idx val="0"/>
          <c:order val="0"/>
          <c:tx>
            <c:v>Costo total ($)</c:v>
          </c:tx>
          <c:cat>
            <c:strRef>
              <c:f>'2_Costos_fijos'!$J$50:$J$60</c:f>
              <c:strCache>
                <c:ptCount val="11"/>
                <c:pt idx="0">
                  <c:v>0.0%</c:v>
                </c:pt>
                <c:pt idx="1">
                  <c:v>2.0%</c:v>
                </c:pt>
                <c:pt idx="2">
                  <c:v>4.0%</c:v>
                </c:pt>
                <c:pt idx="3">
                  <c:v>6.0%</c:v>
                </c:pt>
                <c:pt idx="4">
                  <c:v>8.0%</c:v>
                </c:pt>
                <c:pt idx="5">
                  <c:v>10.0%</c:v>
                </c:pt>
                <c:pt idx="6">
                  <c:v>12.0%</c:v>
                </c:pt>
                <c:pt idx="7">
                  <c:v>14.0%</c:v>
                </c:pt>
                <c:pt idx="8">
                  <c:v>16.0%</c:v>
                </c:pt>
                <c:pt idx="9">
                  <c:v>18.0%</c:v>
                </c:pt>
                <c:pt idx="10">
                  <c:v>20.0%</c:v>
                </c:pt>
              </c:strCache>
            </c:strRef>
          </c:cat>
          <c:val>
            <c:numRef>
              <c:f>'2_Costos_fijos'!$K$50:$K$60</c:f>
              <c:numCache>
                <c:formatCode>\$#,##0.00;[Red]\(\$#,##0.00\);\-</c:formatCode>
                <c:ptCount val="11"/>
                <c:pt idx="0">
                  <c:v>500</c:v>
                </c:pt>
                <c:pt idx="1">
                  <c:v>520</c:v>
                </c:pt>
                <c:pt idx="2">
                  <c:v>505</c:v>
                </c:pt>
                <c:pt idx="3">
                  <c:v>505</c:v>
                </c:pt>
                <c:pt idx="4">
                  <c:v>500</c:v>
                </c:pt>
                <c:pt idx="5">
                  <c:v>500</c:v>
                </c:pt>
                <c:pt idx="6">
                  <c:v>500</c:v>
                </c:pt>
                <c:pt idx="7">
                  <c:v>500</c:v>
                </c:pt>
                <c:pt idx="8">
                  <c:v>500</c:v>
                </c:pt>
                <c:pt idx="9">
                  <c:v>500</c:v>
                </c:pt>
                <c:pt idx="10">
                  <c:v>500</c:v>
                </c:pt>
              </c:numCache>
            </c:numRef>
          </c:val>
          <c:smooth val="0"/>
          <c:extLst>
            <c:ext xmlns:c16="http://schemas.microsoft.com/office/drawing/2014/chart" uri="{C3380CC4-5D6E-409C-BE32-E72D297353CC}">
              <c16:uniqueId val="{00000000-D0B7-4D84-9B42-64C2CD21973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Costo con un único umbral global</a:t>
            </a:r>
          </a:p>
        </c:rich>
      </c:tx>
      <c:overlay val="0"/>
    </c:title>
    <c:autoTitleDeleted val="0"/>
    <c:plotArea>
      <c:layout/>
      <c:lineChart>
        <c:grouping val="standard"/>
        <c:varyColors val="0"/>
        <c:ser>
          <c:idx val="0"/>
          <c:order val="0"/>
          <c:tx>
            <c:v>Costo total ($)</c:v>
          </c:tx>
          <c:cat>
            <c:strRef>
              <c:f>'3_Costo_por_monto'!$T$109:$T$119</c:f>
              <c:strCache>
                <c:ptCount val="11"/>
                <c:pt idx="0">
                  <c:v>0%</c:v>
                </c:pt>
                <c:pt idx="1">
                  <c:v>5%</c:v>
                </c:pt>
                <c:pt idx="2">
                  <c:v>10%</c:v>
                </c:pt>
                <c:pt idx="3">
                  <c:v>15%</c:v>
                </c:pt>
                <c:pt idx="4">
                  <c:v>20%</c:v>
                </c:pt>
                <c:pt idx="5">
                  <c:v>25%</c:v>
                </c:pt>
                <c:pt idx="6">
                  <c:v>30%</c:v>
                </c:pt>
                <c:pt idx="7">
                  <c:v>35%</c:v>
                </c:pt>
                <c:pt idx="8">
                  <c:v>40%</c:v>
                </c:pt>
                <c:pt idx="9">
                  <c:v>45%</c:v>
                </c:pt>
                <c:pt idx="10">
                  <c:v>50%</c:v>
                </c:pt>
              </c:strCache>
            </c:strRef>
          </c:cat>
          <c:val>
            <c:numRef>
              <c:f>'3_Costo_por_monto'!$U$109:$U$119</c:f>
              <c:numCache>
                <c:formatCode>\$#,##0.00;[Red]\(\$#,##0.00\);\-</c:formatCode>
                <c:ptCount val="11"/>
                <c:pt idx="0">
                  <c:v>500</c:v>
                </c:pt>
                <c:pt idx="1">
                  <c:v>1505</c:v>
                </c:pt>
                <c:pt idx="2">
                  <c:v>1500</c:v>
                </c:pt>
                <c:pt idx="3">
                  <c:v>1500</c:v>
                </c:pt>
                <c:pt idx="4">
                  <c:v>1500</c:v>
                </c:pt>
                <c:pt idx="5">
                  <c:v>1500</c:v>
                </c:pt>
                <c:pt idx="6">
                  <c:v>1500</c:v>
                </c:pt>
                <c:pt idx="7">
                  <c:v>1500</c:v>
                </c:pt>
                <c:pt idx="8">
                  <c:v>1500</c:v>
                </c:pt>
                <c:pt idx="9">
                  <c:v>1500</c:v>
                </c:pt>
                <c:pt idx="10">
                  <c:v>1500</c:v>
                </c:pt>
              </c:numCache>
            </c:numRef>
          </c:val>
          <c:smooth val="0"/>
          <c:extLst>
            <c:ext xmlns:c16="http://schemas.microsoft.com/office/drawing/2014/chart" uri="{C3380CC4-5D6E-409C-BE32-E72D297353CC}">
              <c16:uniqueId val="{00000000-32E6-443E-AF61-98E02F85F71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Red]\(\$#,##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0</xdr:colOff>
      <xdr:row>3</xdr:row>
      <xdr:rowOff>0</xdr:rowOff>
    </xdr:from>
    <xdr:to>
      <xdr:col>25</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0</xdr:colOff>
      <xdr:row>3</xdr:row>
      <xdr:rowOff>0</xdr:rowOff>
    </xdr:from>
    <xdr:to>
      <xdr:col>34</xdr:col>
      <xdr:colOff>0</xdr:colOff>
      <xdr:row>20</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123825</xdr:rowOff>
    </xdr:to>
    <xdr:sp macro="" textlink="">
      <xdr:nvSpPr>
        <xdr:cNvPr id="5121" name="AutoShape 1" descr="Costos asimétricos: tres diseños de decisión">
          <a:extLst>
            <a:ext uri="{FF2B5EF4-FFF2-40B4-BE49-F238E27FC236}">
              <a16:creationId xmlns:a16="http://schemas.microsoft.com/office/drawing/2014/main" id="{E827208B-BC52-7706-A0BA-315EF64C9C8D}"/>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123825</xdr:rowOff>
    </xdr:to>
    <xdr:sp macro="" textlink="">
      <xdr:nvSpPr>
        <xdr:cNvPr id="5122" name="AutoShape 2" descr="Costos asimétricos: tres diseños de decisión">
          <a:extLst>
            <a:ext uri="{FF2B5EF4-FFF2-40B4-BE49-F238E27FC236}">
              <a16:creationId xmlns:a16="http://schemas.microsoft.com/office/drawing/2014/main" id="{FDDFA5FC-8F93-5E4E-5BE6-DAA39EBFB0AC}"/>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123825</xdr:rowOff>
    </xdr:to>
    <xdr:sp macro="" textlink="">
      <xdr:nvSpPr>
        <xdr:cNvPr id="5123" name="AutoShape 3" descr="Costos asimétricos: tres diseños de decisión">
          <a:extLst>
            <a:ext uri="{FF2B5EF4-FFF2-40B4-BE49-F238E27FC236}">
              <a16:creationId xmlns:a16="http://schemas.microsoft.com/office/drawing/2014/main" id="{F03E2396-982C-C089-4A28-21CE06480B25}"/>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18</xdr:col>
      <xdr:colOff>135092</xdr:colOff>
      <xdr:row>40</xdr:row>
      <xdr:rowOff>960</xdr:rowOff>
    </xdr:to>
    <xdr:pic>
      <xdr:nvPicPr>
        <xdr:cNvPr id="2" name="Picture 1">
          <a:extLst>
            <a:ext uri="{FF2B5EF4-FFF2-40B4-BE49-F238E27FC236}">
              <a16:creationId xmlns:a16="http://schemas.microsoft.com/office/drawing/2014/main" id="{9A173815-2FC9-8494-D35E-BAA411555B8B}"/>
            </a:ext>
          </a:extLst>
        </xdr:cNvPr>
        <xdr:cNvPicPr>
          <a:picLocks noChangeAspect="1"/>
        </xdr:cNvPicPr>
      </xdr:nvPicPr>
      <xdr:blipFill>
        <a:blip xmlns:r="http://schemas.openxmlformats.org/officeDocument/2006/relationships" r:embed="rId1"/>
        <a:stretch>
          <a:fillRect/>
        </a:stretch>
      </xdr:blipFill>
      <xdr:spPr>
        <a:xfrm>
          <a:off x="0" y="361950"/>
          <a:ext cx="12479492" cy="687801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stosFijosData" displayName="CostosFijosData" ref="A16:G116">
  <tableColumns count="7">
    <tableColumn id="1" xr3:uid="{00000000-0010-0000-0000-000001000000}" name="ID"/>
    <tableColumn id="2" xr3:uid="{00000000-0010-0000-0000-000002000000}" name="Prob. fraude estimada"/>
    <tableColumn id="3" xr3:uid="{00000000-0010-0000-0000-000003000000}" name="Fraude real (1/0)"/>
    <tableColumn id="4" xr3:uid="{00000000-0010-0000-0000-000004000000}" name="Predicción"/>
    <tableColumn id="5" xr3:uid="{00000000-0010-0000-0000-000005000000}" name="Resultado"/>
    <tableColumn id="6" xr3:uid="{00000000-0010-0000-0000-000006000000}" name="Costo realizado ($)"/>
    <tableColumn id="7" xr3:uid="{00000000-0010-0000-0000-000007000000}" name="Comentari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CostosPorMontoData" displayName="CostosPorMontoData" ref="A16:R116">
  <tableColumns count="18">
    <tableColumn id="1" xr3:uid="{00000000-0010-0000-0100-000001000000}" name="ID"/>
    <tableColumn id="2" xr3:uid="{00000000-0010-0000-0100-000002000000}" name="Monto ($)"/>
    <tableColumn id="3" xr3:uid="{00000000-0010-0000-0100-000003000000}" name="Prob. fraude estimada"/>
    <tableColumn id="4" xr3:uid="{00000000-0010-0000-0100-000004000000}" name="Fraude real"/>
    <tableColumn id="5" xr3:uid="{00000000-0010-0000-0100-000005000000}" name="CTPᵢ ($)"/>
    <tableColumn id="6" xr3:uid="{00000000-0010-0000-0100-000006000000}" name="CFPᵢ ($)"/>
    <tableColumn id="7" xr3:uid="{00000000-0010-0000-0100-000007000000}" name="CFNᵢ ($)"/>
    <tableColumn id="8" xr3:uid="{00000000-0010-0000-0100-000008000000}" name="CTNᵢ ($)"/>
    <tableColumn id="9" xr3:uid="{00000000-0010-0000-0100-000009000000}" name="Riesgo si alerta"/>
    <tableColumn id="10" xr3:uid="{00000000-0010-0000-0100-00000A000000}" name="Riesgo si deja pasar"/>
    <tableColumn id="11" xr3:uid="{00000000-0010-0000-0100-00000B000000}" name="Umbral individual"/>
    <tableColumn id="12" xr3:uid="{00000000-0010-0000-0100-00000C000000}" name="Decisión Bayes"/>
    <tableColumn id="13" xr3:uid="{00000000-0010-0000-0100-00000D000000}" name="Costo Bayes ($)"/>
    <tableColumn id="14" xr3:uid="{00000000-0010-0000-0100-00000E000000}" name="Pred. 50%"/>
    <tableColumn id="15" xr3:uid="{00000000-0010-0000-0100-00000F000000}" name="Costo 50% ($)"/>
    <tableColumn id="16" xr3:uid="{00000000-0010-0000-0100-000010000000}" name="Pred. umbral global"/>
    <tableColumn id="17" xr3:uid="{00000000-0010-0000-0100-000011000000}" name="Costo global ($)"/>
    <tableColumn id="18" xr3:uid="{00000000-0010-0000-0100-000012000000}" name="Resultado Bay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topLeftCell="A16" workbookViewId="0">
      <selection activeCell="B27" sqref="B27"/>
    </sheetView>
  </sheetViews>
  <sheetFormatPr defaultRowHeight="14.25"/>
  <cols>
    <col min="1" max="1" width="22" customWidth="1"/>
    <col min="2" max="2" width="26" customWidth="1"/>
    <col min="3" max="3" width="17" customWidth="1"/>
    <col min="4" max="4" width="18" customWidth="1"/>
    <col min="5" max="5" width="3" customWidth="1"/>
    <col min="6" max="6" width="22" customWidth="1"/>
    <col min="7" max="8" width="15" customWidth="1"/>
    <col min="9" max="9" width="22" customWidth="1"/>
    <col min="10" max="10" width="3" customWidth="1"/>
    <col min="11" max="11" width="22" customWidth="1"/>
    <col min="12" max="13" width="16" customWidth="1"/>
    <col min="14" max="14" width="18" customWidth="1"/>
  </cols>
  <sheetData>
    <row r="1" spans="1:14" ht="20.25">
      <c r="A1" s="51" t="s">
        <v>232</v>
      </c>
      <c r="B1" s="51"/>
      <c r="C1" s="51"/>
      <c r="D1" s="51"/>
      <c r="E1" s="51"/>
      <c r="F1" s="51"/>
      <c r="G1" s="51"/>
      <c r="H1" s="51"/>
      <c r="I1" s="51"/>
      <c r="J1" s="51"/>
      <c r="K1" s="51"/>
      <c r="L1" s="51"/>
      <c r="M1" s="51"/>
      <c r="N1" s="51"/>
    </row>
    <row r="2" spans="1:14" ht="33.950000000000003" customHeight="1">
      <c r="A2" s="52" t="s">
        <v>233</v>
      </c>
      <c r="B2" s="52"/>
      <c r="C2" s="52"/>
      <c r="D2" s="52"/>
      <c r="E2" s="52"/>
      <c r="F2" s="52"/>
      <c r="G2" s="52"/>
      <c r="H2" s="52"/>
      <c r="I2" s="52"/>
      <c r="J2" s="52"/>
      <c r="K2" s="52"/>
      <c r="L2" s="52"/>
      <c r="M2" s="52"/>
      <c r="N2" s="52"/>
    </row>
    <row r="4" spans="1:14" ht="15">
      <c r="A4" s="29" t="s">
        <v>234</v>
      </c>
      <c r="B4" s="29" t="s">
        <v>235</v>
      </c>
    </row>
    <row r="5" spans="1:14">
      <c r="A5" s="30" t="s">
        <v>236</v>
      </c>
      <c r="B5" s="3">
        <f>'2_Costos_fijos'!B13</f>
        <v>0.01</v>
      </c>
    </row>
    <row r="6" spans="1:14">
      <c r="A6" s="30" t="s">
        <v>237</v>
      </c>
      <c r="B6" s="2">
        <f>'2_Costos_fijos'!B6</f>
        <v>5</v>
      </c>
    </row>
    <row r="7" spans="1:14">
      <c r="A7" s="30" t="s">
        <v>238</v>
      </c>
      <c r="B7" s="2">
        <f>'2_Costos_fijos'!B7</f>
        <v>5</v>
      </c>
    </row>
    <row r="8" spans="1:14">
      <c r="A8" s="30" t="s">
        <v>239</v>
      </c>
      <c r="B8" s="2">
        <f>'2_Costos_fijos'!B9</f>
        <v>500</v>
      </c>
    </row>
    <row r="10" spans="1:14" ht="15">
      <c r="A10" s="48" t="s">
        <v>240</v>
      </c>
      <c r="B10" s="48"/>
      <c r="C10" s="48"/>
      <c r="D10" s="48"/>
      <c r="F10" s="48" t="s">
        <v>241</v>
      </c>
      <c r="G10" s="48"/>
      <c r="H10" s="48"/>
      <c r="I10" s="48"/>
      <c r="K10" s="48" t="s">
        <v>242</v>
      </c>
      <c r="L10" s="48"/>
      <c r="M10" s="48"/>
      <c r="N10" s="48"/>
    </row>
    <row r="11" spans="1:14" ht="15">
      <c r="A11" s="29" t="s">
        <v>243</v>
      </c>
      <c r="B11" s="29" t="s">
        <v>244</v>
      </c>
      <c r="C11" s="29" t="s">
        <v>245</v>
      </c>
      <c r="D11" s="29" t="s">
        <v>246</v>
      </c>
      <c r="F11" s="29" t="s">
        <v>247</v>
      </c>
      <c r="G11" s="29" t="s">
        <v>244</v>
      </c>
      <c r="H11" s="29" t="s">
        <v>245</v>
      </c>
      <c r="I11" s="29" t="s">
        <v>248</v>
      </c>
      <c r="K11" s="29" t="s">
        <v>247</v>
      </c>
      <c r="L11" s="29" t="s">
        <v>244</v>
      </c>
      <c r="M11" s="29" t="s">
        <v>245</v>
      </c>
      <c r="N11" s="29" t="s">
        <v>246</v>
      </c>
    </row>
    <row r="12" spans="1:14" ht="15">
      <c r="A12" s="31" t="s">
        <v>249</v>
      </c>
      <c r="B12" s="32">
        <f>'2_Costos_fijos'!F5</f>
        <v>1</v>
      </c>
      <c r="C12" s="33">
        <f>'2_Costos_fijos'!F7</f>
        <v>0</v>
      </c>
      <c r="D12" s="4">
        <f>SUM(B12:C12)</f>
        <v>1</v>
      </c>
      <c r="F12" s="31" t="s">
        <v>249</v>
      </c>
      <c r="G12" s="35">
        <f>'2_Costos_fijos'!B6</f>
        <v>5</v>
      </c>
      <c r="H12" s="36">
        <f>'2_Costos_fijos'!B9</f>
        <v>500</v>
      </c>
      <c r="I12" s="1" t="s">
        <v>250</v>
      </c>
      <c r="K12" s="31" t="s">
        <v>249</v>
      </c>
      <c r="L12" s="35">
        <f>B12*G12</f>
        <v>5</v>
      </c>
      <c r="M12" s="36">
        <f>C12*H12</f>
        <v>0</v>
      </c>
      <c r="N12" s="2">
        <f>SUM(L12:M12)</f>
        <v>5</v>
      </c>
    </row>
    <row r="13" spans="1:14" ht="15">
      <c r="A13" s="31" t="s">
        <v>251</v>
      </c>
      <c r="B13" s="34">
        <f>'2_Costos_fijos'!F6</f>
        <v>13</v>
      </c>
      <c r="C13" s="32">
        <f>'2_Costos_fijos'!F8</f>
        <v>86</v>
      </c>
      <c r="D13" s="4">
        <f>SUM(B13:C13)</f>
        <v>99</v>
      </c>
      <c r="F13" s="31" t="s">
        <v>251</v>
      </c>
      <c r="G13" s="37">
        <f>'2_Costos_fijos'!B7</f>
        <v>5</v>
      </c>
      <c r="H13" s="35">
        <f>'2_Costos_fijos'!B10</f>
        <v>0</v>
      </c>
      <c r="I13" s="1" t="s">
        <v>252</v>
      </c>
      <c r="K13" s="31" t="s">
        <v>251</v>
      </c>
      <c r="L13" s="37">
        <f>B13*G13</f>
        <v>65</v>
      </c>
      <c r="M13" s="35">
        <f>C13*H13</f>
        <v>0</v>
      </c>
      <c r="N13" s="2">
        <f>SUM(L13:M13)</f>
        <v>65</v>
      </c>
    </row>
    <row r="14" spans="1:14" ht="15">
      <c r="A14" s="31" t="s">
        <v>253</v>
      </c>
      <c r="B14" s="4">
        <f>SUM(B12:B13)</f>
        <v>14</v>
      </c>
      <c r="C14" s="4">
        <f>SUM(C12:C13)</f>
        <v>86</v>
      </c>
      <c r="D14" s="4">
        <f>SUM(B12:C13)</f>
        <v>100</v>
      </c>
      <c r="F14" s="31" t="s">
        <v>254</v>
      </c>
      <c r="G14" t="s">
        <v>255</v>
      </c>
      <c r="H14" t="s">
        <v>255</v>
      </c>
      <c r="I14" s="1"/>
      <c r="K14" s="31" t="s">
        <v>256</v>
      </c>
      <c r="L14" s="2">
        <f>SUM(L12:L13)</f>
        <v>70</v>
      </c>
      <c r="M14" s="2">
        <f>SUM(M12:M13)</f>
        <v>0</v>
      </c>
      <c r="N14" s="2">
        <f>SUM(L12:M13)</f>
        <v>70</v>
      </c>
    </row>
    <row r="16" spans="1:14" ht="15">
      <c r="A16" s="29" t="s">
        <v>257</v>
      </c>
      <c r="B16" s="29" t="s">
        <v>258</v>
      </c>
      <c r="C16" s="29" t="s">
        <v>259</v>
      </c>
      <c r="D16" s="29" t="s">
        <v>260</v>
      </c>
      <c r="F16" s="48" t="s">
        <v>261</v>
      </c>
      <c r="G16" s="48"/>
      <c r="H16" s="48"/>
      <c r="I16" s="48"/>
      <c r="K16" s="48" t="s">
        <v>262</v>
      </c>
      <c r="L16" s="48"/>
      <c r="M16" s="48"/>
      <c r="N16" s="48"/>
    </row>
    <row r="17" spans="1:14" ht="28.5">
      <c r="A17" s="1" t="s">
        <v>263</v>
      </c>
      <c r="B17" s="1" t="s">
        <v>6</v>
      </c>
      <c r="C17" s="1" t="s">
        <v>264</v>
      </c>
      <c r="D17" s="1" t="s">
        <v>265</v>
      </c>
      <c r="F17" s="30" t="s">
        <v>10</v>
      </c>
      <c r="G17" s="3">
        <f>IFERROR((B12+C13)/D14,0)</f>
        <v>0.87</v>
      </c>
      <c r="K17" s="30" t="s">
        <v>266</v>
      </c>
      <c r="L17" s="2">
        <f>N14</f>
        <v>70</v>
      </c>
    </row>
    <row r="18" spans="1:14" ht="28.5">
      <c r="A18" s="1" t="s">
        <v>267</v>
      </c>
      <c r="B18" s="1" t="s">
        <v>8</v>
      </c>
      <c r="C18" s="1" t="s">
        <v>268</v>
      </c>
      <c r="D18" s="1" t="s">
        <v>269</v>
      </c>
      <c r="F18" s="30" t="s">
        <v>270</v>
      </c>
      <c r="G18" s="3">
        <f>IFERROR(B12/D12,0)</f>
        <v>1</v>
      </c>
      <c r="K18" s="30" t="s">
        <v>271</v>
      </c>
      <c r="L18" s="2">
        <f>IFERROR(N14/D14,0)</f>
        <v>0.7</v>
      </c>
    </row>
    <row r="19" spans="1:14" ht="42.75">
      <c r="A19" s="1" t="s">
        <v>272</v>
      </c>
      <c r="B19" s="1" t="s">
        <v>7</v>
      </c>
      <c r="C19" s="1" t="s">
        <v>273</v>
      </c>
      <c r="D19" s="1" t="s">
        <v>269</v>
      </c>
      <c r="F19" s="30" t="s">
        <v>35</v>
      </c>
      <c r="G19" s="3">
        <f>IFERROR(B12/B14,0)</f>
        <v>7.1428571428571425E-2</v>
      </c>
      <c r="K19" s="30" t="s">
        <v>274</v>
      </c>
      <c r="L19" s="2">
        <f>'2_Costos_fijos'!F9</f>
        <v>500</v>
      </c>
    </row>
    <row r="20" spans="1:14" ht="42.75">
      <c r="A20" s="1" t="s">
        <v>275</v>
      </c>
      <c r="B20" s="1" t="s">
        <v>9</v>
      </c>
      <c r="C20" s="1" t="s">
        <v>276</v>
      </c>
      <c r="D20" s="1" t="s">
        <v>265</v>
      </c>
      <c r="F20" s="30" t="s">
        <v>277</v>
      </c>
      <c r="G20" s="3">
        <f>IFERROR(B13/D13,0)</f>
        <v>0.13131313131313133</v>
      </c>
      <c r="K20" s="30" t="s">
        <v>27</v>
      </c>
      <c r="L20" s="3">
        <f>IFERROR(1-L17/L19,0)</f>
        <v>0.86</v>
      </c>
    </row>
    <row r="23" spans="1:14" ht="15">
      <c r="A23" s="48" t="s">
        <v>278</v>
      </c>
      <c r="B23" s="48"/>
      <c r="C23" s="48"/>
      <c r="D23" s="48"/>
      <c r="E23" s="48"/>
      <c r="F23" s="48"/>
      <c r="G23" s="48"/>
      <c r="H23" s="48"/>
      <c r="I23" s="48"/>
      <c r="J23" s="48"/>
      <c r="K23" s="48"/>
      <c r="L23" s="48"/>
      <c r="M23" s="48"/>
      <c r="N23" s="48"/>
    </row>
    <row r="24" spans="1:14" ht="15">
      <c r="A24" s="29" t="s">
        <v>279</v>
      </c>
      <c r="B24" s="29" t="s">
        <v>280</v>
      </c>
      <c r="D24" s="49" t="s">
        <v>281</v>
      </c>
      <c r="E24" s="49"/>
      <c r="F24" s="49"/>
      <c r="G24" s="49"/>
      <c r="H24" s="49"/>
      <c r="I24" s="49"/>
      <c r="J24" s="49"/>
      <c r="K24" s="49"/>
      <c r="L24" s="49"/>
      <c r="M24" s="49"/>
      <c r="N24" s="49"/>
    </row>
    <row r="25" spans="1:14" ht="30">
      <c r="A25" s="38" t="s">
        <v>282</v>
      </c>
      <c r="B25" s="1" t="s">
        <v>283</v>
      </c>
      <c r="D25" s="49"/>
      <c r="E25" s="49"/>
      <c r="F25" s="49"/>
      <c r="G25" s="49"/>
      <c r="H25" s="49"/>
      <c r="I25" s="49"/>
      <c r="J25" s="49"/>
      <c r="K25" s="49"/>
      <c r="L25" s="49"/>
      <c r="M25" s="49"/>
      <c r="N25" s="49"/>
    </row>
    <row r="26" spans="1:14" ht="30">
      <c r="A26" s="38" t="s">
        <v>284</v>
      </c>
      <c r="B26" s="1" t="s">
        <v>285</v>
      </c>
      <c r="D26" s="49"/>
      <c r="E26" s="49"/>
      <c r="F26" s="49"/>
      <c r="G26" s="49"/>
      <c r="H26" s="49"/>
      <c r="I26" s="49"/>
      <c r="J26" s="49"/>
      <c r="K26" s="49"/>
      <c r="L26" s="49"/>
      <c r="M26" s="49"/>
      <c r="N26" s="49"/>
    </row>
    <row r="27" spans="1:14" ht="57.75">
      <c r="A27" s="38" t="s">
        <v>286</v>
      </c>
      <c r="B27" s="1" t="s">
        <v>287</v>
      </c>
      <c r="D27" s="49"/>
      <c r="E27" s="49"/>
      <c r="F27" s="49"/>
      <c r="G27" s="49"/>
      <c r="H27" s="49"/>
      <c r="I27" s="49"/>
      <c r="J27" s="49"/>
      <c r="K27" s="49"/>
      <c r="L27" s="49"/>
      <c r="M27" s="49"/>
      <c r="N27" s="49"/>
    </row>
    <row r="28" spans="1:14" ht="45">
      <c r="A28" s="38" t="s">
        <v>288</v>
      </c>
      <c r="B28" s="1" t="s">
        <v>289</v>
      </c>
      <c r="D28" s="49"/>
      <c r="E28" s="49"/>
      <c r="F28" s="49"/>
      <c r="G28" s="49"/>
      <c r="H28" s="49"/>
      <c r="I28" s="49"/>
      <c r="J28" s="49"/>
      <c r="K28" s="49"/>
      <c r="L28" s="49"/>
      <c r="M28" s="49"/>
      <c r="N28" s="49"/>
    </row>
    <row r="31" spans="1:14" ht="26.1" customHeight="1">
      <c r="A31" s="50" t="s">
        <v>290</v>
      </c>
      <c r="B31" s="50"/>
      <c r="C31" s="50"/>
      <c r="D31" s="50"/>
      <c r="E31" s="50"/>
      <c r="F31" s="50"/>
      <c r="G31" s="50"/>
      <c r="H31" s="50"/>
      <c r="I31" s="50"/>
      <c r="J31" s="50"/>
      <c r="K31" s="50"/>
      <c r="L31" s="50"/>
      <c r="M31" s="50"/>
      <c r="N31" s="50"/>
    </row>
  </sheetData>
  <mergeCells count="10">
    <mergeCell ref="A1:N1"/>
    <mergeCell ref="A2:N2"/>
    <mergeCell ref="A10:D10"/>
    <mergeCell ref="F10:I10"/>
    <mergeCell ref="K10:N10"/>
    <mergeCell ref="F16:I16"/>
    <mergeCell ref="K16:N16"/>
    <mergeCell ref="A23:N23"/>
    <mergeCell ref="D24:N28"/>
    <mergeCell ref="A31:N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2"/>
  <sheetViews>
    <sheetView topLeftCell="A107" workbookViewId="0">
      <selection activeCell="A119" sqref="A119:G122"/>
    </sheetView>
  </sheetViews>
  <sheetFormatPr defaultRowHeight="14.25"/>
  <cols>
    <col min="1" max="1" width="12" customWidth="1"/>
    <col min="2" max="2" width="19" customWidth="1"/>
    <col min="3" max="3" width="16" customWidth="1"/>
    <col min="4" max="4" width="13" customWidth="1"/>
    <col min="5" max="5" width="12" customWidth="1"/>
    <col min="6" max="6" width="18" customWidth="1"/>
    <col min="7" max="7" width="25" customWidth="1"/>
    <col min="10" max="10" width="12" customWidth="1"/>
    <col min="11" max="11" width="17" customWidth="1"/>
    <col min="12" max="15" width="9" customWidth="1"/>
    <col min="16" max="16" width="12" customWidth="1"/>
  </cols>
  <sheetData>
    <row r="1" spans="1:34" ht="27.95" customHeight="1">
      <c r="A1" s="53" t="s">
        <v>0</v>
      </c>
      <c r="B1" s="53"/>
      <c r="C1" s="53"/>
      <c r="D1" s="53"/>
      <c r="E1" s="53"/>
      <c r="F1" s="53"/>
      <c r="G1" s="53"/>
      <c r="H1" s="53"/>
      <c r="I1" s="53"/>
      <c r="J1" s="53"/>
      <c r="K1" s="53"/>
      <c r="L1" s="53"/>
      <c r="M1" s="53"/>
      <c r="N1" s="53"/>
      <c r="O1" s="53"/>
      <c r="P1" s="53"/>
      <c r="Q1" s="53"/>
      <c r="R1" s="53"/>
      <c r="S1" s="53"/>
      <c r="T1" s="53"/>
      <c r="U1" s="53"/>
      <c r="V1" s="53"/>
      <c r="W1" s="53"/>
      <c r="X1" s="53"/>
      <c r="Y1" s="53"/>
      <c r="Z1" s="6"/>
      <c r="AA1" s="6"/>
      <c r="AB1" s="6"/>
      <c r="AC1" s="6"/>
      <c r="AD1" s="6"/>
      <c r="AE1" s="6"/>
      <c r="AF1" s="6"/>
      <c r="AG1" s="6"/>
      <c r="AH1" s="6"/>
    </row>
    <row r="2" spans="1:34" ht="33.950000000000003" customHeight="1">
      <c r="A2" s="54" t="s">
        <v>1</v>
      </c>
      <c r="B2" s="54"/>
      <c r="C2" s="54"/>
      <c r="D2" s="54"/>
      <c r="E2" s="54"/>
      <c r="F2" s="54"/>
      <c r="G2" s="54"/>
      <c r="H2" s="54"/>
      <c r="I2" s="54"/>
      <c r="J2" s="54"/>
      <c r="K2" s="54"/>
      <c r="L2" s="54"/>
      <c r="M2" s="54"/>
      <c r="N2" s="54"/>
      <c r="O2" s="54"/>
      <c r="P2" s="54"/>
      <c r="Q2" s="54"/>
      <c r="R2" s="54"/>
      <c r="S2" s="54"/>
      <c r="T2" s="54"/>
      <c r="U2" s="54"/>
      <c r="V2" s="54"/>
      <c r="W2" s="54"/>
      <c r="X2" s="54"/>
      <c r="Y2" s="54"/>
      <c r="Z2" s="6"/>
      <c r="AA2" s="6"/>
      <c r="AB2" s="6"/>
      <c r="AC2" s="6"/>
      <c r="AD2" s="6"/>
      <c r="AE2" s="6"/>
      <c r="AF2" s="6"/>
      <c r="AG2" s="6"/>
      <c r="AH2" s="6"/>
    </row>
    <row r="3" spans="1:34">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ht="15">
      <c r="A4" s="55" t="s">
        <v>2</v>
      </c>
      <c r="B4" s="55"/>
      <c r="C4" s="55"/>
      <c r="D4" s="6"/>
      <c r="E4" s="55" t="s">
        <v>3</v>
      </c>
      <c r="F4" s="55"/>
      <c r="G4" s="55"/>
      <c r="H4" s="6"/>
      <c r="I4" s="6"/>
      <c r="J4" s="5" t="s">
        <v>4</v>
      </c>
      <c r="K4" s="5" t="s">
        <v>5</v>
      </c>
      <c r="L4" s="5" t="s">
        <v>6</v>
      </c>
      <c r="M4" s="5" t="s">
        <v>7</v>
      </c>
      <c r="N4" s="5" t="s">
        <v>8</v>
      </c>
      <c r="O4" s="5" t="s">
        <v>9</v>
      </c>
      <c r="P4" s="5" t="s">
        <v>10</v>
      </c>
      <c r="Q4" s="6"/>
      <c r="R4" s="6"/>
      <c r="S4" s="6"/>
      <c r="T4" s="6"/>
      <c r="U4" s="6"/>
      <c r="V4" s="6"/>
      <c r="W4" s="6"/>
      <c r="X4" s="6"/>
      <c r="Y4" s="6"/>
      <c r="Z4" s="6"/>
      <c r="AA4" s="6"/>
      <c r="AB4" s="6"/>
      <c r="AC4" s="6"/>
      <c r="AD4" s="6"/>
      <c r="AE4" s="6"/>
      <c r="AF4" s="6"/>
      <c r="AG4" s="6"/>
      <c r="AH4" s="6"/>
    </row>
    <row r="5" spans="1:34">
      <c r="A5" s="6" t="s">
        <v>11</v>
      </c>
      <c r="B5" s="8">
        <v>5</v>
      </c>
      <c r="C5" s="7" t="s">
        <v>12</v>
      </c>
      <c r="D5" s="6"/>
      <c r="E5" s="6" t="s">
        <v>6</v>
      </c>
      <c r="F5" s="9">
        <f>COUNTIFS($B$17:$B$116,"&gt;="&amp;$B$13,$C$17:$C$116,1)</f>
        <v>1</v>
      </c>
      <c r="G5" s="6"/>
      <c r="H5" s="6"/>
      <c r="I5" s="6"/>
      <c r="J5" s="10">
        <v>0</v>
      </c>
      <c r="K5" s="11">
        <f t="shared" ref="K5:K45" si="0">L5*$B$6+M5*$B$7+N5*$B$9+O5*$B$10</f>
        <v>500</v>
      </c>
      <c r="L5" s="9">
        <f t="shared" ref="L5:L45" si="1">COUNTIFS($B$17:$B$116,"&gt;="&amp;J5,$C$17:$C$116,1)</f>
        <v>1</v>
      </c>
      <c r="M5" s="9">
        <f t="shared" ref="M5:M45" si="2">COUNTIFS($B$17:$B$116,"&gt;="&amp;J5,$C$17:$C$116,0)</f>
        <v>99</v>
      </c>
      <c r="N5" s="9">
        <f t="shared" ref="N5:N45" si="3">COUNTIFS($B$17:$B$116,"&lt;"&amp;J5,$C$17:$C$116,1)</f>
        <v>0</v>
      </c>
      <c r="O5" s="9">
        <f t="shared" ref="O5:O45" si="4">COUNTIFS($B$17:$B$116,"&lt;"&amp;J5,$C$17:$C$116,0)</f>
        <v>0</v>
      </c>
      <c r="P5" s="10">
        <f t="shared" ref="P5:P45" si="5">IFERROR((L5+O5)/SUM(L5:O5),0)</f>
        <v>0.01</v>
      </c>
      <c r="Q5" s="6"/>
      <c r="R5" s="6"/>
      <c r="S5" s="6"/>
      <c r="T5" s="6"/>
      <c r="U5" s="6"/>
      <c r="V5" s="6"/>
      <c r="W5" s="6"/>
      <c r="X5" s="6"/>
      <c r="Y5" s="6"/>
      <c r="Z5" s="6"/>
      <c r="AA5" s="6"/>
      <c r="AB5" s="6"/>
      <c r="AC5" s="6"/>
      <c r="AD5" s="6"/>
      <c r="AE5" s="6"/>
      <c r="AF5" s="6"/>
      <c r="AG5" s="6"/>
      <c r="AH5" s="6"/>
    </row>
    <row r="6" spans="1:34" ht="28.5">
      <c r="A6" s="6" t="s">
        <v>13</v>
      </c>
      <c r="B6" s="12">
        <f>B5</f>
        <v>5</v>
      </c>
      <c r="C6" s="7" t="s">
        <v>14</v>
      </c>
      <c r="D6" s="6"/>
      <c r="E6" s="6" t="s">
        <v>7</v>
      </c>
      <c r="F6" s="9">
        <f>COUNTIFS($B$17:$B$116,"&gt;="&amp;$B$13,$C$17:$C$116,0)</f>
        <v>13</v>
      </c>
      <c r="G6" s="6"/>
      <c r="H6" s="6"/>
      <c r="I6" s="6"/>
      <c r="J6" s="10">
        <f t="shared" ref="J6:J45" si="6">J5+$B$14</f>
        <v>5.0000000000000001E-3</v>
      </c>
      <c r="K6" s="11">
        <f t="shared" si="0"/>
        <v>130</v>
      </c>
      <c r="L6" s="9">
        <f t="shared" si="1"/>
        <v>1</v>
      </c>
      <c r="M6" s="9">
        <f t="shared" si="2"/>
        <v>25</v>
      </c>
      <c r="N6" s="9">
        <f t="shared" si="3"/>
        <v>0</v>
      </c>
      <c r="O6" s="9">
        <f t="shared" si="4"/>
        <v>74</v>
      </c>
      <c r="P6" s="10">
        <f t="shared" si="5"/>
        <v>0.75</v>
      </c>
      <c r="Q6" s="6"/>
      <c r="R6" s="6"/>
      <c r="S6" s="6"/>
      <c r="T6" s="6"/>
      <c r="U6" s="6"/>
      <c r="V6" s="6"/>
      <c r="W6" s="6"/>
      <c r="X6" s="6"/>
      <c r="Y6" s="6"/>
      <c r="Z6" s="6"/>
      <c r="AA6" s="6"/>
      <c r="AB6" s="6"/>
      <c r="AC6" s="6"/>
      <c r="AD6" s="6"/>
      <c r="AE6" s="6"/>
      <c r="AF6" s="6"/>
      <c r="AG6" s="6"/>
      <c r="AH6" s="6"/>
    </row>
    <row r="7" spans="1:34" ht="42.75">
      <c r="A7" s="6" t="s">
        <v>15</v>
      </c>
      <c r="B7" s="12">
        <f>B5</f>
        <v>5</v>
      </c>
      <c r="C7" s="7" t="s">
        <v>16</v>
      </c>
      <c r="D7" s="6"/>
      <c r="E7" s="6" t="s">
        <v>8</v>
      </c>
      <c r="F7" s="9">
        <f>COUNTIFS($B$17:$B$116,"&lt;"&amp;$B$13,$C$17:$C$116,1)</f>
        <v>0</v>
      </c>
      <c r="G7" s="6"/>
      <c r="H7" s="6"/>
      <c r="I7" s="6"/>
      <c r="J7" s="10">
        <f t="shared" si="6"/>
        <v>0.01</v>
      </c>
      <c r="K7" s="11">
        <f t="shared" si="0"/>
        <v>70</v>
      </c>
      <c r="L7" s="9">
        <f t="shared" si="1"/>
        <v>1</v>
      </c>
      <c r="M7" s="9">
        <f t="shared" si="2"/>
        <v>13</v>
      </c>
      <c r="N7" s="9">
        <f t="shared" si="3"/>
        <v>0</v>
      </c>
      <c r="O7" s="9">
        <f t="shared" si="4"/>
        <v>86</v>
      </c>
      <c r="P7" s="10">
        <f t="shared" si="5"/>
        <v>0.87</v>
      </c>
      <c r="Q7" s="6"/>
      <c r="R7" s="6"/>
      <c r="S7" s="6"/>
      <c r="T7" s="6"/>
      <c r="U7" s="6"/>
      <c r="V7" s="6"/>
      <c r="W7" s="6"/>
      <c r="X7" s="6"/>
      <c r="Y7" s="6"/>
      <c r="Z7" s="6"/>
      <c r="AA7" s="6"/>
      <c r="AB7" s="6"/>
      <c r="AC7" s="6"/>
      <c r="AD7" s="6"/>
      <c r="AE7" s="6"/>
      <c r="AF7" s="6"/>
      <c r="AG7" s="6"/>
      <c r="AH7" s="6"/>
    </row>
    <row r="8" spans="1:34" ht="42.75">
      <c r="A8" s="6" t="s">
        <v>17</v>
      </c>
      <c r="B8" s="13">
        <v>100</v>
      </c>
      <c r="C8" s="7" t="s">
        <v>18</v>
      </c>
      <c r="D8" s="6"/>
      <c r="E8" s="6" t="s">
        <v>9</v>
      </c>
      <c r="F8" s="9">
        <f>COUNTIFS($B$17:$B$116,"&lt;"&amp;$B$13,$C$17:$C$116,0)</f>
        <v>86</v>
      </c>
      <c r="G8" s="6"/>
      <c r="H8" s="6"/>
      <c r="I8" s="6"/>
      <c r="J8" s="10">
        <f t="shared" si="6"/>
        <v>1.4999999999999999E-2</v>
      </c>
      <c r="K8" s="11">
        <f t="shared" si="0"/>
        <v>530</v>
      </c>
      <c r="L8" s="9">
        <f t="shared" si="1"/>
        <v>0</v>
      </c>
      <c r="M8" s="9">
        <f t="shared" si="2"/>
        <v>6</v>
      </c>
      <c r="N8" s="9">
        <f t="shared" si="3"/>
        <v>1</v>
      </c>
      <c r="O8" s="9">
        <f t="shared" si="4"/>
        <v>93</v>
      </c>
      <c r="P8" s="10">
        <f t="shared" si="5"/>
        <v>0.93</v>
      </c>
      <c r="Q8" s="6"/>
      <c r="R8" s="6"/>
      <c r="S8" s="6"/>
      <c r="T8" s="6"/>
      <c r="U8" s="6"/>
      <c r="V8" s="6"/>
      <c r="W8" s="6"/>
      <c r="X8" s="6"/>
      <c r="Y8" s="6"/>
      <c r="Z8" s="6"/>
      <c r="AA8" s="6"/>
      <c r="AB8" s="6"/>
      <c r="AC8" s="6"/>
      <c r="AD8" s="6"/>
      <c r="AE8" s="6"/>
      <c r="AF8" s="6"/>
      <c r="AG8" s="6"/>
      <c r="AH8" s="6"/>
    </row>
    <row r="9" spans="1:34" ht="42.75">
      <c r="A9" s="6" t="s">
        <v>19</v>
      </c>
      <c r="B9" s="12">
        <f>B5*B8</f>
        <v>500</v>
      </c>
      <c r="C9" s="7" t="s">
        <v>20</v>
      </c>
      <c r="D9" s="6"/>
      <c r="E9" s="6" t="s">
        <v>21</v>
      </c>
      <c r="F9" s="11">
        <f>COUNTIF($C$17:$C$116,1)*$B$9+COUNTIF($C$17:$C$116,0)*$B$10</f>
        <v>500</v>
      </c>
      <c r="G9" s="6"/>
      <c r="H9" s="6"/>
      <c r="I9" s="6"/>
      <c r="J9" s="10">
        <f t="shared" si="6"/>
        <v>0.02</v>
      </c>
      <c r="K9" s="11">
        <f t="shared" si="0"/>
        <v>520</v>
      </c>
      <c r="L9" s="9">
        <f t="shared" si="1"/>
        <v>0</v>
      </c>
      <c r="M9" s="9">
        <f t="shared" si="2"/>
        <v>4</v>
      </c>
      <c r="N9" s="9">
        <f t="shared" si="3"/>
        <v>1</v>
      </c>
      <c r="O9" s="9">
        <f t="shared" si="4"/>
        <v>95</v>
      </c>
      <c r="P9" s="10">
        <f t="shared" si="5"/>
        <v>0.95</v>
      </c>
      <c r="Q9" s="6"/>
      <c r="R9" s="6"/>
      <c r="S9" s="6"/>
      <c r="T9" s="6"/>
      <c r="U9" s="6"/>
      <c r="V9" s="6"/>
      <c r="W9" s="6"/>
      <c r="X9" s="6"/>
      <c r="Y9" s="6"/>
      <c r="Z9" s="6"/>
      <c r="AA9" s="6"/>
      <c r="AB9" s="6"/>
      <c r="AC9" s="6"/>
      <c r="AD9" s="6"/>
      <c r="AE9" s="6"/>
      <c r="AF9" s="6"/>
      <c r="AG9" s="6"/>
      <c r="AH9" s="6"/>
    </row>
    <row r="10" spans="1:34">
      <c r="A10" s="6" t="s">
        <v>22</v>
      </c>
      <c r="B10" s="14">
        <v>0</v>
      </c>
      <c r="C10" s="7" t="s">
        <v>23</v>
      </c>
      <c r="D10" s="6"/>
      <c r="E10" s="6" t="s">
        <v>24</v>
      </c>
      <c r="F10" s="11">
        <f>F5*$B$6+F6*$B$7+F7*$B$9+F8*$B$10</f>
        <v>70</v>
      </c>
      <c r="G10" s="6"/>
      <c r="H10" s="6"/>
      <c r="I10" s="6"/>
      <c r="J10" s="10">
        <f t="shared" si="6"/>
        <v>2.5000000000000001E-2</v>
      </c>
      <c r="K10" s="11">
        <f t="shared" si="0"/>
        <v>515</v>
      </c>
      <c r="L10" s="9">
        <f t="shared" si="1"/>
        <v>0</v>
      </c>
      <c r="M10" s="9">
        <f t="shared" si="2"/>
        <v>3</v>
      </c>
      <c r="N10" s="9">
        <f t="shared" si="3"/>
        <v>1</v>
      </c>
      <c r="O10" s="9">
        <f t="shared" si="4"/>
        <v>96</v>
      </c>
      <c r="P10" s="10">
        <f t="shared" si="5"/>
        <v>0.96</v>
      </c>
      <c r="Q10" s="6"/>
      <c r="R10" s="6"/>
      <c r="S10" s="6"/>
      <c r="T10" s="6"/>
      <c r="U10" s="6"/>
      <c r="V10" s="6"/>
      <c r="W10" s="6"/>
      <c r="X10" s="6"/>
      <c r="Y10" s="6"/>
      <c r="Z10" s="6"/>
      <c r="AA10" s="6"/>
      <c r="AB10" s="6"/>
      <c r="AC10" s="6"/>
      <c r="AD10" s="6"/>
      <c r="AE10" s="6"/>
      <c r="AF10" s="6"/>
      <c r="AG10" s="6"/>
      <c r="AH10" s="6"/>
    </row>
    <row r="11" spans="1:34" ht="42.75">
      <c r="A11" s="6" t="s">
        <v>25</v>
      </c>
      <c r="B11" s="15">
        <f>IFERROR((B7-B10)/((B7-B10)+(B9-B6)),0.5)</f>
        <v>0.01</v>
      </c>
      <c r="C11" s="7" t="s">
        <v>26</v>
      </c>
      <c r="D11" s="6"/>
      <c r="E11" s="6" t="s">
        <v>27</v>
      </c>
      <c r="F11" s="10">
        <f>IFERROR(1-F10/F9,0)</f>
        <v>0.86</v>
      </c>
      <c r="G11" s="6"/>
      <c r="H11" s="6"/>
      <c r="I11" s="6"/>
      <c r="J11" s="10">
        <f t="shared" si="6"/>
        <v>3.0000000000000002E-2</v>
      </c>
      <c r="K11" s="11">
        <f t="shared" si="0"/>
        <v>510</v>
      </c>
      <c r="L11" s="9">
        <f t="shared" si="1"/>
        <v>0</v>
      </c>
      <c r="M11" s="9">
        <f t="shared" si="2"/>
        <v>2</v>
      </c>
      <c r="N11" s="9">
        <f t="shared" si="3"/>
        <v>1</v>
      </c>
      <c r="O11" s="9">
        <f t="shared" si="4"/>
        <v>97</v>
      </c>
      <c r="P11" s="10">
        <f t="shared" si="5"/>
        <v>0.97</v>
      </c>
      <c r="Q11" s="6"/>
      <c r="R11" s="6"/>
      <c r="S11" s="6"/>
      <c r="T11" s="6"/>
      <c r="U11" s="6"/>
      <c r="V11" s="6"/>
      <c r="W11" s="6"/>
      <c r="X11" s="6"/>
      <c r="Y11" s="6"/>
      <c r="Z11" s="6"/>
      <c r="AA11" s="6"/>
      <c r="AB11" s="6"/>
      <c r="AC11" s="6"/>
      <c r="AD11" s="6"/>
      <c r="AE11" s="6"/>
      <c r="AF11" s="6"/>
      <c r="AG11" s="6"/>
      <c r="AH11" s="6"/>
    </row>
    <row r="12" spans="1:34" ht="42.75">
      <c r="A12" s="6" t="s">
        <v>28</v>
      </c>
      <c r="B12" s="15">
        <f>INDEX($J$5:$J$45,MATCH(MIN($K$5:$K$45),$K$5:$K$45,0))</f>
        <v>0.01</v>
      </c>
      <c r="C12" s="7" t="s">
        <v>29</v>
      </c>
      <c r="D12" s="6"/>
      <c r="E12" s="6" t="s">
        <v>10</v>
      </c>
      <c r="F12" s="10">
        <f>IFERROR((F5+F8)/SUM(F5:F8),0)</f>
        <v>0.87</v>
      </c>
      <c r="G12" s="6"/>
      <c r="H12" s="6"/>
      <c r="I12" s="6"/>
      <c r="J12" s="10">
        <f t="shared" si="6"/>
        <v>3.5000000000000003E-2</v>
      </c>
      <c r="K12" s="11">
        <f t="shared" si="0"/>
        <v>510</v>
      </c>
      <c r="L12" s="9">
        <f t="shared" si="1"/>
        <v>0</v>
      </c>
      <c r="M12" s="9">
        <f t="shared" si="2"/>
        <v>2</v>
      </c>
      <c r="N12" s="9">
        <f t="shared" si="3"/>
        <v>1</v>
      </c>
      <c r="O12" s="9">
        <f t="shared" si="4"/>
        <v>97</v>
      </c>
      <c r="P12" s="10">
        <f t="shared" si="5"/>
        <v>0.97</v>
      </c>
      <c r="Q12" s="6"/>
      <c r="R12" s="6"/>
      <c r="S12" s="6"/>
      <c r="T12" s="6"/>
      <c r="U12" s="6"/>
      <c r="V12" s="6"/>
      <c r="W12" s="6"/>
      <c r="X12" s="6"/>
      <c r="Y12" s="6"/>
      <c r="Z12" s="6"/>
      <c r="AA12" s="6"/>
      <c r="AB12" s="6"/>
      <c r="AC12" s="6"/>
      <c r="AD12" s="6"/>
      <c r="AE12" s="6"/>
      <c r="AF12" s="6"/>
      <c r="AG12" s="6"/>
      <c r="AH12" s="6"/>
    </row>
    <row r="13" spans="1:34" ht="42.75">
      <c r="A13" s="6" t="s">
        <v>30</v>
      </c>
      <c r="B13" s="16">
        <v>0.01</v>
      </c>
      <c r="C13" s="7" t="s">
        <v>31</v>
      </c>
      <c r="D13" s="6"/>
      <c r="E13" s="6" t="s">
        <v>32</v>
      </c>
      <c r="F13" s="10">
        <f>IFERROR(F5/(F5+F7),0)</f>
        <v>1</v>
      </c>
      <c r="G13" s="6"/>
      <c r="H13" s="6"/>
      <c r="I13" s="6"/>
      <c r="J13" s="10">
        <f t="shared" si="6"/>
        <v>0.04</v>
      </c>
      <c r="K13" s="11">
        <f t="shared" si="0"/>
        <v>505</v>
      </c>
      <c r="L13" s="9">
        <f t="shared" si="1"/>
        <v>0</v>
      </c>
      <c r="M13" s="9">
        <f t="shared" si="2"/>
        <v>1</v>
      </c>
      <c r="N13" s="9">
        <f t="shared" si="3"/>
        <v>1</v>
      </c>
      <c r="O13" s="9">
        <f t="shared" si="4"/>
        <v>98</v>
      </c>
      <c r="P13" s="10">
        <f t="shared" si="5"/>
        <v>0.98</v>
      </c>
      <c r="Q13" s="6"/>
      <c r="R13" s="6"/>
      <c r="S13" s="6"/>
      <c r="T13" s="6"/>
      <c r="U13" s="6"/>
      <c r="V13" s="6"/>
      <c r="W13" s="6"/>
      <c r="X13" s="6"/>
      <c r="Y13" s="6"/>
      <c r="Z13" s="6"/>
      <c r="AA13" s="6"/>
      <c r="AB13" s="6"/>
      <c r="AC13" s="6"/>
      <c r="AD13" s="6"/>
      <c r="AE13" s="6"/>
      <c r="AF13" s="6"/>
      <c r="AG13" s="6"/>
      <c r="AH13" s="6"/>
    </row>
    <row r="14" spans="1:34" ht="28.5">
      <c r="A14" s="6" t="s">
        <v>33</v>
      </c>
      <c r="B14" s="16">
        <v>5.0000000000000001E-3</v>
      </c>
      <c r="C14" s="7" t="s">
        <v>34</v>
      </c>
      <c r="D14" s="6"/>
      <c r="E14" s="6" t="s">
        <v>35</v>
      </c>
      <c r="F14" s="10">
        <f>IFERROR(F5/(F5+F6),0)</f>
        <v>7.1428571428571425E-2</v>
      </c>
      <c r="G14" s="6"/>
      <c r="H14" s="6"/>
      <c r="I14" s="6"/>
      <c r="J14" s="10">
        <f t="shared" si="6"/>
        <v>4.4999999999999998E-2</v>
      </c>
      <c r="K14" s="11">
        <f t="shared" si="0"/>
        <v>505</v>
      </c>
      <c r="L14" s="9">
        <f t="shared" si="1"/>
        <v>0</v>
      </c>
      <c r="M14" s="9">
        <f t="shared" si="2"/>
        <v>1</v>
      </c>
      <c r="N14" s="9">
        <f t="shared" si="3"/>
        <v>1</v>
      </c>
      <c r="O14" s="9">
        <f t="shared" si="4"/>
        <v>98</v>
      </c>
      <c r="P14" s="10">
        <f t="shared" si="5"/>
        <v>0.98</v>
      </c>
      <c r="Q14" s="6"/>
      <c r="R14" s="6"/>
      <c r="S14" s="6"/>
      <c r="T14" s="6"/>
      <c r="U14" s="6"/>
      <c r="V14" s="6"/>
      <c r="W14" s="6"/>
      <c r="X14" s="6"/>
      <c r="Y14" s="6"/>
      <c r="Z14" s="6"/>
      <c r="AA14" s="6"/>
      <c r="AB14" s="6"/>
      <c r="AC14" s="6"/>
      <c r="AD14" s="6"/>
      <c r="AE14" s="6"/>
      <c r="AF14" s="6"/>
      <c r="AG14" s="6"/>
      <c r="AH14" s="6"/>
    </row>
    <row r="15" spans="1:34">
      <c r="A15" s="6"/>
      <c r="B15" s="6"/>
      <c r="C15" s="6"/>
      <c r="D15" s="6"/>
      <c r="E15" s="6"/>
      <c r="F15" s="6"/>
      <c r="G15" s="6"/>
      <c r="H15" s="6"/>
      <c r="I15" s="6"/>
      <c r="J15" s="10">
        <f t="shared" si="6"/>
        <v>4.9999999999999996E-2</v>
      </c>
      <c r="K15" s="11">
        <f t="shared" si="0"/>
        <v>505</v>
      </c>
      <c r="L15" s="9">
        <f t="shared" si="1"/>
        <v>0</v>
      </c>
      <c r="M15" s="9">
        <f t="shared" si="2"/>
        <v>1</v>
      </c>
      <c r="N15" s="9">
        <f t="shared" si="3"/>
        <v>1</v>
      </c>
      <c r="O15" s="9">
        <f t="shared" si="4"/>
        <v>98</v>
      </c>
      <c r="P15" s="10">
        <f t="shared" si="5"/>
        <v>0.98</v>
      </c>
      <c r="Q15" s="6"/>
      <c r="R15" s="6"/>
      <c r="S15" s="6"/>
      <c r="T15" s="6"/>
      <c r="U15" s="6"/>
      <c r="V15" s="6"/>
      <c r="W15" s="6"/>
      <c r="X15" s="6"/>
      <c r="Y15" s="6"/>
      <c r="Z15" s="6"/>
      <c r="AA15" s="6"/>
      <c r="AB15" s="6"/>
      <c r="AC15" s="6"/>
      <c r="AD15" s="6"/>
      <c r="AE15" s="6"/>
      <c r="AF15" s="6"/>
      <c r="AG15" s="6"/>
      <c r="AH15" s="6"/>
    </row>
    <row r="16" spans="1:34" ht="30">
      <c r="A16" s="5" t="s">
        <v>36</v>
      </c>
      <c r="B16" s="5" t="s">
        <v>37</v>
      </c>
      <c r="C16" s="5" t="s">
        <v>38</v>
      </c>
      <c r="D16" s="5" t="s">
        <v>39</v>
      </c>
      <c r="E16" s="5" t="s">
        <v>40</v>
      </c>
      <c r="F16" s="5" t="s">
        <v>41</v>
      </c>
      <c r="G16" s="5" t="s">
        <v>42</v>
      </c>
      <c r="H16" s="6"/>
      <c r="I16" s="6"/>
      <c r="J16" s="10">
        <f t="shared" si="6"/>
        <v>5.4999999999999993E-2</v>
      </c>
      <c r="K16" s="11">
        <f t="shared" si="0"/>
        <v>505</v>
      </c>
      <c r="L16" s="9">
        <f t="shared" si="1"/>
        <v>0</v>
      </c>
      <c r="M16" s="9">
        <f t="shared" si="2"/>
        <v>1</v>
      </c>
      <c r="N16" s="9">
        <f t="shared" si="3"/>
        <v>1</v>
      </c>
      <c r="O16" s="9">
        <f t="shared" si="4"/>
        <v>98</v>
      </c>
      <c r="P16" s="10">
        <f t="shared" si="5"/>
        <v>0.98</v>
      </c>
      <c r="Q16" s="6"/>
      <c r="R16" s="6"/>
      <c r="S16" s="6"/>
      <c r="T16" s="6"/>
      <c r="U16" s="6"/>
      <c r="V16" s="6"/>
      <c r="W16" s="6"/>
      <c r="X16" s="6"/>
      <c r="Y16" s="6"/>
      <c r="Z16" s="6"/>
      <c r="AA16" s="6"/>
      <c r="AB16" s="6"/>
      <c r="AC16" s="6"/>
      <c r="AD16" s="6"/>
      <c r="AE16" s="6"/>
      <c r="AF16" s="6"/>
      <c r="AG16" s="6"/>
      <c r="AH16" s="6"/>
    </row>
    <row r="17" spans="1:34">
      <c r="A17" s="6" t="s">
        <v>43</v>
      </c>
      <c r="B17" s="17">
        <v>1E-4</v>
      </c>
      <c r="C17" s="18">
        <v>0</v>
      </c>
      <c r="D17" s="19">
        <f t="shared" ref="D17:D48" si="7">--(B17&gt;=$B$13)</f>
        <v>0</v>
      </c>
      <c r="E17" s="20" t="str">
        <f t="shared" ref="E17:E48" si="8">IF(C17=1,IF(D17=1,"TP","FN"),IF(D17=1,"FP","TN"))</f>
        <v>TN</v>
      </c>
      <c r="F17" s="12">
        <f t="shared" ref="F17:F48" si="9">IF(C17=1,IF(D17=1,$B$6,$B$9),IF(D17=1,$B$7,$B$10))</f>
        <v>0</v>
      </c>
      <c r="G17" s="20" t="str">
        <f t="shared" ref="G17:G48" si="10">IF(E17="FN","Fraude no detectado",IF(E17="FP","Alerta innecesaria",""))</f>
        <v/>
      </c>
      <c r="H17" s="6"/>
      <c r="I17" s="6"/>
      <c r="J17" s="10">
        <f t="shared" si="6"/>
        <v>5.9999999999999991E-2</v>
      </c>
      <c r="K17" s="11">
        <f t="shared" si="0"/>
        <v>505</v>
      </c>
      <c r="L17" s="9">
        <f t="shared" si="1"/>
        <v>0</v>
      </c>
      <c r="M17" s="9">
        <f t="shared" si="2"/>
        <v>1</v>
      </c>
      <c r="N17" s="9">
        <f t="shared" si="3"/>
        <v>1</v>
      </c>
      <c r="O17" s="9">
        <f t="shared" si="4"/>
        <v>98</v>
      </c>
      <c r="P17" s="10">
        <f t="shared" si="5"/>
        <v>0.98</v>
      </c>
      <c r="Q17" s="6"/>
      <c r="R17" s="6"/>
      <c r="S17" s="6"/>
      <c r="T17" s="6"/>
      <c r="U17" s="6"/>
      <c r="V17" s="6"/>
      <c r="W17" s="6"/>
      <c r="X17" s="6"/>
      <c r="Y17" s="6"/>
      <c r="Z17" s="6"/>
      <c r="AA17" s="6"/>
      <c r="AB17" s="6"/>
      <c r="AC17" s="6"/>
      <c r="AD17" s="6"/>
      <c r="AE17" s="6"/>
      <c r="AF17" s="6"/>
      <c r="AG17" s="6"/>
      <c r="AH17" s="6"/>
    </row>
    <row r="18" spans="1:34">
      <c r="A18" s="6" t="s">
        <v>44</v>
      </c>
      <c r="B18" s="17">
        <v>2.0900000000000001E-4</v>
      </c>
      <c r="C18" s="18">
        <v>0</v>
      </c>
      <c r="D18" s="19">
        <f t="shared" si="7"/>
        <v>0</v>
      </c>
      <c r="E18" s="20" t="str">
        <f t="shared" si="8"/>
        <v>TN</v>
      </c>
      <c r="F18" s="12">
        <f t="shared" si="9"/>
        <v>0</v>
      </c>
      <c r="G18" s="20" t="str">
        <f t="shared" si="10"/>
        <v/>
      </c>
      <c r="H18" s="6"/>
      <c r="I18" s="6"/>
      <c r="J18" s="10">
        <f t="shared" si="6"/>
        <v>6.4999999999999988E-2</v>
      </c>
      <c r="K18" s="11">
        <f t="shared" si="0"/>
        <v>500</v>
      </c>
      <c r="L18" s="9">
        <f t="shared" si="1"/>
        <v>0</v>
      </c>
      <c r="M18" s="9">
        <f t="shared" si="2"/>
        <v>0</v>
      </c>
      <c r="N18" s="9">
        <f t="shared" si="3"/>
        <v>1</v>
      </c>
      <c r="O18" s="9">
        <f t="shared" si="4"/>
        <v>99</v>
      </c>
      <c r="P18" s="10">
        <f t="shared" si="5"/>
        <v>0.99</v>
      </c>
      <c r="Q18" s="6"/>
      <c r="R18" s="6"/>
      <c r="S18" s="6"/>
      <c r="T18" s="6"/>
      <c r="U18" s="6"/>
      <c r="V18" s="6"/>
      <c r="W18" s="6"/>
      <c r="X18" s="6"/>
      <c r="Y18" s="6"/>
      <c r="Z18" s="6"/>
      <c r="AA18" s="6"/>
      <c r="AB18" s="6"/>
      <c r="AC18" s="6"/>
      <c r="AD18" s="6"/>
      <c r="AE18" s="6"/>
      <c r="AF18" s="6"/>
      <c r="AG18" s="6"/>
      <c r="AH18" s="6"/>
    </row>
    <row r="19" spans="1:34">
      <c r="A19" s="6" t="s">
        <v>45</v>
      </c>
      <c r="B19" s="17">
        <v>3.5999999999999999E-3</v>
      </c>
      <c r="C19" s="18">
        <v>0</v>
      </c>
      <c r="D19" s="19">
        <f t="shared" si="7"/>
        <v>0</v>
      </c>
      <c r="E19" s="20" t="str">
        <f t="shared" si="8"/>
        <v>TN</v>
      </c>
      <c r="F19" s="12">
        <f t="shared" si="9"/>
        <v>0</v>
      </c>
      <c r="G19" s="20" t="str">
        <f t="shared" si="10"/>
        <v/>
      </c>
      <c r="H19" s="6"/>
      <c r="I19" s="6"/>
      <c r="J19" s="10">
        <f t="shared" si="6"/>
        <v>6.9999999999999993E-2</v>
      </c>
      <c r="K19" s="11">
        <f t="shared" si="0"/>
        <v>500</v>
      </c>
      <c r="L19" s="9">
        <f t="shared" si="1"/>
        <v>0</v>
      </c>
      <c r="M19" s="9">
        <f t="shared" si="2"/>
        <v>0</v>
      </c>
      <c r="N19" s="9">
        <f t="shared" si="3"/>
        <v>1</v>
      </c>
      <c r="O19" s="9">
        <f t="shared" si="4"/>
        <v>99</v>
      </c>
      <c r="P19" s="10">
        <f t="shared" si="5"/>
        <v>0.99</v>
      </c>
      <c r="Q19" s="6"/>
      <c r="R19" s="6"/>
      <c r="S19" s="6"/>
      <c r="T19" s="6"/>
      <c r="U19" s="6"/>
      <c r="V19" s="6"/>
      <c r="W19" s="6"/>
      <c r="X19" s="6"/>
      <c r="Y19" s="6"/>
      <c r="Z19" s="6"/>
      <c r="AA19" s="6"/>
      <c r="AB19" s="6"/>
      <c r="AC19" s="6"/>
      <c r="AD19" s="6"/>
      <c r="AE19" s="6"/>
      <c r="AF19" s="6"/>
      <c r="AG19" s="6"/>
      <c r="AH19" s="6"/>
    </row>
    <row r="20" spans="1:34">
      <c r="A20" s="6" t="s">
        <v>46</v>
      </c>
      <c r="B20" s="17">
        <v>1E-4</v>
      </c>
      <c r="C20" s="18">
        <v>0</v>
      </c>
      <c r="D20" s="19">
        <f t="shared" si="7"/>
        <v>0</v>
      </c>
      <c r="E20" s="20" t="str">
        <f t="shared" si="8"/>
        <v>TN</v>
      </c>
      <c r="F20" s="12">
        <f t="shared" si="9"/>
        <v>0</v>
      </c>
      <c r="G20" s="20" t="str">
        <f t="shared" si="10"/>
        <v/>
      </c>
      <c r="H20" s="6"/>
      <c r="I20" s="6"/>
      <c r="J20" s="10">
        <f t="shared" si="6"/>
        <v>7.4999999999999997E-2</v>
      </c>
      <c r="K20" s="11">
        <f t="shared" si="0"/>
        <v>500</v>
      </c>
      <c r="L20" s="9">
        <f t="shared" si="1"/>
        <v>0</v>
      </c>
      <c r="M20" s="9">
        <f t="shared" si="2"/>
        <v>0</v>
      </c>
      <c r="N20" s="9">
        <f t="shared" si="3"/>
        <v>1</v>
      </c>
      <c r="O20" s="9">
        <f t="shared" si="4"/>
        <v>99</v>
      </c>
      <c r="P20" s="10">
        <f t="shared" si="5"/>
        <v>0.99</v>
      </c>
      <c r="Q20" s="6"/>
      <c r="R20" s="6"/>
      <c r="S20" s="6"/>
      <c r="T20" s="6"/>
      <c r="U20" s="6"/>
      <c r="V20" s="6"/>
      <c r="W20" s="6"/>
      <c r="X20" s="6"/>
      <c r="Y20" s="6"/>
      <c r="Z20" s="6"/>
      <c r="AA20" s="6"/>
      <c r="AB20" s="6"/>
      <c r="AC20" s="6"/>
      <c r="AD20" s="6"/>
      <c r="AE20" s="6"/>
      <c r="AF20" s="6"/>
      <c r="AG20" s="6"/>
      <c r="AH20" s="6"/>
    </row>
    <row r="21" spans="1:34">
      <c r="A21" s="6" t="s">
        <v>47</v>
      </c>
      <c r="B21" s="17">
        <v>5.0199999999999995E-4</v>
      </c>
      <c r="C21" s="18">
        <v>0</v>
      </c>
      <c r="D21" s="19">
        <f t="shared" si="7"/>
        <v>0</v>
      </c>
      <c r="E21" s="20" t="str">
        <f t="shared" si="8"/>
        <v>TN</v>
      </c>
      <c r="F21" s="12">
        <f t="shared" si="9"/>
        <v>0</v>
      </c>
      <c r="G21" s="20" t="str">
        <f t="shared" si="10"/>
        <v/>
      </c>
      <c r="H21" s="6"/>
      <c r="I21" s="6"/>
      <c r="J21" s="10">
        <f t="shared" si="6"/>
        <v>0.08</v>
      </c>
      <c r="K21" s="11">
        <f t="shared" si="0"/>
        <v>500</v>
      </c>
      <c r="L21" s="9">
        <f t="shared" si="1"/>
        <v>0</v>
      </c>
      <c r="M21" s="9">
        <f t="shared" si="2"/>
        <v>0</v>
      </c>
      <c r="N21" s="9">
        <f t="shared" si="3"/>
        <v>1</v>
      </c>
      <c r="O21" s="9">
        <f t="shared" si="4"/>
        <v>99</v>
      </c>
      <c r="P21" s="10">
        <f t="shared" si="5"/>
        <v>0.99</v>
      </c>
      <c r="Q21" s="6"/>
      <c r="R21" s="6"/>
      <c r="S21" s="6"/>
      <c r="T21" s="6"/>
      <c r="U21" s="6"/>
      <c r="V21" s="6"/>
      <c r="W21" s="6"/>
      <c r="X21" s="6"/>
      <c r="Y21" s="6"/>
      <c r="Z21" s="6"/>
      <c r="AA21" s="6"/>
      <c r="AB21" s="6"/>
      <c r="AC21" s="6"/>
      <c r="AD21" s="6"/>
      <c r="AE21" s="6"/>
      <c r="AF21" s="6"/>
      <c r="AG21" s="6"/>
      <c r="AH21" s="6"/>
    </row>
    <row r="22" spans="1:34">
      <c r="A22" s="6" t="s">
        <v>48</v>
      </c>
      <c r="B22" s="17">
        <v>7.0990000000000003E-3</v>
      </c>
      <c r="C22" s="18">
        <v>0</v>
      </c>
      <c r="D22" s="19">
        <f t="shared" si="7"/>
        <v>0</v>
      </c>
      <c r="E22" s="20" t="str">
        <f t="shared" si="8"/>
        <v>TN</v>
      </c>
      <c r="F22" s="12">
        <f t="shared" si="9"/>
        <v>0</v>
      </c>
      <c r="G22" s="20" t="str">
        <f t="shared" si="10"/>
        <v/>
      </c>
      <c r="H22" s="6"/>
      <c r="I22" s="6"/>
      <c r="J22" s="10">
        <f t="shared" si="6"/>
        <v>8.5000000000000006E-2</v>
      </c>
      <c r="K22" s="11">
        <f t="shared" si="0"/>
        <v>500</v>
      </c>
      <c r="L22" s="9">
        <f t="shared" si="1"/>
        <v>0</v>
      </c>
      <c r="M22" s="9">
        <f t="shared" si="2"/>
        <v>0</v>
      </c>
      <c r="N22" s="9">
        <f t="shared" si="3"/>
        <v>1</v>
      </c>
      <c r="O22" s="9">
        <f t="shared" si="4"/>
        <v>99</v>
      </c>
      <c r="P22" s="10">
        <f t="shared" si="5"/>
        <v>0.99</v>
      </c>
      <c r="Q22" s="6"/>
      <c r="R22" s="6"/>
      <c r="S22" s="6"/>
      <c r="T22" s="6"/>
      <c r="U22" s="6"/>
      <c r="V22" s="6"/>
      <c r="W22" s="6"/>
      <c r="X22" s="6"/>
      <c r="Y22" s="6"/>
      <c r="Z22" s="6"/>
      <c r="AA22" s="6"/>
      <c r="AB22" s="6"/>
      <c r="AC22" s="6"/>
      <c r="AD22" s="6"/>
      <c r="AE22" s="6"/>
      <c r="AF22" s="6"/>
      <c r="AG22" s="6"/>
      <c r="AH22" s="6"/>
    </row>
    <row r="23" spans="1:34">
      <c r="A23" s="6" t="s">
        <v>49</v>
      </c>
      <c r="B23" s="17">
        <v>1.08E-4</v>
      </c>
      <c r="C23" s="18">
        <v>0</v>
      </c>
      <c r="D23" s="19">
        <f t="shared" si="7"/>
        <v>0</v>
      </c>
      <c r="E23" s="20" t="str">
        <f t="shared" si="8"/>
        <v>TN</v>
      </c>
      <c r="F23" s="12">
        <f t="shared" si="9"/>
        <v>0</v>
      </c>
      <c r="G23" s="20" t="str">
        <f t="shared" si="10"/>
        <v/>
      </c>
      <c r="H23" s="6"/>
      <c r="I23" s="6"/>
      <c r="J23" s="10">
        <f t="shared" si="6"/>
        <v>9.0000000000000011E-2</v>
      </c>
      <c r="K23" s="11">
        <f t="shared" si="0"/>
        <v>500</v>
      </c>
      <c r="L23" s="9">
        <f t="shared" si="1"/>
        <v>0</v>
      </c>
      <c r="M23" s="9">
        <f t="shared" si="2"/>
        <v>0</v>
      </c>
      <c r="N23" s="9">
        <f t="shared" si="3"/>
        <v>1</v>
      </c>
      <c r="O23" s="9">
        <f t="shared" si="4"/>
        <v>99</v>
      </c>
      <c r="P23" s="10">
        <f t="shared" si="5"/>
        <v>0.99</v>
      </c>
      <c r="Q23" s="6"/>
      <c r="R23" s="6"/>
      <c r="S23" s="6"/>
      <c r="T23" s="6"/>
      <c r="U23" s="6"/>
      <c r="V23" s="6"/>
      <c r="W23" s="6"/>
      <c r="X23" s="6"/>
      <c r="Y23" s="6"/>
      <c r="Z23" s="6"/>
      <c r="AA23" s="6"/>
      <c r="AB23" s="6"/>
      <c r="AC23" s="6"/>
      <c r="AD23" s="6"/>
      <c r="AE23" s="6"/>
      <c r="AF23" s="6"/>
      <c r="AG23" s="6"/>
      <c r="AH23" s="6"/>
    </row>
    <row r="24" spans="1:34">
      <c r="A24" s="6" t="s">
        <v>50</v>
      </c>
      <c r="B24" s="17">
        <v>0.02</v>
      </c>
      <c r="C24" s="18">
        <v>0</v>
      </c>
      <c r="D24" s="19">
        <f t="shared" si="7"/>
        <v>1</v>
      </c>
      <c r="E24" s="20" t="str">
        <f t="shared" si="8"/>
        <v>FP</v>
      </c>
      <c r="F24" s="12">
        <f t="shared" si="9"/>
        <v>5</v>
      </c>
      <c r="G24" s="20" t="str">
        <f t="shared" si="10"/>
        <v>Alerta innecesaria</v>
      </c>
      <c r="H24" s="6"/>
      <c r="I24" s="6"/>
      <c r="J24" s="10">
        <f t="shared" si="6"/>
        <v>9.5000000000000015E-2</v>
      </c>
      <c r="K24" s="11">
        <f t="shared" si="0"/>
        <v>500</v>
      </c>
      <c r="L24" s="9">
        <f t="shared" si="1"/>
        <v>0</v>
      </c>
      <c r="M24" s="9">
        <f t="shared" si="2"/>
        <v>0</v>
      </c>
      <c r="N24" s="9">
        <f t="shared" si="3"/>
        <v>1</v>
      </c>
      <c r="O24" s="9">
        <f t="shared" si="4"/>
        <v>99</v>
      </c>
      <c r="P24" s="10">
        <f t="shared" si="5"/>
        <v>0.99</v>
      </c>
      <c r="Q24" s="6"/>
      <c r="R24" s="6"/>
      <c r="S24" s="6"/>
      <c r="T24" s="6"/>
      <c r="U24" s="6"/>
      <c r="V24" s="6"/>
      <c r="W24" s="6"/>
      <c r="X24" s="6"/>
      <c r="Y24" s="6"/>
      <c r="Z24" s="6"/>
      <c r="AA24" s="6"/>
      <c r="AB24" s="6"/>
      <c r="AC24" s="6"/>
      <c r="AD24" s="6"/>
      <c r="AE24" s="6"/>
      <c r="AF24" s="6"/>
      <c r="AG24" s="6"/>
      <c r="AH24" s="6"/>
    </row>
    <row r="25" spans="1:34">
      <c r="A25" s="6" t="s">
        <v>51</v>
      </c>
      <c r="B25" s="17">
        <v>1.2961E-2</v>
      </c>
      <c r="C25" s="18">
        <v>0</v>
      </c>
      <c r="D25" s="19">
        <f t="shared" si="7"/>
        <v>1</v>
      </c>
      <c r="E25" s="20" t="str">
        <f t="shared" si="8"/>
        <v>FP</v>
      </c>
      <c r="F25" s="12">
        <f t="shared" si="9"/>
        <v>5</v>
      </c>
      <c r="G25" s="20" t="str">
        <f t="shared" si="10"/>
        <v>Alerta innecesaria</v>
      </c>
      <c r="H25" s="6"/>
      <c r="I25" s="6"/>
      <c r="J25" s="10">
        <f t="shared" si="6"/>
        <v>0.10000000000000002</v>
      </c>
      <c r="K25" s="11">
        <f t="shared" si="0"/>
        <v>500</v>
      </c>
      <c r="L25" s="9">
        <f t="shared" si="1"/>
        <v>0</v>
      </c>
      <c r="M25" s="9">
        <f t="shared" si="2"/>
        <v>0</v>
      </c>
      <c r="N25" s="9">
        <f t="shared" si="3"/>
        <v>1</v>
      </c>
      <c r="O25" s="9">
        <f t="shared" si="4"/>
        <v>99</v>
      </c>
      <c r="P25" s="10">
        <f t="shared" si="5"/>
        <v>0.99</v>
      </c>
      <c r="Q25" s="6"/>
      <c r="R25" s="6"/>
      <c r="S25" s="6"/>
      <c r="T25" s="6"/>
      <c r="U25" s="6"/>
      <c r="V25" s="6"/>
      <c r="W25" s="6"/>
      <c r="X25" s="6"/>
      <c r="Y25" s="6"/>
      <c r="Z25" s="6"/>
      <c r="AA25" s="6"/>
      <c r="AB25" s="6"/>
      <c r="AC25" s="6"/>
      <c r="AD25" s="6"/>
      <c r="AE25" s="6"/>
      <c r="AF25" s="6"/>
      <c r="AG25" s="6"/>
      <c r="AH25" s="6"/>
    </row>
    <row r="26" spans="1:34">
      <c r="A26" s="6" t="s">
        <v>52</v>
      </c>
      <c r="B26" s="17">
        <v>1.6200000000000001E-4</v>
      </c>
      <c r="C26" s="18">
        <v>0</v>
      </c>
      <c r="D26" s="19">
        <f t="shared" si="7"/>
        <v>0</v>
      </c>
      <c r="E26" s="20" t="str">
        <f t="shared" si="8"/>
        <v>TN</v>
      </c>
      <c r="F26" s="12">
        <f t="shared" si="9"/>
        <v>0</v>
      </c>
      <c r="G26" s="20" t="str">
        <f t="shared" si="10"/>
        <v/>
      </c>
      <c r="H26" s="6"/>
      <c r="I26" s="6"/>
      <c r="J26" s="10">
        <f t="shared" si="6"/>
        <v>0.10500000000000002</v>
      </c>
      <c r="K26" s="11">
        <f t="shared" si="0"/>
        <v>500</v>
      </c>
      <c r="L26" s="9">
        <f t="shared" si="1"/>
        <v>0</v>
      </c>
      <c r="M26" s="9">
        <f t="shared" si="2"/>
        <v>0</v>
      </c>
      <c r="N26" s="9">
        <f t="shared" si="3"/>
        <v>1</v>
      </c>
      <c r="O26" s="9">
        <f t="shared" si="4"/>
        <v>99</v>
      </c>
      <c r="P26" s="10">
        <f t="shared" si="5"/>
        <v>0.99</v>
      </c>
      <c r="Q26" s="6"/>
      <c r="R26" s="6"/>
      <c r="S26" s="6"/>
      <c r="T26" s="6"/>
      <c r="U26" s="6"/>
      <c r="V26" s="6"/>
      <c r="W26" s="6"/>
      <c r="X26" s="6"/>
      <c r="Y26" s="6"/>
      <c r="Z26" s="6"/>
      <c r="AA26" s="6"/>
      <c r="AB26" s="6"/>
      <c r="AC26" s="6"/>
      <c r="AD26" s="6"/>
      <c r="AE26" s="6"/>
      <c r="AF26" s="6"/>
      <c r="AG26" s="6"/>
      <c r="AH26" s="6"/>
    </row>
    <row r="27" spans="1:34">
      <c r="A27" s="6" t="s">
        <v>53</v>
      </c>
      <c r="B27" s="17">
        <v>2.751E-3</v>
      </c>
      <c r="C27" s="18">
        <v>0</v>
      </c>
      <c r="D27" s="19">
        <f t="shared" si="7"/>
        <v>0</v>
      </c>
      <c r="E27" s="20" t="str">
        <f t="shared" si="8"/>
        <v>TN</v>
      </c>
      <c r="F27" s="12">
        <f t="shared" si="9"/>
        <v>0</v>
      </c>
      <c r="G27" s="20" t="str">
        <f t="shared" si="10"/>
        <v/>
      </c>
      <c r="H27" s="6"/>
      <c r="I27" s="6"/>
      <c r="J27" s="10">
        <f t="shared" si="6"/>
        <v>0.11000000000000003</v>
      </c>
      <c r="K27" s="11">
        <f t="shared" si="0"/>
        <v>500</v>
      </c>
      <c r="L27" s="9">
        <f t="shared" si="1"/>
        <v>0</v>
      </c>
      <c r="M27" s="9">
        <f t="shared" si="2"/>
        <v>0</v>
      </c>
      <c r="N27" s="9">
        <f t="shared" si="3"/>
        <v>1</v>
      </c>
      <c r="O27" s="9">
        <f t="shared" si="4"/>
        <v>99</v>
      </c>
      <c r="P27" s="10">
        <f t="shared" si="5"/>
        <v>0.99</v>
      </c>
      <c r="Q27" s="6"/>
      <c r="R27" s="6"/>
      <c r="S27" s="6"/>
      <c r="T27" s="6"/>
      <c r="U27" s="6"/>
      <c r="V27" s="6"/>
      <c r="W27" s="6"/>
      <c r="X27" s="6"/>
      <c r="Y27" s="6"/>
      <c r="Z27" s="6"/>
      <c r="AA27" s="6"/>
      <c r="AB27" s="6"/>
      <c r="AC27" s="6"/>
      <c r="AD27" s="6"/>
      <c r="AE27" s="6"/>
      <c r="AF27" s="6"/>
      <c r="AG27" s="6"/>
      <c r="AH27" s="6"/>
    </row>
    <row r="28" spans="1:34">
      <c r="A28" s="6" t="s">
        <v>54</v>
      </c>
      <c r="B28" s="17">
        <v>1E-4</v>
      </c>
      <c r="C28" s="18">
        <v>0</v>
      </c>
      <c r="D28" s="19">
        <f t="shared" si="7"/>
        <v>0</v>
      </c>
      <c r="E28" s="20" t="str">
        <f t="shared" si="8"/>
        <v>TN</v>
      </c>
      <c r="F28" s="12">
        <f t="shared" si="9"/>
        <v>0</v>
      </c>
      <c r="G28" s="20" t="str">
        <f t="shared" si="10"/>
        <v/>
      </c>
      <c r="H28" s="6"/>
      <c r="I28" s="6"/>
      <c r="J28" s="10">
        <f t="shared" si="6"/>
        <v>0.11500000000000003</v>
      </c>
      <c r="K28" s="11">
        <f t="shared" si="0"/>
        <v>500</v>
      </c>
      <c r="L28" s="9">
        <f t="shared" si="1"/>
        <v>0</v>
      </c>
      <c r="M28" s="9">
        <f t="shared" si="2"/>
        <v>0</v>
      </c>
      <c r="N28" s="9">
        <f t="shared" si="3"/>
        <v>1</v>
      </c>
      <c r="O28" s="9">
        <f t="shared" si="4"/>
        <v>99</v>
      </c>
      <c r="P28" s="10">
        <f t="shared" si="5"/>
        <v>0.99</v>
      </c>
      <c r="Q28" s="6"/>
      <c r="R28" s="6"/>
      <c r="S28" s="6"/>
      <c r="T28" s="6"/>
      <c r="U28" s="6"/>
      <c r="V28" s="6"/>
      <c r="W28" s="6"/>
      <c r="X28" s="6"/>
      <c r="Y28" s="6"/>
      <c r="Z28" s="6"/>
      <c r="AA28" s="6"/>
      <c r="AB28" s="6"/>
      <c r="AC28" s="6"/>
      <c r="AD28" s="6"/>
      <c r="AE28" s="6"/>
      <c r="AF28" s="6"/>
      <c r="AG28" s="6"/>
      <c r="AH28" s="6"/>
    </row>
    <row r="29" spans="1:34">
      <c r="A29" s="6" t="s">
        <v>55</v>
      </c>
      <c r="B29" s="17">
        <v>3.6000000000000002E-4</v>
      </c>
      <c r="C29" s="18">
        <v>0</v>
      </c>
      <c r="D29" s="19">
        <f t="shared" si="7"/>
        <v>0</v>
      </c>
      <c r="E29" s="20" t="str">
        <f t="shared" si="8"/>
        <v>TN</v>
      </c>
      <c r="F29" s="12">
        <f t="shared" si="9"/>
        <v>0</v>
      </c>
      <c r="G29" s="20" t="str">
        <f t="shared" si="10"/>
        <v/>
      </c>
      <c r="H29" s="6"/>
      <c r="I29" s="6"/>
      <c r="J29" s="10">
        <f t="shared" si="6"/>
        <v>0.12000000000000004</v>
      </c>
      <c r="K29" s="11">
        <f t="shared" si="0"/>
        <v>500</v>
      </c>
      <c r="L29" s="9">
        <f t="shared" si="1"/>
        <v>0</v>
      </c>
      <c r="M29" s="9">
        <f t="shared" si="2"/>
        <v>0</v>
      </c>
      <c r="N29" s="9">
        <f t="shared" si="3"/>
        <v>1</v>
      </c>
      <c r="O29" s="9">
        <f t="shared" si="4"/>
        <v>99</v>
      </c>
      <c r="P29" s="10">
        <f t="shared" si="5"/>
        <v>0.99</v>
      </c>
      <c r="Q29" s="6"/>
      <c r="R29" s="6"/>
      <c r="S29" s="6"/>
      <c r="T29" s="6"/>
      <c r="U29" s="6"/>
      <c r="V29" s="6"/>
      <c r="W29" s="6"/>
      <c r="X29" s="6"/>
      <c r="Y29" s="6"/>
      <c r="Z29" s="6"/>
      <c r="AA29" s="6"/>
      <c r="AB29" s="6"/>
      <c r="AC29" s="6"/>
      <c r="AD29" s="6"/>
      <c r="AE29" s="6"/>
      <c r="AF29" s="6"/>
      <c r="AG29" s="6"/>
      <c r="AH29" s="6"/>
    </row>
    <row r="30" spans="1:34">
      <c r="A30" s="6" t="s">
        <v>56</v>
      </c>
      <c r="B30" s="17">
        <v>5.5999999999999999E-3</v>
      </c>
      <c r="C30" s="18">
        <v>0</v>
      </c>
      <c r="D30" s="19">
        <f t="shared" si="7"/>
        <v>0</v>
      </c>
      <c r="E30" s="20" t="str">
        <f t="shared" si="8"/>
        <v>TN</v>
      </c>
      <c r="F30" s="12">
        <f t="shared" si="9"/>
        <v>0</v>
      </c>
      <c r="G30" s="20" t="str">
        <f t="shared" si="10"/>
        <v/>
      </c>
      <c r="H30" s="6"/>
      <c r="I30" s="6"/>
      <c r="J30" s="10">
        <f t="shared" si="6"/>
        <v>0.12500000000000003</v>
      </c>
      <c r="K30" s="11">
        <f t="shared" si="0"/>
        <v>500</v>
      </c>
      <c r="L30" s="9">
        <f t="shared" si="1"/>
        <v>0</v>
      </c>
      <c r="M30" s="9">
        <f t="shared" si="2"/>
        <v>0</v>
      </c>
      <c r="N30" s="9">
        <f t="shared" si="3"/>
        <v>1</v>
      </c>
      <c r="O30" s="9">
        <f t="shared" si="4"/>
        <v>99</v>
      </c>
      <c r="P30" s="10">
        <f t="shared" si="5"/>
        <v>0.99</v>
      </c>
      <c r="Q30" s="6"/>
      <c r="R30" s="6"/>
      <c r="S30" s="6"/>
      <c r="T30" s="6"/>
      <c r="U30" s="6"/>
      <c r="V30" s="6"/>
      <c r="W30" s="6"/>
      <c r="X30" s="6"/>
      <c r="Y30" s="6"/>
      <c r="Z30" s="6"/>
      <c r="AA30" s="6"/>
      <c r="AB30" s="6"/>
      <c r="AC30" s="6"/>
      <c r="AD30" s="6"/>
      <c r="AE30" s="6"/>
      <c r="AF30" s="6"/>
      <c r="AG30" s="6"/>
      <c r="AH30" s="6"/>
    </row>
    <row r="31" spans="1:34">
      <c r="A31" s="6" t="s">
        <v>57</v>
      </c>
      <c r="B31" s="17">
        <v>1.03E-4</v>
      </c>
      <c r="C31" s="18">
        <v>0</v>
      </c>
      <c r="D31" s="19">
        <f t="shared" si="7"/>
        <v>0</v>
      </c>
      <c r="E31" s="20" t="str">
        <f t="shared" si="8"/>
        <v>TN</v>
      </c>
      <c r="F31" s="12">
        <f t="shared" si="9"/>
        <v>0</v>
      </c>
      <c r="G31" s="20" t="str">
        <f t="shared" si="10"/>
        <v/>
      </c>
      <c r="H31" s="6"/>
      <c r="I31" s="6"/>
      <c r="J31" s="10">
        <f t="shared" si="6"/>
        <v>0.13000000000000003</v>
      </c>
      <c r="K31" s="11">
        <f t="shared" si="0"/>
        <v>500</v>
      </c>
      <c r="L31" s="9">
        <f t="shared" si="1"/>
        <v>0</v>
      </c>
      <c r="M31" s="9">
        <f t="shared" si="2"/>
        <v>0</v>
      </c>
      <c r="N31" s="9">
        <f t="shared" si="3"/>
        <v>1</v>
      </c>
      <c r="O31" s="9">
        <f t="shared" si="4"/>
        <v>99</v>
      </c>
      <c r="P31" s="10">
        <f t="shared" si="5"/>
        <v>0.99</v>
      </c>
      <c r="Q31" s="6"/>
      <c r="R31" s="6"/>
      <c r="S31" s="6"/>
      <c r="T31" s="6"/>
      <c r="U31" s="6"/>
      <c r="V31" s="6"/>
      <c r="W31" s="6"/>
      <c r="X31" s="6"/>
      <c r="Y31" s="6"/>
      <c r="Z31" s="6"/>
      <c r="AA31" s="6"/>
      <c r="AB31" s="6"/>
      <c r="AC31" s="6"/>
      <c r="AD31" s="6"/>
      <c r="AE31" s="6"/>
      <c r="AF31" s="6"/>
      <c r="AG31" s="6"/>
      <c r="AH31" s="6"/>
    </row>
    <row r="32" spans="1:34">
      <c r="A32" s="6" t="s">
        <v>58</v>
      </c>
      <c r="B32" s="17">
        <v>8.9400000000000005E-4</v>
      </c>
      <c r="C32" s="18">
        <v>0</v>
      </c>
      <c r="D32" s="19">
        <f t="shared" si="7"/>
        <v>0</v>
      </c>
      <c r="E32" s="20" t="str">
        <f t="shared" si="8"/>
        <v>TN</v>
      </c>
      <c r="F32" s="12">
        <f t="shared" si="9"/>
        <v>0</v>
      </c>
      <c r="G32" s="20" t="str">
        <f t="shared" si="10"/>
        <v/>
      </c>
      <c r="H32" s="6"/>
      <c r="I32" s="6"/>
      <c r="J32" s="10">
        <f t="shared" si="6"/>
        <v>0.13500000000000004</v>
      </c>
      <c r="K32" s="11">
        <f t="shared" si="0"/>
        <v>500</v>
      </c>
      <c r="L32" s="9">
        <f t="shared" si="1"/>
        <v>0</v>
      </c>
      <c r="M32" s="9">
        <f t="shared" si="2"/>
        <v>0</v>
      </c>
      <c r="N32" s="9">
        <f t="shared" si="3"/>
        <v>1</v>
      </c>
      <c r="O32" s="9">
        <f t="shared" si="4"/>
        <v>99</v>
      </c>
      <c r="P32" s="10">
        <f t="shared" si="5"/>
        <v>0.99</v>
      </c>
      <c r="Q32" s="6"/>
      <c r="R32" s="6"/>
      <c r="S32" s="6"/>
      <c r="T32" s="6"/>
      <c r="U32" s="6"/>
      <c r="V32" s="6"/>
      <c r="W32" s="6"/>
      <c r="X32" s="6"/>
      <c r="Y32" s="6"/>
      <c r="Z32" s="6"/>
      <c r="AA32" s="6"/>
      <c r="AB32" s="6"/>
      <c r="AC32" s="6"/>
      <c r="AD32" s="6"/>
      <c r="AE32" s="6"/>
      <c r="AF32" s="6"/>
      <c r="AG32" s="6"/>
      <c r="AH32" s="6"/>
    </row>
    <row r="33" spans="1:34">
      <c r="A33" s="6" t="s">
        <v>59</v>
      </c>
      <c r="B33" s="17">
        <v>1.0496E-2</v>
      </c>
      <c r="C33" s="18">
        <v>0</v>
      </c>
      <c r="D33" s="19">
        <f t="shared" si="7"/>
        <v>1</v>
      </c>
      <c r="E33" s="20" t="str">
        <f t="shared" si="8"/>
        <v>FP</v>
      </c>
      <c r="F33" s="12">
        <f t="shared" si="9"/>
        <v>5</v>
      </c>
      <c r="G33" s="20" t="str">
        <f t="shared" si="10"/>
        <v>Alerta innecesaria</v>
      </c>
      <c r="H33" s="6"/>
      <c r="I33" s="6"/>
      <c r="J33" s="10">
        <f t="shared" si="6"/>
        <v>0.14000000000000004</v>
      </c>
      <c r="K33" s="11">
        <f t="shared" si="0"/>
        <v>500</v>
      </c>
      <c r="L33" s="9">
        <f t="shared" si="1"/>
        <v>0</v>
      </c>
      <c r="M33" s="9">
        <f t="shared" si="2"/>
        <v>0</v>
      </c>
      <c r="N33" s="9">
        <f t="shared" si="3"/>
        <v>1</v>
      </c>
      <c r="O33" s="9">
        <f t="shared" si="4"/>
        <v>99</v>
      </c>
      <c r="P33" s="10">
        <f t="shared" si="5"/>
        <v>0.99</v>
      </c>
      <c r="Q33" s="6"/>
      <c r="R33" s="6"/>
      <c r="S33" s="6"/>
      <c r="T33" s="6"/>
      <c r="U33" s="6"/>
      <c r="V33" s="6"/>
      <c r="W33" s="6"/>
      <c r="X33" s="6"/>
      <c r="Y33" s="6"/>
      <c r="Z33" s="6"/>
      <c r="AA33" s="6"/>
      <c r="AB33" s="6"/>
      <c r="AC33" s="6"/>
      <c r="AD33" s="6"/>
      <c r="AE33" s="6"/>
      <c r="AF33" s="6"/>
      <c r="AG33" s="6"/>
      <c r="AH33" s="6"/>
    </row>
    <row r="34" spans="1:34">
      <c r="A34" s="6" t="s">
        <v>60</v>
      </c>
      <c r="B34" s="17">
        <v>1.3200000000000001E-4</v>
      </c>
      <c r="C34" s="18">
        <v>0</v>
      </c>
      <c r="D34" s="19">
        <f t="shared" si="7"/>
        <v>0</v>
      </c>
      <c r="E34" s="20" t="str">
        <f t="shared" si="8"/>
        <v>TN</v>
      </c>
      <c r="F34" s="12">
        <f t="shared" si="9"/>
        <v>0</v>
      </c>
      <c r="G34" s="20" t="str">
        <f t="shared" si="10"/>
        <v/>
      </c>
      <c r="H34" s="6"/>
      <c r="I34" s="6"/>
      <c r="J34" s="10">
        <f t="shared" si="6"/>
        <v>0.14500000000000005</v>
      </c>
      <c r="K34" s="11">
        <f t="shared" si="0"/>
        <v>500</v>
      </c>
      <c r="L34" s="9">
        <f t="shared" si="1"/>
        <v>0</v>
      </c>
      <c r="M34" s="9">
        <f t="shared" si="2"/>
        <v>0</v>
      </c>
      <c r="N34" s="9">
        <f t="shared" si="3"/>
        <v>1</v>
      </c>
      <c r="O34" s="9">
        <f t="shared" si="4"/>
        <v>99</v>
      </c>
      <c r="P34" s="10">
        <f t="shared" si="5"/>
        <v>0.99</v>
      </c>
      <c r="Q34" s="6"/>
      <c r="R34" s="6"/>
      <c r="S34" s="6"/>
      <c r="T34" s="6"/>
      <c r="U34" s="6"/>
      <c r="V34" s="6"/>
      <c r="W34" s="6"/>
      <c r="X34" s="6"/>
      <c r="Y34" s="6"/>
      <c r="Z34" s="6"/>
      <c r="AA34" s="6"/>
      <c r="AB34" s="6"/>
      <c r="AC34" s="6"/>
      <c r="AD34" s="6"/>
      <c r="AE34" s="6"/>
      <c r="AF34" s="6"/>
      <c r="AG34" s="6"/>
      <c r="AH34" s="6"/>
    </row>
    <row r="35" spans="1:34">
      <c r="A35" s="6" t="s">
        <v>61</v>
      </c>
      <c r="B35" s="17">
        <v>2.075E-3</v>
      </c>
      <c r="C35" s="18">
        <v>0</v>
      </c>
      <c r="D35" s="19">
        <f t="shared" si="7"/>
        <v>0</v>
      </c>
      <c r="E35" s="20" t="str">
        <f t="shared" si="8"/>
        <v>TN</v>
      </c>
      <c r="F35" s="12">
        <f t="shared" si="9"/>
        <v>0</v>
      </c>
      <c r="G35" s="20" t="str">
        <f t="shared" si="10"/>
        <v/>
      </c>
      <c r="H35" s="6"/>
      <c r="I35" s="6"/>
      <c r="J35" s="10">
        <f t="shared" si="6"/>
        <v>0.15000000000000005</v>
      </c>
      <c r="K35" s="11">
        <f t="shared" si="0"/>
        <v>500</v>
      </c>
      <c r="L35" s="9">
        <f t="shared" si="1"/>
        <v>0</v>
      </c>
      <c r="M35" s="9">
        <f t="shared" si="2"/>
        <v>0</v>
      </c>
      <c r="N35" s="9">
        <f t="shared" si="3"/>
        <v>1</v>
      </c>
      <c r="O35" s="9">
        <f t="shared" si="4"/>
        <v>99</v>
      </c>
      <c r="P35" s="10">
        <f t="shared" si="5"/>
        <v>0.99</v>
      </c>
      <c r="Q35" s="6"/>
      <c r="R35" s="6"/>
      <c r="S35" s="6"/>
      <c r="T35" s="6"/>
      <c r="U35" s="6"/>
      <c r="V35" s="6"/>
      <c r="W35" s="6"/>
      <c r="X35" s="6"/>
      <c r="Y35" s="6"/>
      <c r="Z35" s="6"/>
      <c r="AA35" s="6"/>
      <c r="AB35" s="6"/>
      <c r="AC35" s="6"/>
      <c r="AD35" s="6"/>
      <c r="AE35" s="6"/>
      <c r="AF35" s="6"/>
      <c r="AG35" s="6"/>
      <c r="AH35" s="6"/>
    </row>
    <row r="36" spans="1:34">
      <c r="A36" s="6" t="s">
        <v>62</v>
      </c>
      <c r="B36" s="17">
        <v>1E-4</v>
      </c>
      <c r="C36" s="18">
        <v>0</v>
      </c>
      <c r="D36" s="19">
        <f t="shared" si="7"/>
        <v>0</v>
      </c>
      <c r="E36" s="20" t="str">
        <f t="shared" si="8"/>
        <v>TN</v>
      </c>
      <c r="F36" s="12">
        <f t="shared" si="9"/>
        <v>0</v>
      </c>
      <c r="G36" s="20" t="str">
        <f t="shared" si="10"/>
        <v/>
      </c>
      <c r="H36" s="6"/>
      <c r="I36" s="6"/>
      <c r="J36" s="10">
        <f t="shared" si="6"/>
        <v>0.15500000000000005</v>
      </c>
      <c r="K36" s="11">
        <f t="shared" si="0"/>
        <v>500</v>
      </c>
      <c r="L36" s="9">
        <f t="shared" si="1"/>
        <v>0</v>
      </c>
      <c r="M36" s="9">
        <f t="shared" si="2"/>
        <v>0</v>
      </c>
      <c r="N36" s="9">
        <f t="shared" si="3"/>
        <v>1</v>
      </c>
      <c r="O36" s="9">
        <f t="shared" si="4"/>
        <v>99</v>
      </c>
      <c r="P36" s="10">
        <f t="shared" si="5"/>
        <v>0.99</v>
      </c>
      <c r="Q36" s="6"/>
      <c r="R36" s="6"/>
      <c r="S36" s="6"/>
      <c r="T36" s="6"/>
      <c r="U36" s="6"/>
      <c r="V36" s="6"/>
      <c r="W36" s="6"/>
      <c r="X36" s="6"/>
      <c r="Y36" s="6"/>
      <c r="Z36" s="6"/>
      <c r="AA36" s="6"/>
      <c r="AB36" s="6"/>
      <c r="AC36" s="6"/>
      <c r="AD36" s="6"/>
      <c r="AE36" s="6"/>
      <c r="AF36" s="6"/>
      <c r="AG36" s="6"/>
      <c r="AH36" s="6"/>
    </row>
    <row r="37" spans="1:34">
      <c r="A37" s="6" t="s">
        <v>63</v>
      </c>
      <c r="B37" s="17">
        <v>2.6200000000000003E-4</v>
      </c>
      <c r="C37" s="18">
        <v>0</v>
      </c>
      <c r="D37" s="19">
        <f t="shared" si="7"/>
        <v>0</v>
      </c>
      <c r="E37" s="20" t="str">
        <f t="shared" si="8"/>
        <v>TN</v>
      </c>
      <c r="F37" s="12">
        <f t="shared" si="9"/>
        <v>0</v>
      </c>
      <c r="G37" s="20" t="str">
        <f t="shared" si="10"/>
        <v/>
      </c>
      <c r="H37" s="6"/>
      <c r="I37" s="6"/>
      <c r="J37" s="10">
        <f t="shared" si="6"/>
        <v>0.16000000000000006</v>
      </c>
      <c r="K37" s="11">
        <f t="shared" si="0"/>
        <v>500</v>
      </c>
      <c r="L37" s="9">
        <f t="shared" si="1"/>
        <v>0</v>
      </c>
      <c r="M37" s="9">
        <f t="shared" si="2"/>
        <v>0</v>
      </c>
      <c r="N37" s="9">
        <f t="shared" si="3"/>
        <v>1</v>
      </c>
      <c r="O37" s="9">
        <f t="shared" si="4"/>
        <v>99</v>
      </c>
      <c r="P37" s="10">
        <f t="shared" si="5"/>
        <v>0.99</v>
      </c>
      <c r="Q37" s="6"/>
      <c r="R37" s="6"/>
      <c r="S37" s="6"/>
      <c r="T37" s="6"/>
      <c r="U37" s="6"/>
      <c r="V37" s="6"/>
      <c r="W37" s="6"/>
      <c r="X37" s="6"/>
      <c r="Y37" s="6"/>
      <c r="Z37" s="6"/>
      <c r="AA37" s="6"/>
      <c r="AB37" s="6"/>
      <c r="AC37" s="6"/>
      <c r="AD37" s="6"/>
      <c r="AE37" s="6"/>
      <c r="AF37" s="6"/>
      <c r="AG37" s="6"/>
      <c r="AH37" s="6"/>
    </row>
    <row r="38" spans="1:34">
      <c r="A38" s="6" t="s">
        <v>64</v>
      </c>
      <c r="B38" s="17">
        <v>4.3689999999999996E-3</v>
      </c>
      <c r="C38" s="18">
        <v>0</v>
      </c>
      <c r="D38" s="19">
        <f t="shared" si="7"/>
        <v>0</v>
      </c>
      <c r="E38" s="20" t="str">
        <f t="shared" si="8"/>
        <v>TN</v>
      </c>
      <c r="F38" s="12">
        <f t="shared" si="9"/>
        <v>0</v>
      </c>
      <c r="G38" s="20" t="str">
        <f t="shared" si="10"/>
        <v/>
      </c>
      <c r="H38" s="6"/>
      <c r="I38" s="6"/>
      <c r="J38" s="10">
        <f t="shared" si="6"/>
        <v>0.16500000000000006</v>
      </c>
      <c r="K38" s="11">
        <f t="shared" si="0"/>
        <v>500</v>
      </c>
      <c r="L38" s="9">
        <f t="shared" si="1"/>
        <v>0</v>
      </c>
      <c r="M38" s="9">
        <f t="shared" si="2"/>
        <v>0</v>
      </c>
      <c r="N38" s="9">
        <f t="shared" si="3"/>
        <v>1</v>
      </c>
      <c r="O38" s="9">
        <f t="shared" si="4"/>
        <v>99</v>
      </c>
      <c r="P38" s="10">
        <f t="shared" si="5"/>
        <v>0.99</v>
      </c>
      <c r="Q38" s="6"/>
      <c r="R38" s="6"/>
      <c r="S38" s="6"/>
      <c r="T38" s="6"/>
      <c r="U38" s="6"/>
      <c r="V38" s="6"/>
      <c r="W38" s="6"/>
      <c r="X38" s="6"/>
      <c r="Y38" s="6"/>
      <c r="Z38" s="6"/>
      <c r="AA38" s="6"/>
      <c r="AB38" s="6"/>
      <c r="AC38" s="6"/>
      <c r="AD38" s="6"/>
      <c r="AE38" s="6"/>
      <c r="AF38" s="6"/>
      <c r="AG38" s="6"/>
      <c r="AH38" s="6"/>
    </row>
    <row r="39" spans="1:34">
      <c r="A39" s="6" t="s">
        <v>65</v>
      </c>
      <c r="B39" s="17">
        <v>1.01E-4</v>
      </c>
      <c r="C39" s="18">
        <v>0</v>
      </c>
      <c r="D39" s="19">
        <f t="shared" si="7"/>
        <v>0</v>
      </c>
      <c r="E39" s="20" t="str">
        <f t="shared" si="8"/>
        <v>TN</v>
      </c>
      <c r="F39" s="12">
        <f t="shared" si="9"/>
        <v>0</v>
      </c>
      <c r="G39" s="20" t="str">
        <f t="shared" si="10"/>
        <v/>
      </c>
      <c r="H39" s="6"/>
      <c r="I39" s="6"/>
      <c r="J39" s="10">
        <f t="shared" si="6"/>
        <v>0.17000000000000007</v>
      </c>
      <c r="K39" s="11">
        <f t="shared" si="0"/>
        <v>500</v>
      </c>
      <c r="L39" s="9">
        <f t="shared" si="1"/>
        <v>0</v>
      </c>
      <c r="M39" s="9">
        <f t="shared" si="2"/>
        <v>0</v>
      </c>
      <c r="N39" s="9">
        <f t="shared" si="3"/>
        <v>1</v>
      </c>
      <c r="O39" s="9">
        <f t="shared" si="4"/>
        <v>99</v>
      </c>
      <c r="P39" s="10">
        <f t="shared" si="5"/>
        <v>0.99</v>
      </c>
      <c r="Q39" s="6"/>
      <c r="R39" s="6"/>
      <c r="S39" s="6"/>
      <c r="T39" s="6"/>
      <c r="U39" s="6"/>
      <c r="V39" s="6"/>
      <c r="W39" s="6"/>
      <c r="X39" s="6"/>
      <c r="Y39" s="6"/>
      <c r="Z39" s="6"/>
      <c r="AA39" s="6"/>
      <c r="AB39" s="6"/>
      <c r="AC39" s="6"/>
      <c r="AD39" s="6"/>
      <c r="AE39" s="6"/>
      <c r="AF39" s="6"/>
      <c r="AG39" s="6"/>
      <c r="AH39" s="6"/>
    </row>
    <row r="40" spans="1:34">
      <c r="A40" s="6" t="s">
        <v>66</v>
      </c>
      <c r="B40" s="17">
        <v>3.5000000000000003E-2</v>
      </c>
      <c r="C40" s="18">
        <v>0</v>
      </c>
      <c r="D40" s="19">
        <f t="shared" si="7"/>
        <v>1</v>
      </c>
      <c r="E40" s="20" t="str">
        <f t="shared" si="8"/>
        <v>FP</v>
      </c>
      <c r="F40" s="12">
        <f t="shared" si="9"/>
        <v>5</v>
      </c>
      <c r="G40" s="20" t="str">
        <f t="shared" si="10"/>
        <v>Alerta innecesaria</v>
      </c>
      <c r="H40" s="6"/>
      <c r="I40" s="6"/>
      <c r="J40" s="10">
        <f t="shared" si="6"/>
        <v>0.17500000000000007</v>
      </c>
      <c r="K40" s="11">
        <f t="shared" si="0"/>
        <v>500</v>
      </c>
      <c r="L40" s="9">
        <f t="shared" si="1"/>
        <v>0</v>
      </c>
      <c r="M40" s="9">
        <f t="shared" si="2"/>
        <v>0</v>
      </c>
      <c r="N40" s="9">
        <f t="shared" si="3"/>
        <v>1</v>
      </c>
      <c r="O40" s="9">
        <f t="shared" si="4"/>
        <v>99</v>
      </c>
      <c r="P40" s="10">
        <f t="shared" si="5"/>
        <v>0.99</v>
      </c>
      <c r="Q40" s="6"/>
      <c r="R40" s="6"/>
      <c r="S40" s="6"/>
      <c r="T40" s="6"/>
      <c r="U40" s="6"/>
      <c r="V40" s="6"/>
      <c r="W40" s="6"/>
      <c r="X40" s="6"/>
      <c r="Y40" s="6"/>
      <c r="Z40" s="6"/>
      <c r="AA40" s="6"/>
      <c r="AB40" s="6"/>
      <c r="AC40" s="6"/>
      <c r="AD40" s="6"/>
      <c r="AE40" s="6"/>
      <c r="AF40" s="6"/>
      <c r="AG40" s="6"/>
      <c r="AH40" s="6"/>
    </row>
    <row r="41" spans="1:34">
      <c r="A41" s="6" t="s">
        <v>67</v>
      </c>
      <c r="B41" s="17">
        <v>8.4239999999999992E-3</v>
      </c>
      <c r="C41" s="18">
        <v>0</v>
      </c>
      <c r="D41" s="19">
        <f t="shared" si="7"/>
        <v>0</v>
      </c>
      <c r="E41" s="20" t="str">
        <f t="shared" si="8"/>
        <v>TN</v>
      </c>
      <c r="F41" s="12">
        <f t="shared" si="9"/>
        <v>0</v>
      </c>
      <c r="G41" s="20" t="str">
        <f t="shared" si="10"/>
        <v/>
      </c>
      <c r="H41" s="6"/>
      <c r="I41" s="6"/>
      <c r="J41" s="10">
        <f t="shared" si="6"/>
        <v>0.18000000000000008</v>
      </c>
      <c r="K41" s="11">
        <f t="shared" si="0"/>
        <v>500</v>
      </c>
      <c r="L41" s="9">
        <f t="shared" si="1"/>
        <v>0</v>
      </c>
      <c r="M41" s="9">
        <f t="shared" si="2"/>
        <v>0</v>
      </c>
      <c r="N41" s="9">
        <f t="shared" si="3"/>
        <v>1</v>
      </c>
      <c r="O41" s="9">
        <f t="shared" si="4"/>
        <v>99</v>
      </c>
      <c r="P41" s="10">
        <f t="shared" si="5"/>
        <v>0.99</v>
      </c>
      <c r="Q41" s="6"/>
      <c r="R41" s="6"/>
      <c r="S41" s="6"/>
      <c r="T41" s="6"/>
      <c r="U41" s="6"/>
      <c r="V41" s="6"/>
      <c r="W41" s="6"/>
      <c r="X41" s="6"/>
      <c r="Y41" s="6"/>
      <c r="Z41" s="6"/>
      <c r="AA41" s="6"/>
      <c r="AB41" s="6"/>
      <c r="AC41" s="6"/>
      <c r="AD41" s="6"/>
      <c r="AE41" s="6"/>
      <c r="AF41" s="6"/>
      <c r="AG41" s="6"/>
      <c r="AH41" s="6"/>
    </row>
    <row r="42" spans="1:34">
      <c r="A42" s="6" t="s">
        <v>68</v>
      </c>
      <c r="B42" s="17">
        <v>1.15E-4</v>
      </c>
      <c r="C42" s="18">
        <v>0</v>
      </c>
      <c r="D42" s="19">
        <f t="shared" si="7"/>
        <v>0</v>
      </c>
      <c r="E42" s="20" t="str">
        <f t="shared" si="8"/>
        <v>TN</v>
      </c>
      <c r="F42" s="12">
        <f t="shared" si="9"/>
        <v>0</v>
      </c>
      <c r="G42" s="20" t="str">
        <f t="shared" si="10"/>
        <v/>
      </c>
      <c r="H42" s="6"/>
      <c r="I42" s="6"/>
      <c r="J42" s="10">
        <f t="shared" si="6"/>
        <v>0.18500000000000008</v>
      </c>
      <c r="K42" s="11">
        <f t="shared" si="0"/>
        <v>500</v>
      </c>
      <c r="L42" s="9">
        <f t="shared" si="1"/>
        <v>0</v>
      </c>
      <c r="M42" s="9">
        <f t="shared" si="2"/>
        <v>0</v>
      </c>
      <c r="N42" s="9">
        <f t="shared" si="3"/>
        <v>1</v>
      </c>
      <c r="O42" s="9">
        <f t="shared" si="4"/>
        <v>99</v>
      </c>
      <c r="P42" s="10">
        <f t="shared" si="5"/>
        <v>0.99</v>
      </c>
      <c r="Q42" s="6"/>
      <c r="R42" s="6"/>
      <c r="S42" s="6"/>
      <c r="T42" s="6"/>
      <c r="U42" s="6"/>
      <c r="V42" s="6"/>
      <c r="W42" s="6"/>
      <c r="X42" s="6"/>
      <c r="Y42" s="6"/>
      <c r="Z42" s="6"/>
      <c r="AA42" s="6"/>
      <c r="AB42" s="6"/>
      <c r="AC42" s="6"/>
      <c r="AD42" s="6"/>
      <c r="AE42" s="6"/>
      <c r="AF42" s="6"/>
      <c r="AG42" s="6"/>
      <c r="AH42" s="6"/>
    </row>
    <row r="43" spans="1:34">
      <c r="A43" s="6" t="s">
        <v>69</v>
      </c>
      <c r="B43" s="17">
        <v>1.5449999999999999E-3</v>
      </c>
      <c r="C43" s="18">
        <v>0</v>
      </c>
      <c r="D43" s="19">
        <f t="shared" si="7"/>
        <v>0</v>
      </c>
      <c r="E43" s="20" t="str">
        <f t="shared" si="8"/>
        <v>TN</v>
      </c>
      <c r="F43" s="12">
        <f t="shared" si="9"/>
        <v>0</v>
      </c>
      <c r="G43" s="20" t="str">
        <f t="shared" si="10"/>
        <v/>
      </c>
      <c r="H43" s="6"/>
      <c r="I43" s="6"/>
      <c r="J43" s="10">
        <f t="shared" si="6"/>
        <v>0.19000000000000009</v>
      </c>
      <c r="K43" s="11">
        <f t="shared" si="0"/>
        <v>500</v>
      </c>
      <c r="L43" s="9">
        <f t="shared" si="1"/>
        <v>0</v>
      </c>
      <c r="M43" s="9">
        <f t="shared" si="2"/>
        <v>0</v>
      </c>
      <c r="N43" s="9">
        <f t="shared" si="3"/>
        <v>1</v>
      </c>
      <c r="O43" s="9">
        <f t="shared" si="4"/>
        <v>99</v>
      </c>
      <c r="P43" s="10">
        <f t="shared" si="5"/>
        <v>0.99</v>
      </c>
      <c r="Q43" s="6"/>
      <c r="R43" s="6"/>
      <c r="S43" s="6"/>
      <c r="T43" s="6"/>
      <c r="U43" s="6"/>
      <c r="V43" s="6"/>
      <c r="W43" s="6"/>
      <c r="X43" s="6"/>
      <c r="Y43" s="6"/>
      <c r="Z43" s="6"/>
      <c r="AA43" s="6"/>
      <c r="AB43" s="6"/>
      <c r="AC43" s="6"/>
      <c r="AD43" s="6"/>
      <c r="AE43" s="6"/>
      <c r="AF43" s="6"/>
      <c r="AG43" s="6"/>
      <c r="AH43" s="6"/>
    </row>
    <row r="44" spans="1:34">
      <c r="A44" s="6" t="s">
        <v>70</v>
      </c>
      <c r="B44" s="17">
        <v>1.5100000000000001E-2</v>
      </c>
      <c r="C44" s="18">
        <v>0</v>
      </c>
      <c r="D44" s="19">
        <f t="shared" si="7"/>
        <v>1</v>
      </c>
      <c r="E44" s="20" t="str">
        <f t="shared" si="8"/>
        <v>FP</v>
      </c>
      <c r="F44" s="12">
        <f t="shared" si="9"/>
        <v>5</v>
      </c>
      <c r="G44" s="20" t="str">
        <f t="shared" si="10"/>
        <v>Alerta innecesaria</v>
      </c>
      <c r="H44" s="6"/>
      <c r="I44" s="6"/>
      <c r="J44" s="10">
        <f t="shared" si="6"/>
        <v>0.19500000000000009</v>
      </c>
      <c r="K44" s="11">
        <f t="shared" si="0"/>
        <v>500</v>
      </c>
      <c r="L44" s="9">
        <f t="shared" si="1"/>
        <v>0</v>
      </c>
      <c r="M44" s="9">
        <f t="shared" si="2"/>
        <v>0</v>
      </c>
      <c r="N44" s="9">
        <f t="shared" si="3"/>
        <v>1</v>
      </c>
      <c r="O44" s="9">
        <f t="shared" si="4"/>
        <v>99</v>
      </c>
      <c r="P44" s="10">
        <f t="shared" si="5"/>
        <v>0.99</v>
      </c>
      <c r="Q44" s="6"/>
      <c r="R44" s="6"/>
      <c r="S44" s="6"/>
      <c r="T44" s="6"/>
      <c r="U44" s="6"/>
      <c r="V44" s="6"/>
      <c r="W44" s="6"/>
      <c r="X44" s="6"/>
      <c r="Y44" s="6"/>
      <c r="Z44" s="6"/>
      <c r="AA44" s="6"/>
      <c r="AB44" s="6"/>
      <c r="AC44" s="6"/>
      <c r="AD44" s="6"/>
      <c r="AE44" s="6"/>
      <c r="AF44" s="6"/>
      <c r="AG44" s="6"/>
      <c r="AH44" s="6"/>
    </row>
    <row r="45" spans="1:34">
      <c r="A45" s="6" t="s">
        <v>71</v>
      </c>
      <c r="B45" s="17">
        <v>1.95E-4</v>
      </c>
      <c r="C45" s="18">
        <v>0</v>
      </c>
      <c r="D45" s="19">
        <f t="shared" si="7"/>
        <v>0</v>
      </c>
      <c r="E45" s="20" t="str">
        <f t="shared" si="8"/>
        <v>TN</v>
      </c>
      <c r="F45" s="12">
        <f t="shared" si="9"/>
        <v>0</v>
      </c>
      <c r="G45" s="20" t="str">
        <f t="shared" si="10"/>
        <v/>
      </c>
      <c r="H45" s="6"/>
      <c r="I45" s="6"/>
      <c r="J45" s="10">
        <f t="shared" si="6"/>
        <v>0.20000000000000009</v>
      </c>
      <c r="K45" s="11">
        <f t="shared" si="0"/>
        <v>500</v>
      </c>
      <c r="L45" s="9">
        <f t="shared" si="1"/>
        <v>0</v>
      </c>
      <c r="M45" s="9">
        <f t="shared" si="2"/>
        <v>0</v>
      </c>
      <c r="N45" s="9">
        <f t="shared" si="3"/>
        <v>1</v>
      </c>
      <c r="O45" s="9">
        <f t="shared" si="4"/>
        <v>99</v>
      </c>
      <c r="P45" s="10">
        <f t="shared" si="5"/>
        <v>0.99</v>
      </c>
      <c r="Q45" s="6"/>
      <c r="R45" s="6"/>
      <c r="S45" s="6"/>
      <c r="T45" s="6"/>
      <c r="U45" s="6"/>
      <c r="V45" s="6"/>
      <c r="W45" s="6"/>
      <c r="X45" s="6"/>
      <c r="Y45" s="6"/>
      <c r="Z45" s="6"/>
      <c r="AA45" s="6"/>
      <c r="AB45" s="6"/>
      <c r="AC45" s="6"/>
      <c r="AD45" s="6"/>
      <c r="AE45" s="6"/>
      <c r="AF45" s="6"/>
      <c r="AG45" s="6"/>
      <c r="AH45" s="6"/>
    </row>
    <row r="46" spans="1:34">
      <c r="A46" s="6" t="s">
        <v>72</v>
      </c>
      <c r="B46" s="17">
        <v>3.3700000000000002E-3</v>
      </c>
      <c r="C46" s="18">
        <v>0</v>
      </c>
      <c r="D46" s="19">
        <f t="shared" si="7"/>
        <v>0</v>
      </c>
      <c r="E46" s="20" t="str">
        <f t="shared" si="8"/>
        <v>TN</v>
      </c>
      <c r="F46" s="12">
        <f t="shared" si="9"/>
        <v>0</v>
      </c>
      <c r="G46" s="20" t="str">
        <f t="shared" si="10"/>
        <v/>
      </c>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spans="1:34">
      <c r="A47" s="6" t="s">
        <v>73</v>
      </c>
      <c r="B47" s="17">
        <v>1E-4</v>
      </c>
      <c r="C47" s="18">
        <v>0</v>
      </c>
      <c r="D47" s="19">
        <f t="shared" si="7"/>
        <v>0</v>
      </c>
      <c r="E47" s="20" t="str">
        <f t="shared" si="8"/>
        <v>TN</v>
      </c>
      <c r="F47" s="12">
        <f t="shared" si="9"/>
        <v>0</v>
      </c>
      <c r="G47" s="20" t="str">
        <f t="shared" si="10"/>
        <v/>
      </c>
      <c r="H47" s="6"/>
      <c r="I47" s="6"/>
      <c r="J47" s="6"/>
      <c r="K47" s="6"/>
      <c r="L47" s="6"/>
      <c r="M47" s="6"/>
      <c r="N47" s="6"/>
      <c r="O47" s="6"/>
      <c r="P47" s="6"/>
      <c r="Q47" s="6"/>
      <c r="R47" s="6"/>
      <c r="S47" s="6"/>
      <c r="T47" s="6"/>
      <c r="U47" s="6"/>
      <c r="V47" s="6"/>
      <c r="W47" s="6"/>
      <c r="X47" s="6"/>
      <c r="Y47" s="6"/>
      <c r="Z47" s="6"/>
      <c r="AA47" s="6"/>
      <c r="AB47" s="6"/>
      <c r="AC47" s="6"/>
      <c r="AD47" s="6"/>
      <c r="AE47" s="6"/>
      <c r="AF47" s="6"/>
      <c r="AG47" s="6"/>
      <c r="AH47" s="6"/>
    </row>
    <row r="48" spans="1:34">
      <c r="A48" s="6" t="s">
        <v>74</v>
      </c>
      <c r="B48" s="17">
        <v>4.6200000000000001E-4</v>
      </c>
      <c r="C48" s="18">
        <v>0</v>
      </c>
      <c r="D48" s="19">
        <f t="shared" si="7"/>
        <v>0</v>
      </c>
      <c r="E48" s="20" t="str">
        <f t="shared" si="8"/>
        <v>TN</v>
      </c>
      <c r="F48" s="12">
        <f t="shared" si="9"/>
        <v>0</v>
      </c>
      <c r="G48" s="20" t="str">
        <f t="shared" si="10"/>
        <v/>
      </c>
      <c r="H48" s="6"/>
      <c r="I48" s="6"/>
      <c r="J48" s="6"/>
      <c r="K48" s="6"/>
      <c r="L48" s="6"/>
      <c r="M48" s="6"/>
      <c r="N48" s="6"/>
      <c r="O48" s="6"/>
      <c r="P48" s="6"/>
      <c r="Q48" s="6"/>
      <c r="R48" s="6"/>
      <c r="S48" s="6"/>
      <c r="T48" s="6"/>
      <c r="U48" s="6"/>
      <c r="V48" s="6"/>
      <c r="W48" s="6"/>
      <c r="X48" s="6"/>
      <c r="Y48" s="6"/>
      <c r="Z48" s="6"/>
      <c r="AA48" s="6"/>
      <c r="AB48" s="6"/>
      <c r="AC48" s="6"/>
      <c r="AD48" s="6"/>
      <c r="AE48" s="6"/>
      <c r="AF48" s="6"/>
      <c r="AG48" s="6"/>
      <c r="AH48" s="6"/>
    </row>
    <row r="49" spans="1:34" ht="15">
      <c r="A49" s="21" t="s">
        <v>75</v>
      </c>
      <c r="B49" s="42">
        <v>6.6959999999999997E-3</v>
      </c>
      <c r="C49" s="43">
        <v>0</v>
      </c>
      <c r="D49" s="44">
        <f t="shared" ref="D49:D80" si="11">--(B49&gt;=$B$13)</f>
        <v>0</v>
      </c>
      <c r="E49" s="45" t="str">
        <f t="shared" ref="E49:E80" si="12">IF(C49=1,IF(D49=1,"TP","FN"),IF(D49=1,"FP","TN"))</f>
        <v>TN</v>
      </c>
      <c r="F49" s="46">
        <f t="shared" ref="F49:F80" si="13">IF(C49=1,IF(D49=1,$B$6,$B$9),IF(D49=1,$B$7,$B$10))</f>
        <v>0</v>
      </c>
      <c r="G49" s="45" t="str">
        <f t="shared" ref="G49:G80" si="14">IF(E49="FN","Fraude no detectado",IF(E49="FP","Alerta innecesaria",""))</f>
        <v/>
      </c>
      <c r="H49" s="6"/>
      <c r="I49" s="6"/>
      <c r="J49" s="5" t="s">
        <v>4</v>
      </c>
      <c r="K49" s="5" t="s">
        <v>5</v>
      </c>
      <c r="L49" s="6"/>
      <c r="M49" s="6"/>
      <c r="N49" s="6"/>
      <c r="O49" s="6"/>
      <c r="P49" s="6"/>
      <c r="Q49" s="6"/>
      <c r="R49" s="6"/>
      <c r="S49" s="6"/>
      <c r="T49" s="6"/>
      <c r="U49" s="6"/>
      <c r="V49" s="6"/>
      <c r="W49" s="6"/>
      <c r="X49" s="6"/>
      <c r="Y49" s="6"/>
      <c r="Z49" s="6"/>
      <c r="AA49" s="6"/>
      <c r="AB49" s="6"/>
      <c r="AC49" s="6"/>
      <c r="AD49" s="6"/>
      <c r="AE49" s="6"/>
      <c r="AF49" s="6"/>
      <c r="AG49" s="6"/>
      <c r="AH49" s="6"/>
    </row>
    <row r="50" spans="1:34">
      <c r="A50" s="21" t="s">
        <v>76</v>
      </c>
      <c r="B50" s="42">
        <v>1.06E-4</v>
      </c>
      <c r="C50" s="43">
        <v>0</v>
      </c>
      <c r="D50" s="44">
        <f t="shared" si="11"/>
        <v>0</v>
      </c>
      <c r="E50" s="45" t="str">
        <f t="shared" si="12"/>
        <v>TN</v>
      </c>
      <c r="F50" s="46">
        <f t="shared" si="13"/>
        <v>0</v>
      </c>
      <c r="G50" s="45" t="str">
        <f t="shared" si="14"/>
        <v/>
      </c>
      <c r="H50" s="6"/>
      <c r="I50" s="6"/>
      <c r="J50" s="6" t="str">
        <f>TEXT(J5,"0.0%")</f>
        <v>0.0%</v>
      </c>
      <c r="K50" s="11">
        <f>K5</f>
        <v>500</v>
      </c>
      <c r="L50" s="6"/>
      <c r="M50" s="6"/>
      <c r="N50" s="6"/>
      <c r="O50" s="6"/>
      <c r="P50" s="6"/>
      <c r="Q50" s="6"/>
      <c r="R50" s="6"/>
      <c r="S50" s="6"/>
      <c r="T50" s="6"/>
      <c r="U50" s="6"/>
      <c r="V50" s="6"/>
      <c r="W50" s="6"/>
      <c r="X50" s="6"/>
      <c r="Y50" s="6"/>
      <c r="Z50" s="6"/>
      <c r="AA50" s="6"/>
      <c r="AB50" s="6"/>
      <c r="AC50" s="6"/>
      <c r="AD50" s="6"/>
      <c r="AE50" s="6"/>
      <c r="AF50" s="6"/>
      <c r="AG50" s="6"/>
      <c r="AH50" s="6"/>
    </row>
    <row r="51" spans="1:34">
      <c r="A51" s="21" t="s">
        <v>77</v>
      </c>
      <c r="B51" s="42">
        <v>1.1349999999999999E-3</v>
      </c>
      <c r="C51" s="43">
        <v>0</v>
      </c>
      <c r="D51" s="44">
        <f t="shared" si="11"/>
        <v>0</v>
      </c>
      <c r="E51" s="45" t="str">
        <f t="shared" si="12"/>
        <v>TN</v>
      </c>
      <c r="F51" s="46">
        <f t="shared" si="13"/>
        <v>0</v>
      </c>
      <c r="G51" s="45" t="str">
        <f t="shared" si="14"/>
        <v/>
      </c>
      <c r="H51" s="6"/>
      <c r="I51" s="6"/>
      <c r="J51" s="6" t="str">
        <f>TEXT(J9,"0.0%")</f>
        <v>2.0%</v>
      </c>
      <c r="K51" s="11">
        <f>K9</f>
        <v>520</v>
      </c>
      <c r="L51" s="6"/>
      <c r="M51" s="6"/>
      <c r="N51" s="6"/>
      <c r="O51" s="6"/>
      <c r="P51" s="6"/>
      <c r="Q51" s="6"/>
      <c r="R51" s="6"/>
      <c r="S51" s="6"/>
      <c r="T51" s="6"/>
      <c r="U51" s="6"/>
      <c r="V51" s="6"/>
      <c r="W51" s="6"/>
      <c r="X51" s="6"/>
      <c r="Y51" s="6"/>
      <c r="Z51" s="6"/>
      <c r="AA51" s="6"/>
      <c r="AB51" s="6"/>
      <c r="AC51" s="6"/>
      <c r="AD51" s="6"/>
      <c r="AE51" s="6"/>
      <c r="AF51" s="6"/>
      <c r="AG51" s="6"/>
      <c r="AH51" s="6"/>
    </row>
    <row r="52" spans="1:34">
      <c r="A52" s="21" t="s">
        <v>78</v>
      </c>
      <c r="B52" s="42">
        <v>1.2305E-2</v>
      </c>
      <c r="C52" s="43">
        <v>0</v>
      </c>
      <c r="D52" s="44">
        <f t="shared" si="11"/>
        <v>1</v>
      </c>
      <c r="E52" s="45" t="str">
        <f t="shared" si="12"/>
        <v>FP</v>
      </c>
      <c r="F52" s="46">
        <f t="shared" si="13"/>
        <v>5</v>
      </c>
      <c r="G52" s="45" t="str">
        <f t="shared" si="14"/>
        <v>Alerta innecesaria</v>
      </c>
      <c r="H52" s="6"/>
      <c r="I52" s="6"/>
      <c r="J52" s="6" t="str">
        <f>TEXT(J13,"0.0%")</f>
        <v>4.0%</v>
      </c>
      <c r="K52" s="11">
        <f>K13</f>
        <v>505</v>
      </c>
      <c r="L52" s="6"/>
      <c r="M52" s="6"/>
      <c r="N52" s="6"/>
      <c r="O52" s="6"/>
      <c r="P52" s="6"/>
      <c r="Q52" s="6"/>
      <c r="R52" s="6"/>
      <c r="S52" s="6"/>
      <c r="T52" s="6"/>
      <c r="U52" s="6"/>
      <c r="V52" s="6"/>
      <c r="W52" s="6"/>
      <c r="X52" s="6"/>
      <c r="Y52" s="6"/>
      <c r="Z52" s="6"/>
      <c r="AA52" s="6"/>
      <c r="AB52" s="6"/>
      <c r="AC52" s="6"/>
      <c r="AD52" s="6"/>
      <c r="AE52" s="6"/>
      <c r="AF52" s="6"/>
      <c r="AG52" s="6"/>
      <c r="AH52" s="6"/>
    </row>
    <row r="53" spans="1:34">
      <c r="A53" s="6" t="s">
        <v>79</v>
      </c>
      <c r="B53" s="17">
        <v>1.5300000000000001E-4</v>
      </c>
      <c r="C53" s="18">
        <v>0</v>
      </c>
      <c r="D53" s="19">
        <f t="shared" si="11"/>
        <v>0</v>
      </c>
      <c r="E53" s="20" t="str">
        <f t="shared" si="12"/>
        <v>TN</v>
      </c>
      <c r="F53" s="12">
        <f t="shared" si="13"/>
        <v>0</v>
      </c>
      <c r="G53" s="20" t="str">
        <f t="shared" si="14"/>
        <v/>
      </c>
      <c r="H53" s="6"/>
      <c r="I53" s="6"/>
      <c r="J53" s="6" t="str">
        <f>TEXT(J17,"0.0%")</f>
        <v>6.0%</v>
      </c>
      <c r="K53" s="11">
        <f>K17</f>
        <v>505</v>
      </c>
      <c r="L53" s="6"/>
      <c r="M53" s="6"/>
      <c r="N53" s="6"/>
      <c r="O53" s="6"/>
      <c r="P53" s="6"/>
      <c r="Q53" s="6"/>
      <c r="R53" s="6"/>
      <c r="S53" s="6"/>
      <c r="T53" s="6"/>
      <c r="U53" s="6"/>
      <c r="V53" s="6"/>
      <c r="W53" s="6"/>
      <c r="X53" s="6"/>
      <c r="Y53" s="6"/>
      <c r="Z53" s="6"/>
      <c r="AA53" s="6"/>
      <c r="AB53" s="6"/>
      <c r="AC53" s="6"/>
      <c r="AD53" s="6"/>
      <c r="AE53" s="6"/>
      <c r="AF53" s="6"/>
      <c r="AG53" s="6"/>
      <c r="AH53" s="6"/>
    </row>
    <row r="54" spans="1:34">
      <c r="A54" s="6" t="s">
        <v>80</v>
      </c>
      <c r="B54" s="17">
        <v>2.5669999999999998E-3</v>
      </c>
      <c r="C54" s="18">
        <v>0</v>
      </c>
      <c r="D54" s="19">
        <f t="shared" si="11"/>
        <v>0</v>
      </c>
      <c r="E54" s="20" t="str">
        <f t="shared" si="12"/>
        <v>TN</v>
      </c>
      <c r="F54" s="12">
        <f t="shared" si="13"/>
        <v>0</v>
      </c>
      <c r="G54" s="20" t="str">
        <f t="shared" si="14"/>
        <v/>
      </c>
      <c r="H54" s="6"/>
      <c r="I54" s="6"/>
      <c r="J54" s="6" t="str">
        <f>TEXT(J21,"0.0%")</f>
        <v>8.0%</v>
      </c>
      <c r="K54" s="11">
        <f>K21</f>
        <v>500</v>
      </c>
      <c r="L54" s="6"/>
      <c r="M54" s="6"/>
      <c r="N54" s="6"/>
      <c r="O54" s="6"/>
      <c r="P54" s="6"/>
      <c r="Q54" s="6"/>
      <c r="R54" s="6"/>
      <c r="S54" s="6"/>
      <c r="T54" s="6"/>
      <c r="U54" s="6"/>
      <c r="V54" s="6"/>
      <c r="W54" s="6"/>
      <c r="X54" s="6"/>
      <c r="Y54" s="6"/>
      <c r="Z54" s="6"/>
      <c r="AA54" s="6"/>
      <c r="AB54" s="6"/>
      <c r="AC54" s="6"/>
      <c r="AD54" s="6"/>
      <c r="AE54" s="6"/>
      <c r="AF54" s="6"/>
      <c r="AG54" s="6"/>
      <c r="AH54" s="6"/>
    </row>
    <row r="55" spans="1:34">
      <c r="A55" s="6" t="s">
        <v>81</v>
      </c>
      <c r="B55" s="17">
        <v>1E-4</v>
      </c>
      <c r="C55" s="18">
        <v>0</v>
      </c>
      <c r="D55" s="19">
        <f t="shared" si="11"/>
        <v>0</v>
      </c>
      <c r="E55" s="20" t="str">
        <f t="shared" si="12"/>
        <v>TN</v>
      </c>
      <c r="F55" s="12">
        <f t="shared" si="13"/>
        <v>0</v>
      </c>
      <c r="G55" s="20" t="str">
        <f t="shared" si="14"/>
        <v/>
      </c>
      <c r="H55" s="6"/>
      <c r="I55" s="6"/>
      <c r="J55" s="6" t="str">
        <f>TEXT(J25,"0.0%")</f>
        <v>10.0%</v>
      </c>
      <c r="K55" s="11">
        <f>K25</f>
        <v>500</v>
      </c>
      <c r="L55" s="6"/>
      <c r="M55" s="6"/>
      <c r="N55" s="6"/>
      <c r="O55" s="6"/>
      <c r="P55" s="6"/>
      <c r="Q55" s="6"/>
      <c r="R55" s="6"/>
      <c r="S55" s="6"/>
      <c r="T55" s="6"/>
      <c r="U55" s="6"/>
      <c r="V55" s="6"/>
      <c r="W55" s="6"/>
      <c r="X55" s="6"/>
      <c r="Y55" s="6"/>
      <c r="Z55" s="6"/>
      <c r="AA55" s="6"/>
      <c r="AB55" s="6"/>
      <c r="AC55" s="6"/>
      <c r="AD55" s="6"/>
      <c r="AE55" s="6"/>
      <c r="AF55" s="6"/>
      <c r="AG55" s="6"/>
      <c r="AH55" s="6"/>
    </row>
    <row r="56" spans="1:34">
      <c r="A56" s="6" t="s">
        <v>82</v>
      </c>
      <c r="B56" s="17">
        <v>3.3199999999999999E-4</v>
      </c>
      <c r="C56" s="18">
        <v>0</v>
      </c>
      <c r="D56" s="19">
        <f t="shared" si="11"/>
        <v>0</v>
      </c>
      <c r="E56" s="20" t="str">
        <f t="shared" si="12"/>
        <v>TN</v>
      </c>
      <c r="F56" s="12">
        <f t="shared" si="13"/>
        <v>0</v>
      </c>
      <c r="G56" s="20" t="str">
        <f t="shared" si="14"/>
        <v/>
      </c>
      <c r="H56" s="6"/>
      <c r="I56" s="6"/>
      <c r="J56" s="6" t="str">
        <f>TEXT(J29,"0.0%")</f>
        <v>12.0%</v>
      </c>
      <c r="K56" s="11">
        <f>K29</f>
        <v>500</v>
      </c>
      <c r="L56" s="6"/>
      <c r="M56" s="6"/>
      <c r="N56" s="6"/>
      <c r="O56" s="6"/>
      <c r="P56" s="6"/>
      <c r="Q56" s="6"/>
      <c r="R56" s="6"/>
      <c r="S56" s="6"/>
      <c r="T56" s="6"/>
      <c r="U56" s="6"/>
      <c r="V56" s="6"/>
      <c r="W56" s="6"/>
      <c r="X56" s="6"/>
      <c r="Y56" s="6"/>
      <c r="Z56" s="6"/>
      <c r="AA56" s="6"/>
      <c r="AB56" s="6"/>
      <c r="AC56" s="6"/>
      <c r="AD56" s="6"/>
      <c r="AE56" s="6"/>
      <c r="AF56" s="6"/>
      <c r="AG56" s="6"/>
      <c r="AH56" s="6"/>
    </row>
    <row r="57" spans="1:34">
      <c r="A57" s="6" t="s">
        <v>83</v>
      </c>
      <c r="B57" s="17">
        <v>5.2690000000000002E-3</v>
      </c>
      <c r="C57" s="18">
        <v>0</v>
      </c>
      <c r="D57" s="19">
        <f t="shared" si="11"/>
        <v>0</v>
      </c>
      <c r="E57" s="20" t="str">
        <f t="shared" si="12"/>
        <v>TN</v>
      </c>
      <c r="F57" s="12">
        <f t="shared" si="13"/>
        <v>0</v>
      </c>
      <c r="G57" s="20" t="str">
        <f t="shared" si="14"/>
        <v/>
      </c>
      <c r="H57" s="6"/>
      <c r="I57" s="6"/>
      <c r="J57" s="6" t="str">
        <f>TEXT(J33,"0.0%")</f>
        <v>14.0%</v>
      </c>
      <c r="K57" s="11">
        <f>K33</f>
        <v>500</v>
      </c>
      <c r="L57" s="6"/>
      <c r="M57" s="6"/>
      <c r="N57" s="6"/>
      <c r="O57" s="6"/>
      <c r="P57" s="6"/>
      <c r="Q57" s="6"/>
      <c r="R57" s="6"/>
      <c r="S57" s="6"/>
      <c r="T57" s="6"/>
      <c r="U57" s="6"/>
      <c r="V57" s="6"/>
      <c r="W57" s="6"/>
      <c r="X57" s="6"/>
      <c r="Y57" s="6"/>
      <c r="Z57" s="6"/>
      <c r="AA57" s="6"/>
      <c r="AB57" s="6"/>
      <c r="AC57" s="6"/>
      <c r="AD57" s="6"/>
      <c r="AE57" s="6"/>
      <c r="AF57" s="6"/>
      <c r="AG57" s="6"/>
      <c r="AH57" s="6"/>
    </row>
    <row r="58" spans="1:34">
      <c r="A58" s="6" t="s">
        <v>84</v>
      </c>
      <c r="B58" s="17">
        <v>0.06</v>
      </c>
      <c r="C58" s="18">
        <v>0</v>
      </c>
      <c r="D58" s="19">
        <f t="shared" si="11"/>
        <v>1</v>
      </c>
      <c r="E58" s="20" t="str">
        <f t="shared" si="12"/>
        <v>FP</v>
      </c>
      <c r="F58" s="12">
        <f t="shared" si="13"/>
        <v>5</v>
      </c>
      <c r="G58" s="20" t="str">
        <f t="shared" si="14"/>
        <v>Alerta innecesaria</v>
      </c>
      <c r="H58" s="6"/>
      <c r="I58" s="6"/>
      <c r="J58" s="6" t="str">
        <f>TEXT(J37,"0.0%")</f>
        <v>16.0%</v>
      </c>
      <c r="K58" s="11">
        <f>K37</f>
        <v>500</v>
      </c>
      <c r="L58" s="6"/>
      <c r="M58" s="6"/>
      <c r="N58" s="6"/>
      <c r="O58" s="6"/>
      <c r="P58" s="6"/>
      <c r="Q58" s="6"/>
      <c r="R58" s="6"/>
      <c r="S58" s="6"/>
      <c r="T58" s="6"/>
      <c r="U58" s="6"/>
      <c r="V58" s="6"/>
      <c r="W58" s="6"/>
      <c r="X58" s="6"/>
      <c r="Y58" s="6"/>
      <c r="Z58" s="6"/>
      <c r="AA58" s="6"/>
      <c r="AB58" s="6"/>
      <c r="AC58" s="6"/>
      <c r="AD58" s="6"/>
      <c r="AE58" s="6"/>
      <c r="AF58" s="6"/>
      <c r="AG58" s="6"/>
      <c r="AH58" s="6"/>
    </row>
    <row r="59" spans="1:34">
      <c r="A59" s="6" t="s">
        <v>85</v>
      </c>
      <c r="B59" s="17">
        <v>8.2399999999999997E-4</v>
      </c>
      <c r="C59" s="18">
        <v>0</v>
      </c>
      <c r="D59" s="19">
        <f t="shared" si="11"/>
        <v>0</v>
      </c>
      <c r="E59" s="20" t="str">
        <f t="shared" si="12"/>
        <v>TN</v>
      </c>
      <c r="F59" s="12">
        <f t="shared" si="13"/>
        <v>0</v>
      </c>
      <c r="G59" s="20" t="str">
        <f t="shared" si="14"/>
        <v/>
      </c>
      <c r="H59" s="6"/>
      <c r="I59" s="6"/>
      <c r="J59" s="6" t="str">
        <f>TEXT(J41,"0.0%")</f>
        <v>18.0%</v>
      </c>
      <c r="K59" s="11">
        <f>K41</f>
        <v>500</v>
      </c>
      <c r="L59" s="6"/>
      <c r="M59" s="6"/>
      <c r="N59" s="6"/>
      <c r="O59" s="6"/>
      <c r="P59" s="6"/>
      <c r="Q59" s="6"/>
      <c r="R59" s="6"/>
      <c r="S59" s="6"/>
      <c r="T59" s="6"/>
      <c r="U59" s="6"/>
      <c r="V59" s="6"/>
      <c r="W59" s="6"/>
      <c r="X59" s="6"/>
      <c r="Y59" s="6"/>
      <c r="Z59" s="6"/>
      <c r="AA59" s="6"/>
      <c r="AB59" s="6"/>
      <c r="AC59" s="6"/>
      <c r="AD59" s="6"/>
      <c r="AE59" s="6"/>
      <c r="AF59" s="6"/>
      <c r="AG59" s="6"/>
      <c r="AH59" s="6"/>
    </row>
    <row r="60" spans="1:34">
      <c r="A60" s="6" t="s">
        <v>86</v>
      </c>
      <c r="B60" s="17">
        <v>9.9430000000000004E-3</v>
      </c>
      <c r="C60" s="18">
        <v>0</v>
      </c>
      <c r="D60" s="19">
        <f t="shared" si="11"/>
        <v>0</v>
      </c>
      <c r="E60" s="20" t="str">
        <f t="shared" si="12"/>
        <v>TN</v>
      </c>
      <c r="F60" s="12">
        <f t="shared" si="13"/>
        <v>0</v>
      </c>
      <c r="G60" s="20" t="str">
        <f t="shared" si="14"/>
        <v/>
      </c>
      <c r="H60" s="6"/>
      <c r="I60" s="6"/>
      <c r="J60" s="6" t="str">
        <f>TEXT(J45,"0.0%")</f>
        <v>20.0%</v>
      </c>
      <c r="K60" s="11">
        <f>K45</f>
        <v>500</v>
      </c>
      <c r="L60" s="6"/>
      <c r="M60" s="6"/>
      <c r="N60" s="6"/>
      <c r="O60" s="6"/>
      <c r="P60" s="6"/>
      <c r="Q60" s="6"/>
      <c r="R60" s="6"/>
      <c r="S60" s="6"/>
      <c r="T60" s="6"/>
      <c r="U60" s="6"/>
      <c r="V60" s="6"/>
      <c r="W60" s="6"/>
      <c r="X60" s="6"/>
      <c r="Y60" s="6"/>
      <c r="Z60" s="6"/>
      <c r="AA60" s="6"/>
      <c r="AB60" s="6"/>
      <c r="AC60" s="6"/>
      <c r="AD60" s="6"/>
      <c r="AE60" s="6"/>
      <c r="AF60" s="6"/>
      <c r="AG60" s="6"/>
      <c r="AH60" s="6"/>
    </row>
    <row r="61" spans="1:34">
      <c r="A61" s="6" t="s">
        <v>87</v>
      </c>
      <c r="B61" s="17">
        <v>1.27E-4</v>
      </c>
      <c r="C61" s="18">
        <v>0</v>
      </c>
      <c r="D61" s="19">
        <f t="shared" si="11"/>
        <v>0</v>
      </c>
      <c r="E61" s="20" t="str">
        <f t="shared" si="12"/>
        <v>TN</v>
      </c>
      <c r="F61" s="12">
        <f t="shared" si="13"/>
        <v>0</v>
      </c>
      <c r="G61" s="20" t="str">
        <f t="shared" si="14"/>
        <v/>
      </c>
      <c r="H61" s="6"/>
      <c r="I61" s="6"/>
      <c r="J61" s="6"/>
      <c r="K61" s="6"/>
      <c r="L61" s="6"/>
      <c r="M61" s="6"/>
      <c r="N61" s="6"/>
      <c r="O61" s="6"/>
      <c r="P61" s="6"/>
      <c r="Q61" s="6"/>
      <c r="R61" s="6"/>
      <c r="S61" s="6"/>
      <c r="T61" s="6"/>
      <c r="U61" s="6"/>
      <c r="V61" s="6"/>
      <c r="W61" s="6"/>
      <c r="X61" s="6"/>
      <c r="Y61" s="6"/>
      <c r="Z61" s="6"/>
      <c r="AA61" s="6"/>
      <c r="AB61" s="6"/>
      <c r="AC61" s="6"/>
      <c r="AD61" s="6"/>
      <c r="AE61" s="6"/>
      <c r="AF61" s="6"/>
      <c r="AG61" s="6"/>
      <c r="AH61" s="6"/>
    </row>
    <row r="62" spans="1:34">
      <c r="A62" s="6" t="s">
        <v>88</v>
      </c>
      <c r="B62" s="17">
        <v>1.9300000000000001E-3</v>
      </c>
      <c r="C62" s="18">
        <v>0</v>
      </c>
      <c r="D62" s="19">
        <f t="shared" si="11"/>
        <v>0</v>
      </c>
      <c r="E62" s="20" t="str">
        <f t="shared" si="12"/>
        <v>TN</v>
      </c>
      <c r="F62" s="12">
        <f t="shared" si="13"/>
        <v>0</v>
      </c>
      <c r="G62" s="20" t="str">
        <f t="shared" si="14"/>
        <v/>
      </c>
      <c r="H62" s="6"/>
      <c r="I62" s="6"/>
      <c r="J62" s="6"/>
      <c r="K62" s="6"/>
      <c r="L62" s="6"/>
      <c r="M62" s="6"/>
      <c r="N62" s="6"/>
      <c r="O62" s="6"/>
      <c r="P62" s="6"/>
      <c r="Q62" s="6"/>
      <c r="R62" s="6"/>
      <c r="S62" s="6"/>
      <c r="T62" s="6"/>
      <c r="U62" s="6"/>
      <c r="V62" s="6"/>
      <c r="W62" s="6"/>
      <c r="X62" s="6"/>
      <c r="Y62" s="6"/>
      <c r="Z62" s="6"/>
      <c r="AA62" s="6"/>
      <c r="AB62" s="6"/>
      <c r="AC62" s="6"/>
      <c r="AD62" s="6"/>
      <c r="AE62" s="6"/>
      <c r="AF62" s="6"/>
      <c r="AG62" s="6"/>
      <c r="AH62" s="6"/>
    </row>
    <row r="63" spans="1:34">
      <c r="A63" s="6" t="s">
        <v>89</v>
      </c>
      <c r="B63" s="17">
        <v>1E-4</v>
      </c>
      <c r="C63" s="18">
        <v>0</v>
      </c>
      <c r="D63" s="19">
        <f t="shared" si="11"/>
        <v>0</v>
      </c>
      <c r="E63" s="20" t="str">
        <f t="shared" si="12"/>
        <v>TN</v>
      </c>
      <c r="F63" s="12">
        <f t="shared" si="13"/>
        <v>0</v>
      </c>
      <c r="G63" s="20" t="str">
        <f t="shared" si="14"/>
        <v/>
      </c>
      <c r="H63" s="6"/>
      <c r="I63" s="6"/>
      <c r="J63" s="6"/>
      <c r="K63" s="6"/>
      <c r="L63" s="6"/>
      <c r="M63" s="6"/>
      <c r="N63" s="6"/>
      <c r="O63" s="6"/>
      <c r="P63" s="6"/>
      <c r="Q63" s="6"/>
      <c r="R63" s="6"/>
      <c r="S63" s="6"/>
      <c r="T63" s="6"/>
      <c r="U63" s="6"/>
      <c r="V63" s="6"/>
      <c r="W63" s="6"/>
      <c r="X63" s="6"/>
      <c r="Y63" s="6"/>
      <c r="Z63" s="6"/>
      <c r="AA63" s="6"/>
      <c r="AB63" s="6"/>
      <c r="AC63" s="6"/>
      <c r="AD63" s="6"/>
      <c r="AE63" s="6"/>
      <c r="AF63" s="6"/>
      <c r="AG63" s="6"/>
      <c r="AH63" s="6"/>
    </row>
    <row r="64" spans="1:34">
      <c r="A64" s="6" t="s">
        <v>90</v>
      </c>
      <c r="B64" s="17">
        <v>2.42E-4</v>
      </c>
      <c r="C64" s="18">
        <v>0</v>
      </c>
      <c r="D64" s="19">
        <f t="shared" si="11"/>
        <v>0</v>
      </c>
      <c r="E64" s="20" t="str">
        <f t="shared" si="12"/>
        <v>TN</v>
      </c>
      <c r="F64" s="12">
        <f t="shared" si="13"/>
        <v>0</v>
      </c>
      <c r="G64" s="20" t="str">
        <f t="shared" si="14"/>
        <v/>
      </c>
      <c r="H64" s="6"/>
      <c r="I64" s="6"/>
      <c r="J64" s="6"/>
      <c r="K64" s="6"/>
      <c r="L64" s="6"/>
      <c r="M64" s="6"/>
      <c r="N64" s="6"/>
      <c r="O64" s="6"/>
      <c r="P64" s="6"/>
      <c r="Q64" s="6"/>
      <c r="R64" s="6"/>
      <c r="S64" s="6"/>
      <c r="T64" s="6"/>
      <c r="U64" s="6"/>
      <c r="V64" s="6"/>
      <c r="W64" s="6"/>
      <c r="X64" s="6"/>
      <c r="Y64" s="6"/>
      <c r="Z64" s="6"/>
      <c r="AA64" s="6"/>
      <c r="AB64" s="6"/>
      <c r="AC64" s="6"/>
      <c r="AD64" s="6"/>
      <c r="AE64" s="6"/>
      <c r="AF64" s="6"/>
      <c r="AG64" s="6"/>
      <c r="AH64" s="6"/>
    </row>
    <row r="65" spans="1:34">
      <c r="A65" s="6" t="s">
        <v>91</v>
      </c>
      <c r="B65" s="17">
        <v>4.0990000000000002E-3</v>
      </c>
      <c r="C65" s="18">
        <v>0</v>
      </c>
      <c r="D65" s="19">
        <f t="shared" si="11"/>
        <v>0</v>
      </c>
      <c r="E65" s="20" t="str">
        <f t="shared" si="12"/>
        <v>TN</v>
      </c>
      <c r="F65" s="12">
        <f t="shared" si="13"/>
        <v>0</v>
      </c>
      <c r="G65" s="20" t="str">
        <f t="shared" si="14"/>
        <v/>
      </c>
      <c r="H65" s="6"/>
      <c r="I65" s="6"/>
      <c r="J65" s="6"/>
      <c r="K65" s="6"/>
      <c r="L65" s="6"/>
      <c r="M65" s="6"/>
      <c r="N65" s="6"/>
      <c r="O65" s="6"/>
      <c r="P65" s="6"/>
      <c r="Q65" s="6"/>
      <c r="R65" s="6"/>
      <c r="S65" s="6"/>
      <c r="T65" s="6"/>
      <c r="U65" s="6"/>
      <c r="V65" s="6"/>
      <c r="W65" s="6"/>
      <c r="X65" s="6"/>
      <c r="Y65" s="6"/>
      <c r="Z65" s="6"/>
      <c r="AA65" s="6"/>
      <c r="AB65" s="6"/>
      <c r="AC65" s="6"/>
      <c r="AD65" s="6"/>
      <c r="AE65" s="6"/>
      <c r="AF65" s="6"/>
      <c r="AG65" s="6"/>
      <c r="AH65" s="6"/>
    </row>
    <row r="66" spans="1:34">
      <c r="A66" s="6" t="s">
        <v>92</v>
      </c>
      <c r="B66" s="17">
        <v>1.01E-4</v>
      </c>
      <c r="C66" s="18">
        <v>0</v>
      </c>
      <c r="D66" s="19">
        <f t="shared" si="11"/>
        <v>0</v>
      </c>
      <c r="E66" s="20" t="str">
        <f t="shared" si="12"/>
        <v>TN</v>
      </c>
      <c r="F66" s="12">
        <f t="shared" si="13"/>
        <v>0</v>
      </c>
      <c r="G66" s="20" t="str">
        <f t="shared" si="14"/>
        <v/>
      </c>
      <c r="H66" s="6"/>
      <c r="I66" s="6"/>
      <c r="J66" s="6"/>
      <c r="K66" s="6"/>
      <c r="L66" s="6"/>
      <c r="M66" s="6"/>
      <c r="N66" s="6"/>
      <c r="O66" s="6"/>
      <c r="P66" s="6"/>
      <c r="Q66" s="6"/>
      <c r="R66" s="6"/>
      <c r="S66" s="6"/>
      <c r="T66" s="6"/>
      <c r="U66" s="6"/>
      <c r="V66" s="6"/>
      <c r="W66" s="6"/>
      <c r="X66" s="6"/>
      <c r="Y66" s="6"/>
      <c r="Z66" s="6"/>
      <c r="AA66" s="6"/>
      <c r="AB66" s="6"/>
      <c r="AC66" s="6"/>
      <c r="AD66" s="6"/>
      <c r="AE66" s="6"/>
      <c r="AF66" s="6"/>
      <c r="AG66" s="6"/>
      <c r="AH66" s="6"/>
    </row>
    <row r="67" spans="1:34">
      <c r="A67" s="6" t="s">
        <v>93</v>
      </c>
      <c r="B67" s="17">
        <v>5.9299999999999999E-4</v>
      </c>
      <c r="C67" s="18">
        <v>0</v>
      </c>
      <c r="D67" s="19">
        <f t="shared" si="11"/>
        <v>0</v>
      </c>
      <c r="E67" s="20" t="str">
        <f t="shared" si="12"/>
        <v>TN</v>
      </c>
      <c r="F67" s="12">
        <f t="shared" si="13"/>
        <v>0</v>
      </c>
      <c r="G67" s="20" t="str">
        <f t="shared" si="14"/>
        <v/>
      </c>
      <c r="H67" s="6"/>
      <c r="I67" s="6"/>
      <c r="J67" s="6"/>
      <c r="K67" s="6"/>
      <c r="L67" s="6"/>
      <c r="M67" s="6"/>
      <c r="N67" s="6"/>
      <c r="O67" s="6"/>
      <c r="P67" s="6"/>
      <c r="Q67" s="6"/>
      <c r="R67" s="6"/>
      <c r="S67" s="6"/>
      <c r="T67" s="6"/>
      <c r="U67" s="6"/>
      <c r="V67" s="6"/>
      <c r="W67" s="6"/>
      <c r="X67" s="6"/>
      <c r="Y67" s="6"/>
      <c r="Z67" s="6"/>
      <c r="AA67" s="6"/>
      <c r="AB67" s="6"/>
      <c r="AC67" s="6"/>
      <c r="AD67" s="6"/>
      <c r="AE67" s="6"/>
      <c r="AF67" s="6"/>
      <c r="AG67" s="6"/>
      <c r="AH67" s="6"/>
    </row>
    <row r="68" spans="1:34">
      <c r="A68" s="6" t="s">
        <v>94</v>
      </c>
      <c r="B68" s="17">
        <v>7.9620000000000003E-3</v>
      </c>
      <c r="C68" s="18">
        <v>0</v>
      </c>
      <c r="D68" s="19">
        <f t="shared" si="11"/>
        <v>0</v>
      </c>
      <c r="E68" s="20" t="str">
        <f t="shared" si="12"/>
        <v>TN</v>
      </c>
      <c r="F68" s="12">
        <f t="shared" si="13"/>
        <v>0</v>
      </c>
      <c r="G68" s="20" t="str">
        <f t="shared" si="14"/>
        <v/>
      </c>
      <c r="H68" s="6"/>
      <c r="I68" s="6"/>
      <c r="J68" s="6"/>
      <c r="K68" s="6"/>
      <c r="L68" s="6"/>
      <c r="M68" s="6"/>
      <c r="N68" s="6"/>
      <c r="O68" s="6"/>
      <c r="P68" s="6"/>
      <c r="Q68" s="6"/>
      <c r="R68" s="6"/>
      <c r="S68" s="6"/>
      <c r="T68" s="6"/>
      <c r="U68" s="6"/>
      <c r="V68" s="6"/>
      <c r="W68" s="6"/>
      <c r="X68" s="6"/>
      <c r="Y68" s="6"/>
      <c r="Z68" s="6"/>
      <c r="AA68" s="6"/>
      <c r="AB68" s="6"/>
      <c r="AC68" s="6"/>
      <c r="AD68" s="6"/>
      <c r="AE68" s="6"/>
      <c r="AF68" s="6"/>
      <c r="AG68" s="6"/>
      <c r="AH68" s="6"/>
    </row>
    <row r="69" spans="1:34">
      <c r="A69" s="6" t="s">
        <v>95</v>
      </c>
      <c r="B69" s="17">
        <v>1.13E-4</v>
      </c>
      <c r="C69" s="18">
        <v>0</v>
      </c>
      <c r="D69" s="19">
        <f t="shared" si="11"/>
        <v>0</v>
      </c>
      <c r="E69" s="20" t="str">
        <f t="shared" si="12"/>
        <v>TN</v>
      </c>
      <c r="F69" s="12">
        <f t="shared" si="13"/>
        <v>0</v>
      </c>
      <c r="G69" s="20" t="str">
        <f t="shared" si="14"/>
        <v/>
      </c>
      <c r="H69" s="6"/>
      <c r="I69" s="6"/>
      <c r="J69" s="6"/>
      <c r="K69" s="6"/>
      <c r="L69" s="6"/>
      <c r="M69" s="6"/>
      <c r="N69" s="6"/>
      <c r="O69" s="6"/>
      <c r="P69" s="6"/>
      <c r="Q69" s="6"/>
      <c r="R69" s="6"/>
      <c r="S69" s="6"/>
      <c r="T69" s="6"/>
      <c r="U69" s="6"/>
      <c r="V69" s="6"/>
      <c r="W69" s="6"/>
      <c r="X69" s="6"/>
      <c r="Y69" s="6"/>
      <c r="Z69" s="6"/>
      <c r="AA69" s="6"/>
      <c r="AB69" s="6"/>
      <c r="AC69" s="6"/>
      <c r="AD69" s="6"/>
      <c r="AE69" s="6"/>
      <c r="AF69" s="6"/>
      <c r="AG69" s="6"/>
      <c r="AH69" s="6"/>
    </row>
    <row r="70" spans="1:34">
      <c r="A70" s="6" t="s">
        <v>96</v>
      </c>
      <c r="B70" s="17">
        <v>1.4319999999999999E-3</v>
      </c>
      <c r="C70" s="18">
        <v>0</v>
      </c>
      <c r="D70" s="19">
        <f t="shared" si="11"/>
        <v>0</v>
      </c>
      <c r="E70" s="20" t="str">
        <f t="shared" si="12"/>
        <v>TN</v>
      </c>
      <c r="F70" s="12">
        <f t="shared" si="13"/>
        <v>0</v>
      </c>
      <c r="G70" s="20" t="str">
        <f t="shared" si="14"/>
        <v/>
      </c>
      <c r="H70" s="6"/>
      <c r="I70" s="6"/>
      <c r="J70" s="6"/>
      <c r="K70" s="6"/>
      <c r="L70" s="6"/>
      <c r="M70" s="6"/>
      <c r="N70" s="6"/>
      <c r="O70" s="6"/>
      <c r="P70" s="6"/>
      <c r="Q70" s="6"/>
      <c r="R70" s="6"/>
      <c r="S70" s="6"/>
      <c r="T70" s="6"/>
      <c r="U70" s="6"/>
      <c r="V70" s="6"/>
      <c r="W70" s="6"/>
      <c r="X70" s="6"/>
      <c r="Y70" s="6"/>
      <c r="Z70" s="6"/>
      <c r="AA70" s="6"/>
      <c r="AB70" s="6"/>
      <c r="AC70" s="6"/>
      <c r="AD70" s="6"/>
      <c r="AE70" s="6"/>
      <c r="AF70" s="6"/>
      <c r="AG70" s="6"/>
      <c r="AH70" s="6"/>
    </row>
    <row r="71" spans="1:34">
      <c r="A71" s="6" t="s">
        <v>97</v>
      </c>
      <c r="B71" s="17">
        <v>1.4357999999999999E-2</v>
      </c>
      <c r="C71" s="18">
        <v>0</v>
      </c>
      <c r="D71" s="19">
        <f t="shared" si="11"/>
        <v>1</v>
      </c>
      <c r="E71" s="20" t="str">
        <f t="shared" si="12"/>
        <v>FP</v>
      </c>
      <c r="F71" s="12">
        <f t="shared" si="13"/>
        <v>5</v>
      </c>
      <c r="G71" s="20" t="str">
        <f t="shared" si="14"/>
        <v>Alerta innecesaria</v>
      </c>
      <c r="H71" s="6"/>
      <c r="I71" s="6"/>
      <c r="J71" s="6"/>
      <c r="K71" s="6"/>
      <c r="L71" s="6"/>
      <c r="M71" s="6"/>
      <c r="N71" s="6"/>
      <c r="O71" s="6"/>
      <c r="P71" s="6"/>
      <c r="Q71" s="6"/>
      <c r="R71" s="6"/>
      <c r="S71" s="6"/>
      <c r="T71" s="6"/>
      <c r="U71" s="6"/>
      <c r="V71" s="6"/>
      <c r="W71" s="6"/>
      <c r="X71" s="6"/>
      <c r="Y71" s="6"/>
      <c r="Z71" s="6"/>
      <c r="AA71" s="6"/>
      <c r="AB71" s="6"/>
      <c r="AC71" s="6"/>
      <c r="AD71" s="6"/>
      <c r="AE71" s="6"/>
      <c r="AF71" s="6"/>
      <c r="AG71" s="6"/>
      <c r="AH71" s="6"/>
    </row>
    <row r="72" spans="1:34">
      <c r="A72" s="6" t="s">
        <v>98</v>
      </c>
      <c r="B72" s="17">
        <v>1.83E-4</v>
      </c>
      <c r="C72" s="18">
        <v>0</v>
      </c>
      <c r="D72" s="19">
        <f t="shared" si="11"/>
        <v>0</v>
      </c>
      <c r="E72" s="20" t="str">
        <f t="shared" si="12"/>
        <v>TN</v>
      </c>
      <c r="F72" s="12">
        <f t="shared" si="13"/>
        <v>0</v>
      </c>
      <c r="G72" s="20" t="str">
        <f t="shared" si="14"/>
        <v/>
      </c>
      <c r="H72" s="6"/>
      <c r="I72" s="6"/>
      <c r="J72" s="6"/>
      <c r="K72" s="6"/>
      <c r="L72" s="6"/>
      <c r="M72" s="6"/>
      <c r="N72" s="6"/>
      <c r="O72" s="6"/>
      <c r="P72" s="6"/>
      <c r="Q72" s="6"/>
      <c r="R72" s="6"/>
      <c r="S72" s="6"/>
      <c r="T72" s="6"/>
      <c r="U72" s="6"/>
      <c r="V72" s="6"/>
      <c r="W72" s="6"/>
      <c r="X72" s="6"/>
      <c r="Y72" s="6"/>
      <c r="Z72" s="6"/>
      <c r="AA72" s="6"/>
      <c r="AB72" s="6"/>
      <c r="AC72" s="6"/>
      <c r="AD72" s="6"/>
      <c r="AE72" s="6"/>
      <c r="AF72" s="6"/>
      <c r="AG72" s="6"/>
      <c r="AH72" s="6"/>
    </row>
    <row r="73" spans="1:34">
      <c r="A73" s="6" t="s">
        <v>99</v>
      </c>
      <c r="B73" s="17">
        <v>3.1519999999999999E-3</v>
      </c>
      <c r="C73" s="18">
        <v>0</v>
      </c>
      <c r="D73" s="19">
        <f t="shared" si="11"/>
        <v>0</v>
      </c>
      <c r="E73" s="20" t="str">
        <f t="shared" si="12"/>
        <v>TN</v>
      </c>
      <c r="F73" s="12">
        <f t="shared" si="13"/>
        <v>0</v>
      </c>
      <c r="G73" s="20" t="str">
        <f t="shared" si="14"/>
        <v/>
      </c>
      <c r="H73" s="6"/>
      <c r="I73" s="6"/>
      <c r="J73" s="6"/>
      <c r="K73" s="6"/>
      <c r="L73" s="6"/>
      <c r="M73" s="6"/>
      <c r="N73" s="6"/>
      <c r="O73" s="6"/>
      <c r="P73" s="6"/>
      <c r="Q73" s="6"/>
      <c r="R73" s="6"/>
      <c r="S73" s="6"/>
      <c r="T73" s="6"/>
      <c r="U73" s="6"/>
      <c r="V73" s="6"/>
      <c r="W73" s="6"/>
      <c r="X73" s="6"/>
      <c r="Y73" s="6"/>
      <c r="Z73" s="6"/>
      <c r="AA73" s="6"/>
      <c r="AB73" s="6"/>
      <c r="AC73" s="6"/>
      <c r="AD73" s="6"/>
      <c r="AE73" s="6"/>
      <c r="AF73" s="6"/>
      <c r="AG73" s="6"/>
      <c r="AH73" s="6"/>
    </row>
    <row r="74" spans="1:34">
      <c r="A74" s="6" t="s">
        <v>100</v>
      </c>
      <c r="B74" s="17">
        <v>1E-4</v>
      </c>
      <c r="C74" s="18">
        <v>0</v>
      </c>
      <c r="D74" s="19">
        <f t="shared" si="11"/>
        <v>0</v>
      </c>
      <c r="E74" s="20" t="str">
        <f t="shared" si="12"/>
        <v>TN</v>
      </c>
      <c r="F74" s="12">
        <f t="shared" si="13"/>
        <v>0</v>
      </c>
      <c r="G74" s="20" t="str">
        <f t="shared" si="14"/>
        <v/>
      </c>
      <c r="H74" s="6"/>
      <c r="I74" s="6"/>
      <c r="J74" s="6"/>
      <c r="K74" s="6"/>
      <c r="L74" s="6"/>
      <c r="M74" s="6"/>
      <c r="N74" s="6"/>
      <c r="O74" s="6"/>
      <c r="P74" s="6"/>
      <c r="Q74" s="6"/>
      <c r="R74" s="6"/>
      <c r="S74" s="6"/>
      <c r="T74" s="6"/>
      <c r="U74" s="6"/>
      <c r="V74" s="6"/>
      <c r="W74" s="6"/>
      <c r="X74" s="6"/>
      <c r="Y74" s="6"/>
      <c r="Z74" s="6"/>
      <c r="AA74" s="6"/>
      <c r="AB74" s="6"/>
      <c r="AC74" s="6"/>
      <c r="AD74" s="6"/>
      <c r="AE74" s="6"/>
      <c r="AF74" s="6"/>
      <c r="AG74" s="6"/>
      <c r="AH74" s="6"/>
    </row>
    <row r="75" spans="1:34">
      <c r="A75" s="6" t="s">
        <v>101</v>
      </c>
      <c r="B75" s="17">
        <v>4.2499999999999998E-4</v>
      </c>
      <c r="C75" s="18">
        <v>0</v>
      </c>
      <c r="D75" s="19">
        <f t="shared" si="11"/>
        <v>0</v>
      </c>
      <c r="E75" s="20" t="str">
        <f t="shared" si="12"/>
        <v>TN</v>
      </c>
      <c r="F75" s="12">
        <f t="shared" si="13"/>
        <v>0</v>
      </c>
      <c r="G75" s="20" t="str">
        <f t="shared" si="14"/>
        <v/>
      </c>
      <c r="H75" s="6"/>
      <c r="I75" s="6"/>
      <c r="J75" s="6"/>
      <c r="K75" s="6"/>
      <c r="L75" s="6"/>
      <c r="M75" s="6"/>
      <c r="N75" s="6"/>
      <c r="O75" s="6"/>
      <c r="P75" s="6"/>
      <c r="Q75" s="6"/>
      <c r="R75" s="6"/>
      <c r="S75" s="6"/>
      <c r="T75" s="6"/>
      <c r="U75" s="6"/>
      <c r="V75" s="6"/>
      <c r="W75" s="6"/>
      <c r="X75" s="6"/>
      <c r="Y75" s="6"/>
      <c r="Z75" s="6"/>
      <c r="AA75" s="6"/>
      <c r="AB75" s="6"/>
      <c r="AC75" s="6"/>
      <c r="AD75" s="6"/>
      <c r="AE75" s="6"/>
      <c r="AF75" s="6"/>
      <c r="AG75" s="6"/>
      <c r="AH75" s="6"/>
    </row>
    <row r="76" spans="1:34">
      <c r="A76" s="6" t="s">
        <v>102</v>
      </c>
      <c r="B76" s="17">
        <v>6.313E-3</v>
      </c>
      <c r="C76" s="18">
        <v>0</v>
      </c>
      <c r="D76" s="19">
        <f t="shared" si="11"/>
        <v>0</v>
      </c>
      <c r="E76" s="20" t="str">
        <f t="shared" si="12"/>
        <v>TN</v>
      </c>
      <c r="F76" s="12">
        <f t="shared" si="13"/>
        <v>0</v>
      </c>
      <c r="G76" s="20" t="str">
        <f t="shared" si="14"/>
        <v/>
      </c>
      <c r="H76" s="6"/>
      <c r="I76" s="6"/>
      <c r="J76" s="6"/>
      <c r="K76" s="6"/>
      <c r="L76" s="6"/>
      <c r="M76" s="6"/>
      <c r="N76" s="6"/>
      <c r="O76" s="6"/>
      <c r="P76" s="6"/>
      <c r="Q76" s="6"/>
      <c r="R76" s="6"/>
      <c r="S76" s="6"/>
      <c r="T76" s="6"/>
      <c r="U76" s="6"/>
      <c r="V76" s="6"/>
      <c r="W76" s="6"/>
      <c r="X76" s="6"/>
      <c r="Y76" s="6"/>
      <c r="Z76" s="6"/>
      <c r="AA76" s="6"/>
      <c r="AB76" s="6"/>
      <c r="AC76" s="6"/>
      <c r="AD76" s="6"/>
      <c r="AE76" s="6"/>
      <c r="AF76" s="6"/>
      <c r="AG76" s="6"/>
      <c r="AH76" s="6"/>
    </row>
    <row r="77" spans="1:34">
      <c r="A77" s="6" t="s">
        <v>103</v>
      </c>
      <c r="B77" s="17">
        <v>1.05E-4</v>
      </c>
      <c r="C77" s="18">
        <v>0</v>
      </c>
      <c r="D77" s="19">
        <f t="shared" si="11"/>
        <v>0</v>
      </c>
      <c r="E77" s="20" t="str">
        <f t="shared" si="12"/>
        <v>TN</v>
      </c>
      <c r="F77" s="12">
        <f t="shared" si="13"/>
        <v>0</v>
      </c>
      <c r="G77" s="20" t="str">
        <f t="shared" si="14"/>
        <v/>
      </c>
      <c r="H77" s="6"/>
      <c r="I77" s="6"/>
      <c r="J77" s="6"/>
      <c r="K77" s="6"/>
      <c r="L77" s="6"/>
      <c r="M77" s="6"/>
      <c r="N77" s="6"/>
      <c r="O77" s="6"/>
      <c r="P77" s="6"/>
      <c r="Q77" s="6"/>
      <c r="R77" s="6"/>
      <c r="S77" s="6"/>
      <c r="T77" s="6"/>
      <c r="U77" s="6"/>
      <c r="V77" s="6"/>
      <c r="W77" s="6"/>
      <c r="X77" s="6"/>
      <c r="Y77" s="6"/>
      <c r="Z77" s="6"/>
      <c r="AA77" s="6"/>
      <c r="AB77" s="6"/>
      <c r="AC77" s="6"/>
      <c r="AD77" s="6"/>
      <c r="AE77" s="6"/>
      <c r="AF77" s="6"/>
      <c r="AG77" s="6"/>
      <c r="AH77" s="6"/>
    </row>
    <row r="78" spans="1:34">
      <c r="A78" s="6" t="s">
        <v>104</v>
      </c>
      <c r="B78" s="17">
        <v>1.049E-3</v>
      </c>
      <c r="C78" s="18">
        <v>0</v>
      </c>
      <c r="D78" s="19">
        <f t="shared" si="11"/>
        <v>0</v>
      </c>
      <c r="E78" s="20" t="str">
        <f t="shared" si="12"/>
        <v>TN</v>
      </c>
      <c r="F78" s="12">
        <f t="shared" si="13"/>
        <v>0</v>
      </c>
      <c r="G78" s="20" t="str">
        <f t="shared" si="14"/>
        <v/>
      </c>
      <c r="H78" s="6"/>
      <c r="I78" s="6"/>
      <c r="J78" s="6"/>
      <c r="K78" s="6"/>
      <c r="L78" s="6"/>
      <c r="M78" s="6"/>
      <c r="N78" s="6"/>
      <c r="O78" s="6"/>
      <c r="P78" s="6"/>
      <c r="Q78" s="6"/>
      <c r="R78" s="6"/>
      <c r="S78" s="6"/>
      <c r="T78" s="6"/>
      <c r="U78" s="6"/>
      <c r="V78" s="6"/>
      <c r="W78" s="6"/>
      <c r="X78" s="6"/>
      <c r="Y78" s="6"/>
      <c r="Z78" s="6"/>
      <c r="AA78" s="6"/>
      <c r="AB78" s="6"/>
      <c r="AC78" s="6"/>
      <c r="AD78" s="6"/>
      <c r="AE78" s="6"/>
      <c r="AF78" s="6"/>
      <c r="AG78" s="6"/>
      <c r="AH78" s="6"/>
    </row>
    <row r="79" spans="1:34">
      <c r="A79" s="6" t="s">
        <v>105</v>
      </c>
      <c r="B79" s="17">
        <v>1.1676000000000001E-2</v>
      </c>
      <c r="C79" s="18">
        <v>0</v>
      </c>
      <c r="D79" s="19">
        <f t="shared" si="11"/>
        <v>1</v>
      </c>
      <c r="E79" s="20" t="str">
        <f t="shared" si="12"/>
        <v>FP</v>
      </c>
      <c r="F79" s="12">
        <f t="shared" si="13"/>
        <v>5</v>
      </c>
      <c r="G79" s="20" t="str">
        <f t="shared" si="14"/>
        <v>Alerta innecesaria</v>
      </c>
      <c r="H79" s="6"/>
      <c r="I79" s="6"/>
      <c r="J79" s="6"/>
      <c r="K79" s="6"/>
      <c r="L79" s="6"/>
      <c r="M79" s="6"/>
      <c r="N79" s="6"/>
      <c r="O79" s="6"/>
      <c r="P79" s="6"/>
      <c r="Q79" s="6"/>
      <c r="R79" s="6"/>
      <c r="S79" s="6"/>
      <c r="T79" s="6"/>
      <c r="U79" s="6"/>
      <c r="V79" s="6"/>
      <c r="W79" s="6"/>
      <c r="X79" s="6"/>
      <c r="Y79" s="6"/>
      <c r="Z79" s="6"/>
      <c r="AA79" s="6"/>
      <c r="AB79" s="6"/>
      <c r="AC79" s="6"/>
      <c r="AD79" s="6"/>
      <c r="AE79" s="6"/>
      <c r="AF79" s="6"/>
      <c r="AG79" s="6"/>
      <c r="AH79" s="6"/>
    </row>
    <row r="80" spans="1:34">
      <c r="A80" s="6" t="s">
        <v>106</v>
      </c>
      <c r="B80" s="17">
        <v>1.45E-4</v>
      </c>
      <c r="C80" s="18">
        <v>0</v>
      </c>
      <c r="D80" s="19">
        <f t="shared" si="11"/>
        <v>0</v>
      </c>
      <c r="E80" s="20" t="str">
        <f t="shared" si="12"/>
        <v>TN</v>
      </c>
      <c r="F80" s="12">
        <f t="shared" si="13"/>
        <v>0</v>
      </c>
      <c r="G80" s="20" t="str">
        <f t="shared" si="14"/>
        <v/>
      </c>
      <c r="H80" s="6"/>
      <c r="I80" s="6"/>
      <c r="J80" s="6"/>
      <c r="K80" s="6"/>
      <c r="L80" s="6"/>
      <c r="M80" s="6"/>
      <c r="N80" s="6"/>
      <c r="O80" s="6"/>
      <c r="P80" s="6"/>
      <c r="Q80" s="6"/>
      <c r="R80" s="6"/>
      <c r="S80" s="6"/>
      <c r="T80" s="6"/>
      <c r="U80" s="6"/>
      <c r="V80" s="6"/>
      <c r="W80" s="6"/>
      <c r="X80" s="6"/>
      <c r="Y80" s="6"/>
      <c r="Z80" s="6"/>
      <c r="AA80" s="6"/>
      <c r="AB80" s="6"/>
      <c r="AC80" s="6"/>
      <c r="AD80" s="6"/>
      <c r="AE80" s="6"/>
      <c r="AF80" s="6"/>
      <c r="AG80" s="6"/>
      <c r="AH80" s="6"/>
    </row>
    <row r="81" spans="1:34">
      <c r="A81" s="6" t="s">
        <v>107</v>
      </c>
      <c r="B81" s="17">
        <v>2.3930000000000002E-3</v>
      </c>
      <c r="C81" s="18">
        <v>0</v>
      </c>
      <c r="D81" s="19">
        <f t="shared" ref="D81:D116" si="15">--(B81&gt;=$B$13)</f>
        <v>0</v>
      </c>
      <c r="E81" s="20" t="str">
        <f t="shared" ref="E81:E112" si="16">IF(C81=1,IF(D81=1,"TP","FN"),IF(D81=1,"FP","TN"))</f>
        <v>TN</v>
      </c>
      <c r="F81" s="12">
        <f t="shared" ref="F81:F116" si="17">IF(C81=1,IF(D81=1,$B$6,$B$9),IF(D81=1,$B$7,$B$10))</f>
        <v>0</v>
      </c>
      <c r="G81" s="20" t="str">
        <f t="shared" ref="G81:G116" si="18">IF(E81="FN","Fraude no detectado",IF(E81="FP","Alerta innecesaria",""))</f>
        <v/>
      </c>
      <c r="H81" s="6"/>
      <c r="I81" s="6"/>
      <c r="J81" s="6"/>
      <c r="K81" s="6"/>
      <c r="L81" s="6"/>
      <c r="M81" s="6"/>
      <c r="N81" s="6"/>
      <c r="O81" s="6"/>
      <c r="P81" s="6"/>
      <c r="Q81" s="6"/>
      <c r="R81" s="6"/>
      <c r="S81" s="6"/>
      <c r="T81" s="6"/>
      <c r="U81" s="6"/>
      <c r="V81" s="6"/>
      <c r="W81" s="6"/>
      <c r="X81" s="6"/>
      <c r="Y81" s="6"/>
      <c r="Z81" s="6"/>
      <c r="AA81" s="6"/>
      <c r="AB81" s="6"/>
      <c r="AC81" s="6"/>
      <c r="AD81" s="6"/>
      <c r="AE81" s="6"/>
      <c r="AF81" s="6"/>
      <c r="AG81" s="6"/>
      <c r="AH81" s="6"/>
    </row>
    <row r="82" spans="1:34">
      <c r="A82" s="6" t="s">
        <v>108</v>
      </c>
      <c r="B82" s="17">
        <v>1E-4</v>
      </c>
      <c r="C82" s="18">
        <v>0</v>
      </c>
      <c r="D82" s="19">
        <f t="shared" si="15"/>
        <v>0</v>
      </c>
      <c r="E82" s="20" t="str">
        <f t="shared" si="16"/>
        <v>TN</v>
      </c>
      <c r="F82" s="12">
        <f t="shared" si="17"/>
        <v>0</v>
      </c>
      <c r="G82" s="20" t="str">
        <f t="shared" si="18"/>
        <v/>
      </c>
      <c r="H82" s="6"/>
      <c r="I82" s="6"/>
      <c r="J82" s="6"/>
      <c r="K82" s="6"/>
      <c r="L82" s="6"/>
      <c r="M82" s="6"/>
      <c r="N82" s="6"/>
      <c r="O82" s="6"/>
      <c r="P82" s="6"/>
      <c r="Q82" s="6"/>
      <c r="R82" s="6"/>
      <c r="S82" s="6"/>
      <c r="T82" s="6"/>
      <c r="U82" s="6"/>
      <c r="V82" s="6"/>
      <c r="W82" s="6"/>
      <c r="X82" s="6"/>
      <c r="Y82" s="6"/>
      <c r="Z82" s="6"/>
      <c r="AA82" s="6"/>
      <c r="AB82" s="6"/>
      <c r="AC82" s="6"/>
      <c r="AD82" s="6"/>
      <c r="AE82" s="6"/>
      <c r="AF82" s="6"/>
      <c r="AG82" s="6"/>
      <c r="AH82" s="6"/>
    </row>
    <row r="83" spans="1:34">
      <c r="A83" s="6" t="s">
        <v>109</v>
      </c>
      <c r="B83" s="17">
        <v>3.0600000000000001E-4</v>
      </c>
      <c r="C83" s="18">
        <v>0</v>
      </c>
      <c r="D83" s="19">
        <f t="shared" si="15"/>
        <v>0</v>
      </c>
      <c r="E83" s="20" t="str">
        <f t="shared" si="16"/>
        <v>TN</v>
      </c>
      <c r="F83" s="12">
        <f t="shared" si="17"/>
        <v>0</v>
      </c>
      <c r="G83" s="20" t="str">
        <f t="shared" si="18"/>
        <v/>
      </c>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spans="1:34">
      <c r="A84" s="6" t="s">
        <v>110</v>
      </c>
      <c r="B84" s="17">
        <v>4.9529999999999999E-3</v>
      </c>
      <c r="C84" s="18">
        <v>0</v>
      </c>
      <c r="D84" s="19">
        <f t="shared" si="15"/>
        <v>0</v>
      </c>
      <c r="E84" s="20" t="str">
        <f t="shared" si="16"/>
        <v>TN</v>
      </c>
      <c r="F84" s="12">
        <f t="shared" si="17"/>
        <v>0</v>
      </c>
      <c r="G84" s="20" t="str">
        <f t="shared" si="18"/>
        <v/>
      </c>
      <c r="H84" s="6"/>
      <c r="I84" s="6"/>
      <c r="J84" s="6"/>
      <c r="K84" s="6"/>
      <c r="L84" s="6"/>
      <c r="M84" s="6"/>
      <c r="N84" s="6"/>
      <c r="O84" s="6"/>
      <c r="P84" s="6"/>
      <c r="Q84" s="6"/>
      <c r="R84" s="6"/>
      <c r="S84" s="6"/>
      <c r="T84" s="6"/>
      <c r="U84" s="6"/>
      <c r="V84" s="6"/>
      <c r="W84" s="6"/>
      <c r="X84" s="6"/>
      <c r="Y84" s="6"/>
      <c r="Z84" s="6"/>
      <c r="AA84" s="6"/>
      <c r="AB84" s="6"/>
      <c r="AC84" s="6"/>
      <c r="AD84" s="6"/>
      <c r="AE84" s="6"/>
      <c r="AF84" s="6"/>
      <c r="AG84" s="6"/>
      <c r="AH84" s="6"/>
    </row>
    <row r="85" spans="1:34">
      <c r="A85" s="6" t="s">
        <v>111</v>
      </c>
      <c r="B85" s="17">
        <v>1.7999999999999999E-2</v>
      </c>
      <c r="C85" s="18">
        <v>0</v>
      </c>
      <c r="D85" s="19">
        <f t="shared" si="15"/>
        <v>1</v>
      </c>
      <c r="E85" s="20" t="str">
        <f t="shared" si="16"/>
        <v>FP</v>
      </c>
      <c r="F85" s="12">
        <f t="shared" si="17"/>
        <v>5</v>
      </c>
      <c r="G85" s="20" t="str">
        <f t="shared" si="18"/>
        <v>Alerta innecesaria</v>
      </c>
      <c r="H85" s="6"/>
      <c r="I85" s="6"/>
      <c r="J85" s="6"/>
      <c r="K85" s="6"/>
      <c r="L85" s="6"/>
      <c r="M85" s="6"/>
      <c r="N85" s="6"/>
      <c r="O85" s="6"/>
      <c r="P85" s="6"/>
      <c r="Q85" s="6"/>
      <c r="R85" s="6"/>
      <c r="S85" s="6"/>
      <c r="T85" s="6"/>
      <c r="U85" s="6"/>
      <c r="V85" s="6"/>
      <c r="W85" s="6"/>
      <c r="X85" s="6"/>
      <c r="Y85" s="6"/>
      <c r="Z85" s="6"/>
      <c r="AA85" s="6"/>
      <c r="AB85" s="6"/>
      <c r="AC85" s="6"/>
      <c r="AD85" s="6"/>
      <c r="AE85" s="6"/>
      <c r="AF85" s="6"/>
      <c r="AG85" s="6"/>
      <c r="AH85" s="6"/>
    </row>
    <row r="86" spans="1:34">
      <c r="A86" s="6" t="s">
        <v>112</v>
      </c>
      <c r="B86" s="17">
        <v>7.6000000000000004E-4</v>
      </c>
      <c r="C86" s="18">
        <v>0</v>
      </c>
      <c r="D86" s="19">
        <f t="shared" si="15"/>
        <v>0</v>
      </c>
      <c r="E86" s="20" t="str">
        <f t="shared" si="16"/>
        <v>TN</v>
      </c>
      <c r="F86" s="12">
        <f t="shared" si="17"/>
        <v>0</v>
      </c>
      <c r="G86" s="20" t="str">
        <f t="shared" si="18"/>
        <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row>
    <row r="87" spans="1:34">
      <c r="A87" s="6" t="s">
        <v>113</v>
      </c>
      <c r="B87" s="17">
        <v>9.4140000000000005E-3</v>
      </c>
      <c r="C87" s="18">
        <v>0</v>
      </c>
      <c r="D87" s="19">
        <f t="shared" si="15"/>
        <v>0</v>
      </c>
      <c r="E87" s="20" t="str">
        <f t="shared" si="16"/>
        <v>TN</v>
      </c>
      <c r="F87" s="12">
        <f t="shared" si="17"/>
        <v>0</v>
      </c>
      <c r="G87" s="20" t="str">
        <f t="shared" si="18"/>
        <v/>
      </c>
      <c r="H87" s="6"/>
      <c r="I87" s="6"/>
      <c r="J87" s="6"/>
      <c r="K87" s="6"/>
      <c r="L87" s="6"/>
      <c r="M87" s="6"/>
      <c r="N87" s="6"/>
      <c r="O87" s="6"/>
      <c r="P87" s="6"/>
      <c r="Q87" s="6"/>
      <c r="R87" s="6"/>
      <c r="S87" s="6"/>
      <c r="T87" s="6"/>
      <c r="U87" s="6"/>
      <c r="V87" s="6"/>
      <c r="W87" s="6"/>
      <c r="X87" s="6"/>
      <c r="Y87" s="6"/>
      <c r="Z87" s="6"/>
      <c r="AA87" s="6"/>
      <c r="AB87" s="6"/>
      <c r="AC87" s="6"/>
      <c r="AD87" s="6"/>
      <c r="AE87" s="6"/>
      <c r="AF87" s="6"/>
      <c r="AG87" s="6"/>
      <c r="AH87" s="6"/>
    </row>
    <row r="88" spans="1:34">
      <c r="A88" s="6" t="s">
        <v>114</v>
      </c>
      <c r="B88" s="17">
        <v>1.2300000000000001E-4</v>
      </c>
      <c r="C88" s="18">
        <v>0</v>
      </c>
      <c r="D88" s="19">
        <f t="shared" si="15"/>
        <v>0</v>
      </c>
      <c r="E88" s="20" t="str">
        <f t="shared" si="16"/>
        <v>TN</v>
      </c>
      <c r="F88" s="12">
        <f t="shared" si="17"/>
        <v>0</v>
      </c>
      <c r="G88" s="20" t="str">
        <f t="shared" si="18"/>
        <v/>
      </c>
      <c r="H88" s="6"/>
      <c r="I88" s="6"/>
      <c r="J88" s="6"/>
      <c r="K88" s="6"/>
      <c r="L88" s="6"/>
      <c r="M88" s="6"/>
      <c r="N88" s="6"/>
      <c r="O88" s="6"/>
      <c r="P88" s="6"/>
      <c r="Q88" s="6"/>
      <c r="R88" s="6"/>
      <c r="S88" s="6"/>
      <c r="T88" s="6"/>
      <c r="U88" s="6"/>
      <c r="V88" s="6"/>
      <c r="W88" s="6"/>
      <c r="X88" s="6"/>
      <c r="Y88" s="6"/>
      <c r="Z88" s="6"/>
      <c r="AA88" s="6"/>
      <c r="AB88" s="6"/>
      <c r="AC88" s="6"/>
      <c r="AD88" s="6"/>
      <c r="AE88" s="6"/>
      <c r="AF88" s="6"/>
      <c r="AG88" s="6"/>
      <c r="AH88" s="6"/>
    </row>
    <row r="89" spans="1:34">
      <c r="A89" s="6" t="s">
        <v>115</v>
      </c>
      <c r="B89" s="17">
        <v>1.794E-3</v>
      </c>
      <c r="C89" s="18">
        <v>0</v>
      </c>
      <c r="D89" s="19">
        <f t="shared" si="15"/>
        <v>0</v>
      </c>
      <c r="E89" s="20" t="str">
        <f t="shared" si="16"/>
        <v>TN</v>
      </c>
      <c r="F89" s="12">
        <f t="shared" si="17"/>
        <v>0</v>
      </c>
      <c r="G89" s="20" t="str">
        <f t="shared" si="18"/>
        <v/>
      </c>
      <c r="H89" s="6"/>
      <c r="I89" s="6"/>
      <c r="J89" s="6"/>
      <c r="K89" s="6"/>
      <c r="L89" s="6"/>
      <c r="M89" s="6"/>
      <c r="N89" s="6"/>
      <c r="O89" s="6"/>
      <c r="P89" s="6"/>
      <c r="Q89" s="6"/>
      <c r="R89" s="6"/>
      <c r="S89" s="6"/>
      <c r="T89" s="6"/>
      <c r="U89" s="6"/>
      <c r="V89" s="6"/>
      <c r="W89" s="6"/>
      <c r="X89" s="6"/>
      <c r="Y89" s="6"/>
      <c r="Z89" s="6"/>
      <c r="AA89" s="6"/>
      <c r="AB89" s="6"/>
      <c r="AC89" s="6"/>
      <c r="AD89" s="6"/>
      <c r="AE89" s="6"/>
      <c r="AF89" s="6"/>
      <c r="AG89" s="6"/>
      <c r="AH89" s="6"/>
    </row>
    <row r="90" spans="1:34">
      <c r="A90" s="6" t="s">
        <v>116</v>
      </c>
      <c r="B90" s="17">
        <v>1E-4</v>
      </c>
      <c r="C90" s="18">
        <v>0</v>
      </c>
      <c r="D90" s="19">
        <f t="shared" si="15"/>
        <v>0</v>
      </c>
      <c r="E90" s="20" t="str">
        <f t="shared" si="16"/>
        <v>TN</v>
      </c>
      <c r="F90" s="12">
        <f t="shared" si="17"/>
        <v>0</v>
      </c>
      <c r="G90" s="20" t="str">
        <f t="shared" si="18"/>
        <v/>
      </c>
      <c r="H90" s="6"/>
      <c r="I90" s="6"/>
      <c r="J90" s="6"/>
      <c r="K90" s="6"/>
      <c r="L90" s="6"/>
      <c r="M90" s="6"/>
      <c r="N90" s="6"/>
      <c r="O90" s="6"/>
      <c r="P90" s="6"/>
      <c r="Q90" s="6"/>
      <c r="R90" s="6"/>
      <c r="S90" s="6"/>
      <c r="T90" s="6"/>
      <c r="U90" s="6"/>
      <c r="V90" s="6"/>
      <c r="W90" s="6"/>
      <c r="X90" s="6"/>
      <c r="Y90" s="6"/>
      <c r="Z90" s="6"/>
      <c r="AA90" s="6"/>
      <c r="AB90" s="6"/>
      <c r="AC90" s="6"/>
      <c r="AD90" s="6"/>
      <c r="AE90" s="6"/>
      <c r="AF90" s="6"/>
      <c r="AG90" s="6"/>
      <c r="AH90" s="6"/>
    </row>
    <row r="91" spans="1:34">
      <c r="A91" s="6" t="s">
        <v>117</v>
      </c>
      <c r="B91" s="17">
        <v>2.2499999999999999E-4</v>
      </c>
      <c r="C91" s="18">
        <v>0</v>
      </c>
      <c r="D91" s="19">
        <f t="shared" si="15"/>
        <v>0</v>
      </c>
      <c r="E91" s="20" t="str">
        <f t="shared" si="16"/>
        <v>TN</v>
      </c>
      <c r="F91" s="12">
        <f t="shared" si="17"/>
        <v>0</v>
      </c>
      <c r="G91" s="20" t="str">
        <f t="shared" si="18"/>
        <v/>
      </c>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spans="1:34">
      <c r="A92" s="6" t="s">
        <v>118</v>
      </c>
      <c r="B92" s="17">
        <v>3.8430000000000001E-3</v>
      </c>
      <c r="C92" s="18">
        <v>0</v>
      </c>
      <c r="D92" s="19">
        <f t="shared" si="15"/>
        <v>0</v>
      </c>
      <c r="E92" s="20" t="str">
        <f t="shared" si="16"/>
        <v>TN</v>
      </c>
      <c r="F92" s="12">
        <f t="shared" si="17"/>
        <v>0</v>
      </c>
      <c r="G92" s="20" t="str">
        <f t="shared" si="18"/>
        <v/>
      </c>
      <c r="H92" s="6"/>
      <c r="I92" s="6"/>
      <c r="J92" s="6"/>
      <c r="K92" s="6"/>
      <c r="L92" s="6"/>
      <c r="M92" s="6"/>
      <c r="N92" s="6"/>
      <c r="O92" s="6"/>
      <c r="P92" s="6"/>
      <c r="Q92" s="6"/>
      <c r="R92" s="6"/>
      <c r="S92" s="6"/>
      <c r="T92" s="6"/>
      <c r="U92" s="6"/>
      <c r="V92" s="6"/>
      <c r="W92" s="6"/>
      <c r="X92" s="6"/>
      <c r="Y92" s="6"/>
      <c r="Z92" s="6"/>
      <c r="AA92" s="6"/>
      <c r="AB92" s="6"/>
      <c r="AC92" s="6"/>
      <c r="AD92" s="6"/>
      <c r="AE92" s="6"/>
      <c r="AF92" s="6"/>
      <c r="AG92" s="6"/>
      <c r="AH92" s="6"/>
    </row>
    <row r="93" spans="1:34">
      <c r="A93" s="6" t="s">
        <v>119</v>
      </c>
      <c r="B93" s="17">
        <v>1E-4</v>
      </c>
      <c r="C93" s="18">
        <v>0</v>
      </c>
      <c r="D93" s="19">
        <f t="shared" si="15"/>
        <v>0</v>
      </c>
      <c r="E93" s="20" t="str">
        <f t="shared" si="16"/>
        <v>TN</v>
      </c>
      <c r="F93" s="12">
        <f t="shared" si="17"/>
        <v>0</v>
      </c>
      <c r="G93" s="20" t="str">
        <f t="shared" si="18"/>
        <v/>
      </c>
      <c r="H93" s="6"/>
      <c r="I93" s="6"/>
      <c r="J93" s="6"/>
      <c r="K93" s="6"/>
      <c r="L93" s="6"/>
      <c r="M93" s="6"/>
      <c r="N93" s="6"/>
      <c r="O93" s="6"/>
      <c r="P93" s="6"/>
      <c r="Q93" s="6"/>
      <c r="R93" s="6"/>
      <c r="S93" s="6"/>
      <c r="T93" s="6"/>
      <c r="U93" s="6"/>
      <c r="V93" s="6"/>
      <c r="W93" s="6"/>
      <c r="X93" s="6"/>
      <c r="Y93" s="6"/>
      <c r="Z93" s="6"/>
      <c r="AA93" s="6"/>
      <c r="AB93" s="6"/>
      <c r="AC93" s="6"/>
      <c r="AD93" s="6"/>
      <c r="AE93" s="6"/>
      <c r="AF93" s="6"/>
      <c r="AG93" s="6"/>
      <c r="AH93" s="6"/>
    </row>
    <row r="94" spans="1:34">
      <c r="A94" s="6" t="s">
        <v>120</v>
      </c>
      <c r="B94" s="17">
        <v>5.4600000000000004E-4</v>
      </c>
      <c r="C94" s="18">
        <v>0</v>
      </c>
      <c r="D94" s="19">
        <f t="shared" si="15"/>
        <v>0</v>
      </c>
      <c r="E94" s="20" t="str">
        <f t="shared" si="16"/>
        <v>TN</v>
      </c>
      <c r="F94" s="12">
        <f t="shared" si="17"/>
        <v>0</v>
      </c>
      <c r="G94" s="20" t="str">
        <f t="shared" si="18"/>
        <v/>
      </c>
      <c r="H94" s="6"/>
      <c r="I94" s="6"/>
      <c r="J94" s="6"/>
      <c r="K94" s="6"/>
      <c r="L94" s="6"/>
      <c r="M94" s="6"/>
      <c r="N94" s="6"/>
      <c r="O94" s="6"/>
      <c r="P94" s="6"/>
      <c r="Q94" s="6"/>
      <c r="R94" s="6"/>
      <c r="S94" s="6"/>
      <c r="T94" s="6"/>
      <c r="U94" s="6"/>
      <c r="V94" s="6"/>
      <c r="W94" s="6"/>
      <c r="X94" s="6"/>
      <c r="Y94" s="6"/>
      <c r="Z94" s="6"/>
      <c r="AA94" s="6"/>
      <c r="AB94" s="6"/>
      <c r="AC94" s="6"/>
      <c r="AD94" s="6"/>
      <c r="AE94" s="6"/>
      <c r="AF94" s="6"/>
      <c r="AG94" s="6"/>
      <c r="AH94" s="6"/>
    </row>
    <row r="95" spans="1:34">
      <c r="A95" s="6" t="s">
        <v>121</v>
      </c>
      <c r="B95" s="17">
        <v>7.5199999999999998E-3</v>
      </c>
      <c r="C95" s="18">
        <v>0</v>
      </c>
      <c r="D95" s="19">
        <f t="shared" si="15"/>
        <v>0</v>
      </c>
      <c r="E95" s="20" t="str">
        <f t="shared" si="16"/>
        <v>TN</v>
      </c>
      <c r="F95" s="12">
        <f t="shared" si="17"/>
        <v>0</v>
      </c>
      <c r="G95" s="20" t="str">
        <f t="shared" si="18"/>
        <v/>
      </c>
      <c r="H95" s="6"/>
      <c r="I95" s="6"/>
      <c r="J95" s="6"/>
      <c r="K95" s="6"/>
      <c r="L95" s="6"/>
      <c r="M95" s="6"/>
      <c r="N95" s="6"/>
      <c r="O95" s="6"/>
      <c r="P95" s="6"/>
      <c r="Q95" s="6"/>
      <c r="R95" s="6"/>
      <c r="S95" s="6"/>
      <c r="T95" s="6"/>
      <c r="U95" s="6"/>
      <c r="V95" s="6"/>
      <c r="W95" s="6"/>
      <c r="X95" s="6"/>
      <c r="Y95" s="6"/>
      <c r="Z95" s="6"/>
      <c r="AA95" s="6"/>
      <c r="AB95" s="6"/>
      <c r="AC95" s="6"/>
      <c r="AD95" s="6"/>
      <c r="AE95" s="6"/>
      <c r="AF95" s="6"/>
      <c r="AG95" s="6"/>
      <c r="AH95" s="6"/>
    </row>
    <row r="96" spans="1:34">
      <c r="A96" s="6" t="s">
        <v>122</v>
      </c>
      <c r="B96" s="17">
        <v>1.1E-4</v>
      </c>
      <c r="C96" s="18">
        <v>0</v>
      </c>
      <c r="D96" s="19">
        <f t="shared" si="15"/>
        <v>0</v>
      </c>
      <c r="E96" s="20" t="str">
        <f t="shared" si="16"/>
        <v>TN</v>
      </c>
      <c r="F96" s="12">
        <f t="shared" si="17"/>
        <v>0</v>
      </c>
      <c r="G96" s="20" t="str">
        <f t="shared" si="18"/>
        <v/>
      </c>
      <c r="H96" s="6"/>
      <c r="I96" s="6"/>
      <c r="J96" s="6"/>
      <c r="K96" s="6"/>
      <c r="L96" s="6"/>
      <c r="M96" s="6"/>
      <c r="N96" s="6"/>
      <c r="O96" s="6"/>
      <c r="P96" s="6"/>
      <c r="Q96" s="6"/>
      <c r="R96" s="6"/>
      <c r="S96" s="6"/>
      <c r="T96" s="6"/>
      <c r="U96" s="6"/>
      <c r="V96" s="6"/>
      <c r="W96" s="6"/>
      <c r="X96" s="6"/>
      <c r="Y96" s="6"/>
      <c r="Z96" s="6"/>
      <c r="AA96" s="6"/>
      <c r="AB96" s="6"/>
      <c r="AC96" s="6"/>
      <c r="AD96" s="6"/>
      <c r="AE96" s="6"/>
      <c r="AF96" s="6"/>
      <c r="AG96" s="6"/>
      <c r="AH96" s="6"/>
    </row>
    <row r="97" spans="1:34">
      <c r="A97" s="6" t="s">
        <v>123</v>
      </c>
      <c r="B97" s="17">
        <v>1.3270000000000001E-3</v>
      </c>
      <c r="C97" s="18">
        <v>0</v>
      </c>
      <c r="D97" s="19">
        <f t="shared" si="15"/>
        <v>0</v>
      </c>
      <c r="E97" s="20" t="str">
        <f t="shared" si="16"/>
        <v>TN</v>
      </c>
      <c r="F97" s="12">
        <f t="shared" si="17"/>
        <v>0</v>
      </c>
      <c r="G97" s="20" t="str">
        <f t="shared" si="18"/>
        <v/>
      </c>
      <c r="H97" s="6"/>
      <c r="I97" s="6"/>
      <c r="J97" s="6"/>
      <c r="K97" s="6"/>
      <c r="L97" s="6"/>
      <c r="M97" s="6"/>
      <c r="N97" s="6"/>
      <c r="O97" s="6"/>
      <c r="P97" s="6"/>
      <c r="Q97" s="6"/>
      <c r="R97" s="6"/>
      <c r="S97" s="6"/>
      <c r="T97" s="6"/>
      <c r="U97" s="6"/>
      <c r="V97" s="6"/>
      <c r="W97" s="6"/>
      <c r="X97" s="6"/>
      <c r="Y97" s="6"/>
      <c r="Z97" s="6"/>
      <c r="AA97" s="6"/>
      <c r="AB97" s="6"/>
      <c r="AC97" s="6"/>
      <c r="AD97" s="6"/>
      <c r="AE97" s="6"/>
      <c r="AF97" s="6"/>
      <c r="AG97" s="6"/>
      <c r="AH97" s="6"/>
    </row>
    <row r="98" spans="1:34">
      <c r="A98" s="6" t="s">
        <v>124</v>
      </c>
      <c r="B98" s="17">
        <v>1.3644999999999999E-2</v>
      </c>
      <c r="C98" s="18">
        <v>0</v>
      </c>
      <c r="D98" s="19">
        <f t="shared" si="15"/>
        <v>1</v>
      </c>
      <c r="E98" s="20" t="str">
        <f t="shared" si="16"/>
        <v>FP</v>
      </c>
      <c r="F98" s="12">
        <f t="shared" si="17"/>
        <v>5</v>
      </c>
      <c r="G98" s="20" t="str">
        <f t="shared" si="18"/>
        <v>Alerta innecesaria</v>
      </c>
      <c r="H98" s="6"/>
      <c r="I98" s="6"/>
      <c r="J98" s="6"/>
      <c r="K98" s="6"/>
      <c r="L98" s="6"/>
      <c r="M98" s="6"/>
      <c r="N98" s="6"/>
      <c r="O98" s="6"/>
      <c r="P98" s="6"/>
      <c r="Q98" s="6"/>
      <c r="R98" s="6"/>
      <c r="S98" s="6"/>
      <c r="T98" s="6"/>
      <c r="U98" s="6"/>
      <c r="V98" s="6"/>
      <c r="W98" s="6"/>
      <c r="X98" s="6"/>
      <c r="Y98" s="6"/>
      <c r="Z98" s="6"/>
      <c r="AA98" s="6"/>
      <c r="AB98" s="6"/>
      <c r="AC98" s="6"/>
      <c r="AD98" s="6"/>
      <c r="AE98" s="6"/>
      <c r="AF98" s="6"/>
      <c r="AG98" s="6"/>
      <c r="AH98" s="6"/>
    </row>
    <row r="99" spans="1:34">
      <c r="A99" s="6" t="s">
        <v>125</v>
      </c>
      <c r="B99" s="17">
        <v>1.2E-2</v>
      </c>
      <c r="C99" s="18">
        <v>1</v>
      </c>
      <c r="D99" s="19">
        <f t="shared" si="15"/>
        <v>1</v>
      </c>
      <c r="E99" s="20" t="str">
        <f t="shared" si="16"/>
        <v>TP</v>
      </c>
      <c r="F99" s="12">
        <f t="shared" si="17"/>
        <v>5</v>
      </c>
      <c r="G99" s="20" t="str">
        <f t="shared" si="18"/>
        <v/>
      </c>
      <c r="H99" s="6"/>
      <c r="I99" s="6"/>
      <c r="J99" s="6"/>
      <c r="K99" s="6"/>
      <c r="L99" s="6"/>
      <c r="M99" s="6"/>
      <c r="N99" s="6"/>
      <c r="O99" s="6"/>
      <c r="P99" s="6"/>
      <c r="Q99" s="6"/>
      <c r="R99" s="6"/>
      <c r="S99" s="6"/>
      <c r="T99" s="6"/>
      <c r="U99" s="6"/>
      <c r="V99" s="6"/>
      <c r="W99" s="6"/>
      <c r="X99" s="6"/>
      <c r="Y99" s="6"/>
      <c r="Z99" s="6"/>
      <c r="AA99" s="6"/>
      <c r="AB99" s="6"/>
      <c r="AC99" s="6"/>
      <c r="AD99" s="6"/>
      <c r="AE99" s="6"/>
      <c r="AF99" s="6"/>
      <c r="AG99" s="6"/>
      <c r="AH99" s="6"/>
    </row>
    <row r="100" spans="1:34">
      <c r="A100" s="6" t="s">
        <v>126</v>
      </c>
      <c r="B100" s="17">
        <v>2.9459999999999998E-3</v>
      </c>
      <c r="C100" s="18">
        <v>0</v>
      </c>
      <c r="D100" s="19">
        <f t="shared" si="15"/>
        <v>0</v>
      </c>
      <c r="E100" s="20" t="str">
        <f t="shared" si="16"/>
        <v>TN</v>
      </c>
      <c r="F100" s="12">
        <f t="shared" si="17"/>
        <v>0</v>
      </c>
      <c r="G100" s="20" t="str">
        <f t="shared" si="18"/>
        <v/>
      </c>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spans="1:34">
      <c r="A101" s="6" t="s">
        <v>127</v>
      </c>
      <c r="B101" s="17">
        <v>1E-4</v>
      </c>
      <c r="C101" s="18">
        <v>0</v>
      </c>
      <c r="D101" s="19">
        <f t="shared" si="15"/>
        <v>0</v>
      </c>
      <c r="E101" s="20" t="str">
        <f t="shared" si="16"/>
        <v>TN</v>
      </c>
      <c r="F101" s="12">
        <f t="shared" si="17"/>
        <v>0</v>
      </c>
      <c r="G101" s="20" t="str">
        <f t="shared" si="18"/>
        <v/>
      </c>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spans="1:34">
      <c r="A102" s="6" t="s">
        <v>128</v>
      </c>
      <c r="B102" s="17">
        <v>3.9100000000000002E-4</v>
      </c>
      <c r="C102" s="18">
        <v>0</v>
      </c>
      <c r="D102" s="19">
        <f t="shared" si="15"/>
        <v>0</v>
      </c>
      <c r="E102" s="20" t="str">
        <f t="shared" si="16"/>
        <v>TN</v>
      </c>
      <c r="F102" s="12">
        <f t="shared" si="17"/>
        <v>0</v>
      </c>
      <c r="G102" s="20" t="str">
        <f t="shared" si="18"/>
        <v/>
      </c>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spans="1:34">
      <c r="A103" s="6" t="s">
        <v>129</v>
      </c>
      <c r="B103" s="17">
        <v>5.9480000000000002E-3</v>
      </c>
      <c r="C103" s="18">
        <v>0</v>
      </c>
      <c r="D103" s="19">
        <f t="shared" si="15"/>
        <v>0</v>
      </c>
      <c r="E103" s="20" t="str">
        <f t="shared" si="16"/>
        <v>TN</v>
      </c>
      <c r="F103" s="12">
        <f t="shared" si="17"/>
        <v>0</v>
      </c>
      <c r="G103" s="20" t="str">
        <f t="shared" si="18"/>
        <v/>
      </c>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spans="1:34">
      <c r="A104" s="6" t="s">
        <v>130</v>
      </c>
      <c r="B104" s="17">
        <v>1.0399999999999999E-4</v>
      </c>
      <c r="C104" s="18">
        <v>0</v>
      </c>
      <c r="D104" s="19">
        <f t="shared" si="15"/>
        <v>0</v>
      </c>
      <c r="E104" s="20" t="str">
        <f t="shared" si="16"/>
        <v>TN</v>
      </c>
      <c r="F104" s="12">
        <f t="shared" si="17"/>
        <v>0</v>
      </c>
      <c r="G104" s="20" t="str">
        <f t="shared" si="18"/>
        <v/>
      </c>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spans="1:34">
      <c r="A105" s="6" t="s">
        <v>131</v>
      </c>
      <c r="B105" s="17">
        <v>9.6900000000000003E-4</v>
      </c>
      <c r="C105" s="18">
        <v>0</v>
      </c>
      <c r="D105" s="19">
        <f t="shared" si="15"/>
        <v>0</v>
      </c>
      <c r="E105" s="20" t="str">
        <f t="shared" si="16"/>
        <v>TN</v>
      </c>
      <c r="F105" s="12">
        <f t="shared" si="17"/>
        <v>0</v>
      </c>
      <c r="G105" s="20" t="str">
        <f t="shared" si="18"/>
        <v/>
      </c>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spans="1:34">
      <c r="A106" s="6" t="s">
        <v>132</v>
      </c>
      <c r="B106" s="17">
        <v>1.1073E-2</v>
      </c>
      <c r="C106" s="18">
        <v>0</v>
      </c>
      <c r="D106" s="19">
        <f t="shared" si="15"/>
        <v>1</v>
      </c>
      <c r="E106" s="20" t="str">
        <f t="shared" si="16"/>
        <v>FP</v>
      </c>
      <c r="F106" s="12">
        <f t="shared" si="17"/>
        <v>5</v>
      </c>
      <c r="G106" s="20" t="str">
        <f t="shared" si="18"/>
        <v>Alerta innecesaria</v>
      </c>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spans="1:34">
      <c r="A107" s="6" t="s">
        <v>133</v>
      </c>
      <c r="B107" s="17">
        <v>2.5000000000000001E-2</v>
      </c>
      <c r="C107" s="18">
        <v>0</v>
      </c>
      <c r="D107" s="19">
        <f t="shared" si="15"/>
        <v>1</v>
      </c>
      <c r="E107" s="20" t="str">
        <f t="shared" si="16"/>
        <v>FP</v>
      </c>
      <c r="F107" s="12">
        <f t="shared" si="17"/>
        <v>5</v>
      </c>
      <c r="G107" s="20" t="str">
        <f t="shared" si="18"/>
        <v>Alerta innecesaria</v>
      </c>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1:34">
      <c r="A108" s="6" t="s">
        <v>134</v>
      </c>
      <c r="B108" s="17">
        <v>2.2300000000000002E-3</v>
      </c>
      <c r="C108" s="18">
        <v>0</v>
      </c>
      <c r="D108" s="19">
        <f t="shared" si="15"/>
        <v>0</v>
      </c>
      <c r="E108" s="20" t="str">
        <f t="shared" si="16"/>
        <v>TN</v>
      </c>
      <c r="F108" s="12">
        <f t="shared" si="17"/>
        <v>0</v>
      </c>
      <c r="G108" s="20" t="str">
        <f t="shared" si="18"/>
        <v/>
      </c>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spans="1:34">
      <c r="A109" s="6" t="s">
        <v>135</v>
      </c>
      <c r="B109" s="17">
        <v>1E-4</v>
      </c>
      <c r="C109" s="18">
        <v>0</v>
      </c>
      <c r="D109" s="19">
        <f t="shared" si="15"/>
        <v>0</v>
      </c>
      <c r="E109" s="20" t="str">
        <f t="shared" si="16"/>
        <v>TN</v>
      </c>
      <c r="F109" s="12">
        <f t="shared" si="17"/>
        <v>0</v>
      </c>
      <c r="G109" s="20" t="str">
        <f t="shared" si="18"/>
        <v/>
      </c>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spans="1:34">
      <c r="A110" s="6" t="s">
        <v>136</v>
      </c>
      <c r="B110" s="17">
        <v>2.8299999999999999E-4</v>
      </c>
      <c r="C110" s="18">
        <v>0</v>
      </c>
      <c r="D110" s="19">
        <f t="shared" si="15"/>
        <v>0</v>
      </c>
      <c r="E110" s="20" t="str">
        <f t="shared" si="16"/>
        <v>TN</v>
      </c>
      <c r="F110" s="12">
        <f t="shared" si="17"/>
        <v>0</v>
      </c>
      <c r="G110" s="20" t="str">
        <f t="shared" si="18"/>
        <v/>
      </c>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spans="1:34">
      <c r="A111" s="6" t="s">
        <v>137</v>
      </c>
      <c r="B111" s="17">
        <v>4.6540000000000002E-3</v>
      </c>
      <c r="C111" s="18">
        <v>0</v>
      </c>
      <c r="D111" s="19">
        <f t="shared" si="15"/>
        <v>0</v>
      </c>
      <c r="E111" s="20" t="str">
        <f t="shared" si="16"/>
        <v>TN</v>
      </c>
      <c r="F111" s="12">
        <f t="shared" si="17"/>
        <v>0</v>
      </c>
      <c r="G111" s="20" t="str">
        <f t="shared" si="18"/>
        <v/>
      </c>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spans="1:34">
      <c r="A112" s="6" t="s">
        <v>138</v>
      </c>
      <c r="B112" s="17">
        <v>1.01E-4</v>
      </c>
      <c r="C112" s="18">
        <v>0</v>
      </c>
      <c r="D112" s="19">
        <f t="shared" si="15"/>
        <v>0</v>
      </c>
      <c r="E112" s="20" t="str">
        <f t="shared" si="16"/>
        <v>TN</v>
      </c>
      <c r="F112" s="12">
        <f t="shared" si="17"/>
        <v>0</v>
      </c>
      <c r="G112" s="20" t="str">
        <f t="shared" si="18"/>
        <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spans="1:34">
      <c r="A113" s="6" t="s">
        <v>139</v>
      </c>
      <c r="B113" s="17">
        <v>6.9999999999999999E-4</v>
      </c>
      <c r="C113" s="18">
        <v>0</v>
      </c>
      <c r="D113" s="19">
        <f t="shared" si="15"/>
        <v>0</v>
      </c>
      <c r="E113" s="20" t="str">
        <f t="shared" ref="E113:E116" si="19">IF(C113=1,IF(D113=1,"TP","FN"),IF(D113=1,"FP","TN"))</f>
        <v>TN</v>
      </c>
      <c r="F113" s="12">
        <f t="shared" si="17"/>
        <v>0</v>
      </c>
      <c r="G113" s="20" t="str">
        <f t="shared" si="18"/>
        <v/>
      </c>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spans="1:34">
      <c r="A114" s="6" t="s">
        <v>140</v>
      </c>
      <c r="B114" s="17">
        <v>8.9079999999999993E-3</v>
      </c>
      <c r="C114" s="18">
        <v>0</v>
      </c>
      <c r="D114" s="19">
        <f t="shared" si="15"/>
        <v>0</v>
      </c>
      <c r="E114" s="20" t="str">
        <f t="shared" si="19"/>
        <v>TN</v>
      </c>
      <c r="F114" s="12">
        <f t="shared" si="17"/>
        <v>0</v>
      </c>
      <c r="G114" s="20" t="str">
        <f t="shared" si="18"/>
        <v/>
      </c>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1:34">
      <c r="A115" s="6" t="s">
        <v>141</v>
      </c>
      <c r="B115" s="17">
        <v>1.1900000000000001E-4</v>
      </c>
      <c r="C115" s="18">
        <v>0</v>
      </c>
      <c r="D115" s="19">
        <f t="shared" si="15"/>
        <v>0</v>
      </c>
      <c r="E115" s="20" t="str">
        <f t="shared" si="19"/>
        <v>TN</v>
      </c>
      <c r="F115" s="12">
        <f t="shared" si="17"/>
        <v>0</v>
      </c>
      <c r="G115" s="20" t="str">
        <f t="shared" si="18"/>
        <v/>
      </c>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spans="1:34">
      <c r="A116" s="6" t="s">
        <v>142</v>
      </c>
      <c r="B116" s="17">
        <v>1.665E-3</v>
      </c>
      <c r="C116" s="18">
        <v>0</v>
      </c>
      <c r="D116" s="19">
        <f t="shared" si="15"/>
        <v>0</v>
      </c>
      <c r="E116" s="20" t="str">
        <f t="shared" si="19"/>
        <v>TN</v>
      </c>
      <c r="F116" s="12">
        <f t="shared" si="17"/>
        <v>0</v>
      </c>
      <c r="G116" s="20" t="str">
        <f t="shared" si="18"/>
        <v/>
      </c>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spans="1:3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spans="1:3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spans="1:34">
      <c r="A119" s="56" t="s">
        <v>291</v>
      </c>
      <c r="B119" s="56"/>
      <c r="C119" s="56"/>
      <c r="D119" s="56"/>
      <c r="E119" s="56"/>
      <c r="F119" s="56"/>
      <c r="G119" s="5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spans="1:34">
      <c r="A120" s="56"/>
      <c r="B120" s="56"/>
      <c r="C120" s="56"/>
      <c r="D120" s="56"/>
      <c r="E120" s="56"/>
      <c r="F120" s="56"/>
      <c r="G120" s="5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spans="1:34">
      <c r="A121" s="56"/>
      <c r="B121" s="56"/>
      <c r="C121" s="56"/>
      <c r="D121" s="56"/>
      <c r="E121" s="56"/>
      <c r="F121" s="56"/>
      <c r="G121" s="56"/>
    </row>
    <row r="122" spans="1:34">
      <c r="A122" s="56"/>
      <c r="B122" s="56"/>
      <c r="C122" s="56"/>
      <c r="D122" s="56"/>
      <c r="E122" s="56"/>
      <c r="F122" s="56"/>
      <c r="G122" s="56"/>
    </row>
  </sheetData>
  <mergeCells count="5">
    <mergeCell ref="A1:Y1"/>
    <mergeCell ref="A2:Y2"/>
    <mergeCell ref="A4:C4"/>
    <mergeCell ref="E4:G4"/>
    <mergeCell ref="A119:G122"/>
  </mergeCells>
  <conditionalFormatting sqref="E17:E46">
    <cfRule type="expression" dxfId="11" priority="1">
      <formula>E17="FN"</formula>
    </cfRule>
    <cfRule type="expression" dxfId="10" priority="2">
      <formula>E17="FP"</formula>
    </cfRule>
    <cfRule type="expression" dxfId="9" priority="3">
      <formula>OR(E17="TP",E17="TN")</formula>
    </cfRule>
  </conditionalFormatting>
  <conditionalFormatting sqref="E17:E116">
    <cfRule type="expression" dxfId="8" priority="4">
      <formula>E17="FN"</formula>
    </cfRule>
    <cfRule type="expression" dxfId="7" priority="5">
      <formula>E17="FP"</formula>
    </cfRule>
    <cfRule type="expression" dxfId="6" priority="6">
      <formula>OR(E17="TP",E17="TN")</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23"/>
  <sheetViews>
    <sheetView workbookViewId="0">
      <selection activeCell="A118" sqref="A118"/>
    </sheetView>
  </sheetViews>
  <sheetFormatPr defaultRowHeight="14.25"/>
  <cols>
    <col min="1" max="1" width="10" customWidth="1"/>
    <col min="2" max="2" width="13" customWidth="1"/>
    <col min="3" max="3" width="18" customWidth="1"/>
    <col min="4" max="4" width="12" customWidth="1"/>
    <col min="5" max="6" width="11" customWidth="1"/>
    <col min="7" max="7" width="12" customWidth="1"/>
    <col min="8" max="8" width="11" customWidth="1"/>
    <col min="9" max="9" width="15" customWidth="1"/>
    <col min="10" max="10" width="18" customWidth="1"/>
    <col min="11" max="11" width="16" customWidth="1"/>
    <col min="12" max="12" width="13" customWidth="1"/>
    <col min="13" max="13" width="15" customWidth="1"/>
    <col min="14" max="14" width="11" customWidth="1"/>
    <col min="15" max="15" width="13" customWidth="1"/>
    <col min="16" max="16" width="17" customWidth="1"/>
    <col min="17" max="18" width="15" customWidth="1"/>
    <col min="20" max="20" width="14" customWidth="1"/>
    <col min="21" max="21" width="16" customWidth="1"/>
    <col min="22" max="25" width="9" customWidth="1"/>
  </cols>
  <sheetData>
    <row r="1" spans="1:34" ht="27.95" customHeight="1">
      <c r="A1" s="53" t="s">
        <v>143</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row>
    <row r="2" spans="1:34" ht="38.1" customHeight="1">
      <c r="A2" s="54" t="s">
        <v>144</v>
      </c>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row>
    <row r="3" spans="1:34">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row>
    <row r="4" spans="1:34" ht="15">
      <c r="A4" s="55" t="s">
        <v>2</v>
      </c>
      <c r="B4" s="55"/>
      <c r="C4" s="55"/>
      <c r="D4" s="6"/>
      <c r="E4" s="55" t="s">
        <v>145</v>
      </c>
      <c r="F4" s="55"/>
      <c r="G4" s="55"/>
      <c r="H4" s="6"/>
      <c r="I4" s="6"/>
      <c r="J4" s="6"/>
      <c r="K4" s="6"/>
      <c r="L4" s="6"/>
      <c r="M4" s="6"/>
      <c r="N4" s="6"/>
      <c r="O4" s="6"/>
      <c r="P4" s="6"/>
      <c r="Q4" s="6"/>
      <c r="R4" s="6"/>
      <c r="S4" s="6"/>
      <c r="T4" s="5" t="s">
        <v>146</v>
      </c>
      <c r="U4" s="5" t="s">
        <v>5</v>
      </c>
      <c r="V4" s="5" t="s">
        <v>6</v>
      </c>
      <c r="W4" s="5" t="s">
        <v>7</v>
      </c>
      <c r="X4" s="5" t="s">
        <v>8</v>
      </c>
      <c r="Y4" s="5" t="s">
        <v>9</v>
      </c>
      <c r="Z4" s="6"/>
      <c r="AA4" s="6"/>
      <c r="AB4" s="6"/>
      <c r="AC4" s="6"/>
      <c r="AD4" s="6"/>
      <c r="AE4" s="6"/>
      <c r="AF4" s="6"/>
      <c r="AG4" s="6"/>
      <c r="AH4" s="6"/>
    </row>
    <row r="5" spans="1:34">
      <c r="A5" s="6" t="s">
        <v>11</v>
      </c>
      <c r="B5" s="8">
        <v>5</v>
      </c>
      <c r="C5" s="6" t="s">
        <v>147</v>
      </c>
      <c r="D5" s="6"/>
      <c r="E5" s="6" t="s">
        <v>21</v>
      </c>
      <c r="F5" s="11">
        <f>SUMIF($D$17:$D$116,1,$G$17:$G$116)+SUMIF($D$17:$D$116,0,$H$17:$H$116)</f>
        <v>1500</v>
      </c>
      <c r="G5" s="6"/>
      <c r="H5" s="6"/>
      <c r="I5" s="6"/>
      <c r="J5" s="6"/>
      <c r="K5" s="6"/>
      <c r="L5" s="6"/>
      <c r="M5" s="6"/>
      <c r="N5" s="6"/>
      <c r="O5" s="6"/>
      <c r="P5" s="6"/>
      <c r="Q5" s="6"/>
      <c r="R5" s="6"/>
      <c r="S5" s="6"/>
      <c r="T5" s="10">
        <v>0</v>
      </c>
      <c r="U5" s="11">
        <f t="shared" ref="U5:U36" si="0">SUMPRODUCT(--($C$17:$C$116&gt;=T5),--($D$17:$D$116=1),$E$17:$E$116)+SUMPRODUCT(--($C$17:$C$116&gt;=T5),--($D$17:$D$116=0),$F$17:$F$116)+SUMPRODUCT(--($C$17:$C$116&lt;T5),--($D$17:$D$116=1),$G$17:$G$116)+SUMPRODUCT(--($C$17:$C$116&lt;T5),--($D$17:$D$116=0),$H$17:$H$116)</f>
        <v>500</v>
      </c>
      <c r="V5" s="9">
        <f t="shared" ref="V5:V36" si="1">COUNTIFS($C$17:$C$116,"&gt;="&amp;T5,$D$17:$D$116,1)</f>
        <v>1</v>
      </c>
      <c r="W5" s="9">
        <f t="shared" ref="W5:W36" si="2">COUNTIFS($C$17:$C$116,"&gt;="&amp;T5,$D$17:$D$116,0)</f>
        <v>99</v>
      </c>
      <c r="X5" s="9">
        <f t="shared" ref="X5:X36" si="3">COUNTIFS($C$17:$C$116,"&lt;"&amp;T5,$D$17:$D$116,1)</f>
        <v>0</v>
      </c>
      <c r="Y5" s="9">
        <f t="shared" ref="Y5:Y36" si="4">COUNTIFS($C$17:$C$116,"&lt;"&amp;T5,$D$17:$D$116,0)</f>
        <v>0</v>
      </c>
      <c r="Z5" s="6"/>
      <c r="AA5" s="6"/>
      <c r="AB5" s="6"/>
      <c r="AC5" s="6"/>
      <c r="AD5" s="6"/>
      <c r="AE5" s="6"/>
      <c r="AF5" s="6"/>
      <c r="AG5" s="6"/>
      <c r="AH5" s="6"/>
    </row>
    <row r="6" spans="1:34">
      <c r="A6" s="6" t="s">
        <v>148</v>
      </c>
      <c r="B6" s="16">
        <v>1</v>
      </c>
      <c r="C6" s="6" t="s">
        <v>149</v>
      </c>
      <c r="D6" s="6"/>
      <c r="E6" s="6" t="s">
        <v>150</v>
      </c>
      <c r="F6" s="11">
        <f>SUM($O$17:$O$116)</f>
        <v>1500</v>
      </c>
      <c r="G6" s="6"/>
      <c r="H6" s="6"/>
      <c r="I6" s="6"/>
      <c r="J6" s="6"/>
      <c r="K6" s="6"/>
      <c r="L6" s="6"/>
      <c r="M6" s="6"/>
      <c r="N6" s="6"/>
      <c r="O6" s="6"/>
      <c r="P6" s="6"/>
      <c r="Q6" s="6"/>
      <c r="R6" s="6"/>
      <c r="S6" s="6"/>
      <c r="T6" s="10">
        <f t="shared" ref="T6:T37" si="5">T5+$B$11</f>
        <v>5.0000000000000001E-3</v>
      </c>
      <c r="U6" s="11">
        <f t="shared" si="0"/>
        <v>130</v>
      </c>
      <c r="V6" s="9">
        <f t="shared" si="1"/>
        <v>1</v>
      </c>
      <c r="W6" s="9">
        <f t="shared" si="2"/>
        <v>25</v>
      </c>
      <c r="X6" s="9">
        <f t="shared" si="3"/>
        <v>0</v>
      </c>
      <c r="Y6" s="9">
        <f t="shared" si="4"/>
        <v>74</v>
      </c>
      <c r="Z6" s="6"/>
      <c r="AA6" s="6"/>
      <c r="AB6" s="6"/>
      <c r="AC6" s="6"/>
      <c r="AD6" s="6"/>
      <c r="AE6" s="6"/>
      <c r="AF6" s="6"/>
      <c r="AG6" s="6"/>
      <c r="AH6" s="6"/>
    </row>
    <row r="7" spans="1:34">
      <c r="A7" s="6" t="s">
        <v>22</v>
      </c>
      <c r="B7" s="16">
        <v>0</v>
      </c>
      <c r="C7" s="6" t="s">
        <v>23</v>
      </c>
      <c r="D7" s="6"/>
      <c r="E7" s="6" t="s">
        <v>151</v>
      </c>
      <c r="F7" s="11">
        <f>SUM($Q$17:$Q$116)</f>
        <v>70</v>
      </c>
      <c r="G7" s="6"/>
      <c r="H7" s="6"/>
      <c r="I7" s="6"/>
      <c r="J7" s="6"/>
      <c r="K7" s="6"/>
      <c r="L7" s="6"/>
      <c r="M7" s="6"/>
      <c r="N7" s="6"/>
      <c r="O7" s="6"/>
      <c r="P7" s="6"/>
      <c r="Q7" s="6"/>
      <c r="R7" s="6"/>
      <c r="S7" s="6"/>
      <c r="T7" s="10">
        <f t="shared" si="5"/>
        <v>0.01</v>
      </c>
      <c r="U7" s="11">
        <f t="shared" si="0"/>
        <v>70</v>
      </c>
      <c r="V7" s="9">
        <f t="shared" si="1"/>
        <v>1</v>
      </c>
      <c r="W7" s="9">
        <f t="shared" si="2"/>
        <v>13</v>
      </c>
      <c r="X7" s="9">
        <f t="shared" si="3"/>
        <v>0</v>
      </c>
      <c r="Y7" s="9">
        <f t="shared" si="4"/>
        <v>86</v>
      </c>
      <c r="Z7" s="6"/>
      <c r="AA7" s="6"/>
      <c r="AB7" s="6"/>
      <c r="AC7" s="6"/>
      <c r="AD7" s="6"/>
      <c r="AE7" s="6"/>
      <c r="AF7" s="6"/>
      <c r="AG7" s="6"/>
      <c r="AH7" s="6"/>
    </row>
    <row r="8" spans="1:34">
      <c r="A8" s="6" t="s">
        <v>152</v>
      </c>
      <c r="B8" s="16">
        <v>0.5</v>
      </c>
      <c r="C8" s="6" t="s">
        <v>153</v>
      </c>
      <c r="D8" s="6"/>
      <c r="E8" s="6" t="s">
        <v>154</v>
      </c>
      <c r="F8" s="11">
        <f>SUM($M$17:$M$116)</f>
        <v>20</v>
      </c>
      <c r="G8" s="6"/>
      <c r="H8" s="6"/>
      <c r="I8" s="6"/>
      <c r="J8" s="6"/>
      <c r="K8" s="6"/>
      <c r="L8" s="6"/>
      <c r="M8" s="6"/>
      <c r="N8" s="6"/>
      <c r="O8" s="6"/>
      <c r="P8" s="6"/>
      <c r="Q8" s="6"/>
      <c r="R8" s="6"/>
      <c r="S8" s="6"/>
      <c r="T8" s="10">
        <f t="shared" si="5"/>
        <v>1.4999999999999999E-2</v>
      </c>
      <c r="U8" s="11">
        <f t="shared" si="0"/>
        <v>1530</v>
      </c>
      <c r="V8" s="9">
        <f t="shared" si="1"/>
        <v>0</v>
      </c>
      <c r="W8" s="9">
        <f t="shared" si="2"/>
        <v>6</v>
      </c>
      <c r="X8" s="9">
        <f t="shared" si="3"/>
        <v>1</v>
      </c>
      <c r="Y8" s="9">
        <f t="shared" si="4"/>
        <v>93</v>
      </c>
      <c r="Z8" s="6"/>
      <c r="AA8" s="6"/>
      <c r="AB8" s="6"/>
      <c r="AC8" s="6"/>
      <c r="AD8" s="6"/>
      <c r="AE8" s="6"/>
      <c r="AF8" s="6"/>
      <c r="AG8" s="6"/>
      <c r="AH8" s="6"/>
    </row>
    <row r="9" spans="1:34">
      <c r="A9" s="6" t="s">
        <v>155</v>
      </c>
      <c r="B9" s="10">
        <f>COUNTIF($D$17:$D$116,1)/COUNT($D$17:$D$116)</f>
        <v>0.01</v>
      </c>
      <c r="C9" s="6" t="s">
        <v>156</v>
      </c>
      <c r="D9" s="6"/>
      <c r="E9" s="6" t="s">
        <v>157</v>
      </c>
      <c r="F9" s="10">
        <f>IFERROR(1-F8/F5,0)</f>
        <v>0.98666666666666669</v>
      </c>
      <c r="G9" s="6"/>
      <c r="H9" s="6"/>
      <c r="I9" s="6"/>
      <c r="J9" s="6"/>
      <c r="K9" s="6"/>
      <c r="L9" s="6"/>
      <c r="M9" s="6"/>
      <c r="N9" s="6"/>
      <c r="O9" s="6"/>
      <c r="P9" s="6"/>
      <c r="Q9" s="6"/>
      <c r="R9" s="6"/>
      <c r="S9" s="6"/>
      <c r="T9" s="10">
        <f t="shared" si="5"/>
        <v>0.02</v>
      </c>
      <c r="U9" s="11">
        <f t="shared" si="0"/>
        <v>1520</v>
      </c>
      <c r="V9" s="9">
        <f t="shared" si="1"/>
        <v>0</v>
      </c>
      <c r="W9" s="9">
        <f t="shared" si="2"/>
        <v>4</v>
      </c>
      <c r="X9" s="9">
        <f t="shared" si="3"/>
        <v>1</v>
      </c>
      <c r="Y9" s="9">
        <f t="shared" si="4"/>
        <v>95</v>
      </c>
      <c r="Z9" s="6"/>
      <c r="AA9" s="6"/>
      <c r="AB9" s="6"/>
      <c r="AC9" s="6"/>
      <c r="AD9" s="6"/>
      <c r="AE9" s="6"/>
      <c r="AF9" s="6"/>
      <c r="AG9" s="6"/>
      <c r="AH9" s="6"/>
    </row>
    <row r="10" spans="1:34">
      <c r="A10" s="6" t="s">
        <v>158</v>
      </c>
      <c r="B10" s="10">
        <f>INDEX($T$5:$T$105,MATCH(MIN($U$5:$U$105),$U$5:$U$105,0))</f>
        <v>0.01</v>
      </c>
      <c r="C10" s="6" t="s">
        <v>159</v>
      </c>
      <c r="D10" s="6"/>
      <c r="E10" s="6" t="s">
        <v>160</v>
      </c>
      <c r="F10" s="10">
        <f>IFERROR(1-F7/F5,0)</f>
        <v>0.95333333333333337</v>
      </c>
      <c r="G10" s="6"/>
      <c r="H10" s="6"/>
      <c r="I10" s="6"/>
      <c r="J10" s="6"/>
      <c r="K10" s="6"/>
      <c r="L10" s="6"/>
      <c r="M10" s="6"/>
      <c r="N10" s="6"/>
      <c r="O10" s="6"/>
      <c r="P10" s="6"/>
      <c r="Q10" s="6"/>
      <c r="R10" s="6"/>
      <c r="S10" s="6"/>
      <c r="T10" s="10">
        <f t="shared" si="5"/>
        <v>2.5000000000000001E-2</v>
      </c>
      <c r="U10" s="11">
        <f t="shared" si="0"/>
        <v>1515</v>
      </c>
      <c r="V10" s="9">
        <f t="shared" si="1"/>
        <v>0</v>
      </c>
      <c r="W10" s="9">
        <f t="shared" si="2"/>
        <v>3</v>
      </c>
      <c r="X10" s="9">
        <f t="shared" si="3"/>
        <v>1</v>
      </c>
      <c r="Y10" s="9">
        <f t="shared" si="4"/>
        <v>96</v>
      </c>
      <c r="Z10" s="6"/>
      <c r="AA10" s="6"/>
      <c r="AB10" s="6"/>
      <c r="AC10" s="6"/>
      <c r="AD10" s="6"/>
      <c r="AE10" s="6"/>
      <c r="AF10" s="6"/>
      <c r="AG10" s="6"/>
      <c r="AH10" s="6"/>
    </row>
    <row r="11" spans="1:34">
      <c r="A11" s="6" t="s">
        <v>33</v>
      </c>
      <c r="B11" s="16">
        <v>5.0000000000000001E-3</v>
      </c>
      <c r="C11" s="6" t="s">
        <v>34</v>
      </c>
      <c r="D11" s="6"/>
      <c r="E11" s="6" t="s">
        <v>161</v>
      </c>
      <c r="F11" s="9">
        <f>SUM($L$17:$L$116)</f>
        <v>4</v>
      </c>
      <c r="G11" s="6"/>
      <c r="H11" s="6"/>
      <c r="I11" s="6"/>
      <c r="J11" s="6"/>
      <c r="K11" s="6"/>
      <c r="L11" s="6"/>
      <c r="M11" s="6"/>
      <c r="N11" s="6"/>
      <c r="O11" s="6"/>
      <c r="P11" s="6"/>
      <c r="Q11" s="6"/>
      <c r="R11" s="6"/>
      <c r="S11" s="6"/>
      <c r="T11" s="10">
        <f t="shared" si="5"/>
        <v>3.0000000000000002E-2</v>
      </c>
      <c r="U11" s="11">
        <f t="shared" si="0"/>
        <v>1510</v>
      </c>
      <c r="V11" s="9">
        <f t="shared" si="1"/>
        <v>0</v>
      </c>
      <c r="W11" s="9">
        <f t="shared" si="2"/>
        <v>2</v>
      </c>
      <c r="X11" s="9">
        <f t="shared" si="3"/>
        <v>1</v>
      </c>
      <c r="Y11" s="9">
        <f t="shared" si="4"/>
        <v>97</v>
      </c>
      <c r="Z11" s="6"/>
      <c r="AA11" s="6"/>
      <c r="AB11" s="6"/>
      <c r="AC11" s="6"/>
      <c r="AD11" s="6"/>
      <c r="AE11" s="6"/>
      <c r="AF11" s="6"/>
      <c r="AG11" s="6"/>
      <c r="AH11" s="6"/>
    </row>
    <row r="12" spans="1:34" ht="42.75">
      <c r="A12" s="6" t="s">
        <v>162</v>
      </c>
      <c r="B12" s="7" t="s">
        <v>163</v>
      </c>
      <c r="C12" s="6" t="s">
        <v>164</v>
      </c>
      <c r="D12" s="6"/>
      <c r="E12" s="6" t="s">
        <v>165</v>
      </c>
      <c r="F12" s="9">
        <f>SUM($P$17:$P$116)</f>
        <v>14</v>
      </c>
      <c r="G12" s="6"/>
      <c r="H12" s="6"/>
      <c r="I12" s="6"/>
      <c r="J12" s="6"/>
      <c r="K12" s="6"/>
      <c r="L12" s="6"/>
      <c r="M12" s="6"/>
      <c r="N12" s="6"/>
      <c r="O12" s="6"/>
      <c r="P12" s="6"/>
      <c r="Q12" s="6"/>
      <c r="R12" s="6"/>
      <c r="S12" s="6"/>
      <c r="T12" s="10">
        <f t="shared" si="5"/>
        <v>3.5000000000000003E-2</v>
      </c>
      <c r="U12" s="11">
        <f t="shared" si="0"/>
        <v>1510</v>
      </c>
      <c r="V12" s="9">
        <f t="shared" si="1"/>
        <v>0</v>
      </c>
      <c r="W12" s="9">
        <f t="shared" si="2"/>
        <v>2</v>
      </c>
      <c r="X12" s="9">
        <f t="shared" si="3"/>
        <v>1</v>
      </c>
      <c r="Y12" s="9">
        <f t="shared" si="4"/>
        <v>97</v>
      </c>
      <c r="Z12" s="6"/>
      <c r="AA12" s="6"/>
      <c r="AB12" s="6"/>
      <c r="AC12" s="6"/>
      <c r="AD12" s="6"/>
      <c r="AE12" s="6"/>
      <c r="AF12" s="6"/>
      <c r="AG12" s="6"/>
      <c r="AH12" s="6"/>
    </row>
    <row r="13" spans="1:34">
      <c r="A13" s="6"/>
      <c r="B13" s="6"/>
      <c r="C13" s="6"/>
      <c r="D13" s="6"/>
      <c r="E13" s="6" t="s">
        <v>166</v>
      </c>
      <c r="F13" s="10">
        <f>IFERROR(COUNTIFS($L$17:$L$116,1,$D$17:$D$116,1)/COUNTIF($D$17:$D$116,1),0)</f>
        <v>1</v>
      </c>
      <c r="G13" s="6"/>
      <c r="H13" s="6"/>
      <c r="I13" s="6"/>
      <c r="J13" s="6"/>
      <c r="K13" s="6"/>
      <c r="L13" s="6"/>
      <c r="M13" s="6"/>
      <c r="N13" s="6"/>
      <c r="O13" s="6"/>
      <c r="P13" s="6"/>
      <c r="Q13" s="6"/>
      <c r="R13" s="6"/>
      <c r="S13" s="6"/>
      <c r="T13" s="10">
        <f t="shared" si="5"/>
        <v>0.04</v>
      </c>
      <c r="U13" s="11">
        <f t="shared" si="0"/>
        <v>1505</v>
      </c>
      <c r="V13" s="9">
        <f t="shared" si="1"/>
        <v>0</v>
      </c>
      <c r="W13" s="9">
        <f t="shared" si="2"/>
        <v>1</v>
      </c>
      <c r="X13" s="9">
        <f t="shared" si="3"/>
        <v>1</v>
      </c>
      <c r="Y13" s="9">
        <f t="shared" si="4"/>
        <v>98</v>
      </c>
      <c r="Z13" s="6"/>
      <c r="AA13" s="6"/>
      <c r="AB13" s="6"/>
      <c r="AC13" s="6"/>
      <c r="AD13" s="6"/>
      <c r="AE13" s="6"/>
      <c r="AF13" s="6"/>
      <c r="AG13" s="6"/>
      <c r="AH13" s="6"/>
    </row>
    <row r="14" spans="1:34">
      <c r="A14" s="6"/>
      <c r="B14" s="6"/>
      <c r="C14" s="6"/>
      <c r="D14" s="6"/>
      <c r="E14" s="6" t="s">
        <v>167</v>
      </c>
      <c r="F14" s="10">
        <f>IFERROR(COUNTIFS($P$17:$P$116,1,$D$17:$D$116,1)/COUNTIF($D$17:$D$116,1),0)</f>
        <v>1</v>
      </c>
      <c r="G14" s="6"/>
      <c r="H14" s="6"/>
      <c r="I14" s="6"/>
      <c r="J14" s="6"/>
      <c r="K14" s="6"/>
      <c r="L14" s="6"/>
      <c r="M14" s="6"/>
      <c r="N14" s="6"/>
      <c r="O14" s="6"/>
      <c r="P14" s="6"/>
      <c r="Q14" s="6"/>
      <c r="R14" s="6"/>
      <c r="S14" s="6"/>
      <c r="T14" s="10">
        <f t="shared" si="5"/>
        <v>4.4999999999999998E-2</v>
      </c>
      <c r="U14" s="11">
        <f t="shared" si="0"/>
        <v>1505</v>
      </c>
      <c r="V14" s="9">
        <f t="shared" si="1"/>
        <v>0</v>
      </c>
      <c r="W14" s="9">
        <f t="shared" si="2"/>
        <v>1</v>
      </c>
      <c r="X14" s="9">
        <f t="shared" si="3"/>
        <v>1</v>
      </c>
      <c r="Y14" s="9">
        <f t="shared" si="4"/>
        <v>98</v>
      </c>
      <c r="Z14" s="6"/>
      <c r="AA14" s="6"/>
      <c r="AB14" s="6"/>
      <c r="AC14" s="6"/>
      <c r="AD14" s="6"/>
      <c r="AE14" s="6"/>
      <c r="AF14" s="6"/>
      <c r="AG14" s="6"/>
      <c r="AH14" s="6"/>
    </row>
    <row r="15" spans="1:34">
      <c r="A15" s="6"/>
      <c r="B15" s="6"/>
      <c r="C15" s="6"/>
      <c r="D15" s="6"/>
      <c r="E15" s="6"/>
      <c r="F15" s="6"/>
      <c r="G15" s="6"/>
      <c r="H15" s="6"/>
      <c r="I15" s="6"/>
      <c r="J15" s="6"/>
      <c r="K15" s="6"/>
      <c r="L15" s="6"/>
      <c r="M15" s="6"/>
      <c r="N15" s="6"/>
      <c r="O15" s="6"/>
      <c r="P15" s="6"/>
      <c r="Q15" s="6"/>
      <c r="R15" s="6"/>
      <c r="S15" s="6"/>
      <c r="T15" s="10">
        <f t="shared" si="5"/>
        <v>4.9999999999999996E-2</v>
      </c>
      <c r="U15" s="11">
        <f t="shared" si="0"/>
        <v>1505</v>
      </c>
      <c r="V15" s="9">
        <f t="shared" si="1"/>
        <v>0</v>
      </c>
      <c r="W15" s="9">
        <f t="shared" si="2"/>
        <v>1</v>
      </c>
      <c r="X15" s="9">
        <f t="shared" si="3"/>
        <v>1</v>
      </c>
      <c r="Y15" s="9">
        <f t="shared" si="4"/>
        <v>98</v>
      </c>
      <c r="Z15" s="6"/>
      <c r="AA15" s="6"/>
      <c r="AB15" s="6"/>
      <c r="AC15" s="6"/>
      <c r="AD15" s="6"/>
      <c r="AE15" s="6"/>
      <c r="AF15" s="6"/>
      <c r="AG15" s="6"/>
      <c r="AH15" s="6"/>
    </row>
    <row r="16" spans="1:34" ht="30">
      <c r="A16" s="5" t="s">
        <v>36</v>
      </c>
      <c r="B16" s="5" t="s">
        <v>168</v>
      </c>
      <c r="C16" s="5" t="s">
        <v>37</v>
      </c>
      <c r="D16" s="5" t="s">
        <v>169</v>
      </c>
      <c r="E16" s="5" t="s">
        <v>170</v>
      </c>
      <c r="F16" s="5" t="s">
        <v>171</v>
      </c>
      <c r="G16" s="5" t="s">
        <v>172</v>
      </c>
      <c r="H16" s="5" t="s">
        <v>173</v>
      </c>
      <c r="I16" s="5" t="s">
        <v>174</v>
      </c>
      <c r="J16" s="5" t="s">
        <v>175</v>
      </c>
      <c r="K16" s="5" t="s">
        <v>176</v>
      </c>
      <c r="L16" s="5" t="s">
        <v>177</v>
      </c>
      <c r="M16" s="5" t="s">
        <v>178</v>
      </c>
      <c r="N16" s="5" t="s">
        <v>179</v>
      </c>
      <c r="O16" s="5" t="s">
        <v>180</v>
      </c>
      <c r="P16" s="5" t="s">
        <v>181</v>
      </c>
      <c r="Q16" s="5" t="s">
        <v>182</v>
      </c>
      <c r="R16" s="5" t="s">
        <v>183</v>
      </c>
      <c r="S16" s="6"/>
      <c r="T16" s="10">
        <f t="shared" si="5"/>
        <v>5.4999999999999993E-2</v>
      </c>
      <c r="U16" s="11">
        <f t="shared" si="0"/>
        <v>1505</v>
      </c>
      <c r="V16" s="9">
        <f t="shared" si="1"/>
        <v>0</v>
      </c>
      <c r="W16" s="9">
        <f t="shared" si="2"/>
        <v>1</v>
      </c>
      <c r="X16" s="9">
        <f t="shared" si="3"/>
        <v>1</v>
      </c>
      <c r="Y16" s="9">
        <f t="shared" si="4"/>
        <v>98</v>
      </c>
      <c r="Z16" s="6"/>
      <c r="AA16" s="6"/>
      <c r="AB16" s="6"/>
      <c r="AC16" s="6"/>
      <c r="AD16" s="6"/>
      <c r="AE16" s="6"/>
      <c r="AF16" s="6"/>
      <c r="AG16" s="6"/>
      <c r="AH16" s="6"/>
    </row>
    <row r="17" spans="1:34">
      <c r="A17" s="22" t="str">
        <f>'2_Costos_fijos'!A17</f>
        <v>T001</v>
      </c>
      <c r="B17" s="8">
        <v>115.05</v>
      </c>
      <c r="C17" s="23">
        <f>'2_Costos_fijos'!B17</f>
        <v>1E-4</v>
      </c>
      <c r="D17" s="22">
        <f>'2_Costos_fijos'!C17</f>
        <v>0</v>
      </c>
      <c r="E17" s="11">
        <f t="shared" ref="E17:F36" si="6">$B$5</f>
        <v>5</v>
      </c>
      <c r="F17" s="11">
        <f t="shared" si="6"/>
        <v>5</v>
      </c>
      <c r="G17" s="11">
        <f t="shared" ref="G17:G48" si="7">B17*$B$6</f>
        <v>115.05</v>
      </c>
      <c r="H17" s="11">
        <f t="shared" ref="H17:H48" si="8">$B$7</f>
        <v>0</v>
      </c>
      <c r="I17" s="11">
        <f t="shared" ref="I17:I48" si="9">C17*E17+(1-C17)*F17</f>
        <v>5</v>
      </c>
      <c r="J17" s="11">
        <f t="shared" ref="J17:J48" si="10">C17*G17+(1-C17)*H17</f>
        <v>1.1505E-2</v>
      </c>
      <c r="K17" s="10">
        <f t="shared" ref="K17:K48" si="11">IF((F17-H17)+(G17-E17)&lt;=0,1,MIN(1,MAX(0,(F17-H17)/((F17-H17)+(G17-E17)))))</f>
        <v>4.3459365493263798E-2</v>
      </c>
      <c r="L17" s="6">
        <f t="shared" ref="L17:L48" si="12">--(I17&lt;=J17)</f>
        <v>0</v>
      </c>
      <c r="M17" s="11">
        <f t="shared" ref="M17:M48" si="13">IF(D17=1,IF(L17=1,E17,G17),IF(L17=1,F17,H17))</f>
        <v>0</v>
      </c>
      <c r="N17" s="6">
        <f t="shared" ref="N17:N48" si="14">--(C17&gt;=$B$8)</f>
        <v>0</v>
      </c>
      <c r="O17" s="11">
        <f t="shared" ref="O17:O48" si="15">IF(D17=1,IF(N17=1,E17,G17),IF(N17=1,F17,H17))</f>
        <v>0</v>
      </c>
      <c r="P17" s="6">
        <f t="shared" ref="P17:P48" si="16">--(C17&gt;=$B$10)</f>
        <v>0</v>
      </c>
      <c r="Q17" s="11">
        <f t="shared" ref="Q17:Q48" si="17">IF(D17=1,IF(P17=1,E17,G17),IF(P17=1,F17,H17))</f>
        <v>0</v>
      </c>
      <c r="R17" s="6" t="str">
        <f t="shared" ref="R17:R48" si="18">IF(D17=1,IF(L17=1,"TP","FN"),IF(L17=1,"FP","TN"))</f>
        <v>TN</v>
      </c>
      <c r="S17" s="6"/>
      <c r="T17" s="10">
        <f t="shared" si="5"/>
        <v>5.9999999999999991E-2</v>
      </c>
      <c r="U17" s="11">
        <f t="shared" si="0"/>
        <v>1505</v>
      </c>
      <c r="V17" s="9">
        <f t="shared" si="1"/>
        <v>0</v>
      </c>
      <c r="W17" s="9">
        <f t="shared" si="2"/>
        <v>1</v>
      </c>
      <c r="X17" s="9">
        <f t="shared" si="3"/>
        <v>1</v>
      </c>
      <c r="Y17" s="9">
        <f t="shared" si="4"/>
        <v>98</v>
      </c>
      <c r="Z17" s="6"/>
      <c r="AA17" s="6"/>
      <c r="AB17" s="6"/>
      <c r="AC17" s="6"/>
      <c r="AD17" s="6"/>
      <c r="AE17" s="6"/>
      <c r="AF17" s="6"/>
      <c r="AG17" s="6"/>
      <c r="AH17" s="6"/>
    </row>
    <row r="18" spans="1:34">
      <c r="A18" s="22" t="str">
        <f>'2_Costos_fijos'!A18</f>
        <v>T002</v>
      </c>
      <c r="B18" s="8">
        <v>54.77</v>
      </c>
      <c r="C18" s="23">
        <f>'2_Costos_fijos'!B18</f>
        <v>2.0900000000000001E-4</v>
      </c>
      <c r="D18" s="22">
        <f>'2_Costos_fijos'!C18</f>
        <v>0</v>
      </c>
      <c r="E18" s="11">
        <f t="shared" si="6"/>
        <v>5</v>
      </c>
      <c r="F18" s="11">
        <f t="shared" si="6"/>
        <v>5</v>
      </c>
      <c r="G18" s="11">
        <f t="shared" si="7"/>
        <v>54.77</v>
      </c>
      <c r="H18" s="11">
        <f t="shared" si="8"/>
        <v>0</v>
      </c>
      <c r="I18" s="11">
        <f t="shared" si="9"/>
        <v>5</v>
      </c>
      <c r="J18" s="11">
        <f t="shared" si="10"/>
        <v>1.1446930000000001E-2</v>
      </c>
      <c r="K18" s="10">
        <f t="shared" si="11"/>
        <v>9.1290852656563809E-2</v>
      </c>
      <c r="L18" s="6">
        <f t="shared" si="12"/>
        <v>0</v>
      </c>
      <c r="M18" s="11">
        <f t="shared" si="13"/>
        <v>0</v>
      </c>
      <c r="N18" s="6">
        <f t="shared" si="14"/>
        <v>0</v>
      </c>
      <c r="O18" s="11">
        <f t="shared" si="15"/>
        <v>0</v>
      </c>
      <c r="P18" s="6">
        <f t="shared" si="16"/>
        <v>0</v>
      </c>
      <c r="Q18" s="11">
        <f t="shared" si="17"/>
        <v>0</v>
      </c>
      <c r="R18" s="6" t="str">
        <f t="shared" si="18"/>
        <v>TN</v>
      </c>
      <c r="S18" s="6"/>
      <c r="T18" s="10">
        <f t="shared" si="5"/>
        <v>6.4999999999999988E-2</v>
      </c>
      <c r="U18" s="11">
        <f t="shared" si="0"/>
        <v>1500</v>
      </c>
      <c r="V18" s="9">
        <f t="shared" si="1"/>
        <v>0</v>
      </c>
      <c r="W18" s="9">
        <f t="shared" si="2"/>
        <v>0</v>
      </c>
      <c r="X18" s="9">
        <f t="shared" si="3"/>
        <v>1</v>
      </c>
      <c r="Y18" s="9">
        <f t="shared" si="4"/>
        <v>99</v>
      </c>
      <c r="Z18" s="6"/>
      <c r="AA18" s="6"/>
      <c r="AB18" s="6"/>
      <c r="AC18" s="6"/>
      <c r="AD18" s="6"/>
      <c r="AE18" s="6"/>
      <c r="AF18" s="6"/>
      <c r="AG18" s="6"/>
      <c r="AH18" s="6"/>
    </row>
    <row r="19" spans="1:34">
      <c r="A19" s="22" t="str">
        <f>'2_Costos_fijos'!A19</f>
        <v>T003</v>
      </c>
      <c r="B19" s="8">
        <v>315.7</v>
      </c>
      <c r="C19" s="23">
        <f>'2_Costos_fijos'!B19</f>
        <v>3.5999999999999999E-3</v>
      </c>
      <c r="D19" s="22">
        <f>'2_Costos_fijos'!C19</f>
        <v>0</v>
      </c>
      <c r="E19" s="11">
        <f t="shared" si="6"/>
        <v>5</v>
      </c>
      <c r="F19" s="11">
        <f t="shared" si="6"/>
        <v>5</v>
      </c>
      <c r="G19" s="11">
        <f t="shared" si="7"/>
        <v>315.7</v>
      </c>
      <c r="H19" s="11">
        <f t="shared" si="8"/>
        <v>0</v>
      </c>
      <c r="I19" s="11">
        <f t="shared" si="9"/>
        <v>4.9999999999999991</v>
      </c>
      <c r="J19" s="11">
        <f t="shared" si="10"/>
        <v>1.13652</v>
      </c>
      <c r="K19" s="10">
        <f t="shared" si="11"/>
        <v>1.5837820715869498E-2</v>
      </c>
      <c r="L19" s="6">
        <f t="shared" si="12"/>
        <v>0</v>
      </c>
      <c r="M19" s="11">
        <f t="shared" si="13"/>
        <v>0</v>
      </c>
      <c r="N19" s="6">
        <f t="shared" si="14"/>
        <v>0</v>
      </c>
      <c r="O19" s="11">
        <f t="shared" si="15"/>
        <v>0</v>
      </c>
      <c r="P19" s="6">
        <f t="shared" si="16"/>
        <v>0</v>
      </c>
      <c r="Q19" s="11">
        <f t="shared" si="17"/>
        <v>0</v>
      </c>
      <c r="R19" s="6" t="str">
        <f t="shared" si="18"/>
        <v>TN</v>
      </c>
      <c r="S19" s="6"/>
      <c r="T19" s="10">
        <f t="shared" si="5"/>
        <v>6.9999999999999993E-2</v>
      </c>
      <c r="U19" s="11">
        <f t="shared" si="0"/>
        <v>1500</v>
      </c>
      <c r="V19" s="9">
        <f t="shared" si="1"/>
        <v>0</v>
      </c>
      <c r="W19" s="9">
        <f t="shared" si="2"/>
        <v>0</v>
      </c>
      <c r="X19" s="9">
        <f t="shared" si="3"/>
        <v>1</v>
      </c>
      <c r="Y19" s="9">
        <f t="shared" si="4"/>
        <v>99</v>
      </c>
      <c r="Z19" s="6"/>
      <c r="AA19" s="6"/>
      <c r="AB19" s="6"/>
      <c r="AC19" s="6"/>
      <c r="AD19" s="6"/>
      <c r="AE19" s="6"/>
      <c r="AF19" s="6"/>
      <c r="AG19" s="6"/>
      <c r="AH19" s="6"/>
    </row>
    <row r="20" spans="1:34">
      <c r="A20" s="22" t="str">
        <f>'2_Costos_fijos'!A20</f>
        <v>T004</v>
      </c>
      <c r="B20" s="8">
        <v>78.41</v>
      </c>
      <c r="C20" s="23">
        <f>'2_Costos_fijos'!B20</f>
        <v>1E-4</v>
      </c>
      <c r="D20" s="22">
        <f>'2_Costos_fijos'!C20</f>
        <v>0</v>
      </c>
      <c r="E20" s="11">
        <f t="shared" si="6"/>
        <v>5</v>
      </c>
      <c r="F20" s="11">
        <f t="shared" si="6"/>
        <v>5</v>
      </c>
      <c r="G20" s="11">
        <f t="shared" si="7"/>
        <v>78.41</v>
      </c>
      <c r="H20" s="11">
        <f t="shared" si="8"/>
        <v>0</v>
      </c>
      <c r="I20" s="11">
        <f t="shared" si="9"/>
        <v>5</v>
      </c>
      <c r="J20" s="11">
        <f t="shared" si="10"/>
        <v>7.8410000000000007E-3</v>
      </c>
      <c r="K20" s="10">
        <f t="shared" si="11"/>
        <v>6.3767376610126256E-2</v>
      </c>
      <c r="L20" s="6">
        <f t="shared" si="12"/>
        <v>0</v>
      </c>
      <c r="M20" s="11">
        <f t="shared" si="13"/>
        <v>0</v>
      </c>
      <c r="N20" s="6">
        <f t="shared" si="14"/>
        <v>0</v>
      </c>
      <c r="O20" s="11">
        <f t="shared" si="15"/>
        <v>0</v>
      </c>
      <c r="P20" s="6">
        <f t="shared" si="16"/>
        <v>0</v>
      </c>
      <c r="Q20" s="11">
        <f t="shared" si="17"/>
        <v>0</v>
      </c>
      <c r="R20" s="6" t="str">
        <f t="shared" si="18"/>
        <v>TN</v>
      </c>
      <c r="S20" s="6"/>
      <c r="T20" s="10">
        <f t="shared" si="5"/>
        <v>7.4999999999999997E-2</v>
      </c>
      <c r="U20" s="11">
        <f t="shared" si="0"/>
        <v>1500</v>
      </c>
      <c r="V20" s="9">
        <f t="shared" si="1"/>
        <v>0</v>
      </c>
      <c r="W20" s="9">
        <f t="shared" si="2"/>
        <v>0</v>
      </c>
      <c r="X20" s="9">
        <f t="shared" si="3"/>
        <v>1</v>
      </c>
      <c r="Y20" s="9">
        <f t="shared" si="4"/>
        <v>99</v>
      </c>
      <c r="Z20" s="6"/>
      <c r="AA20" s="6"/>
      <c r="AB20" s="6"/>
      <c r="AC20" s="6"/>
      <c r="AD20" s="6"/>
      <c r="AE20" s="6"/>
      <c r="AF20" s="6"/>
      <c r="AG20" s="6"/>
      <c r="AH20" s="6"/>
    </row>
    <row r="21" spans="1:34">
      <c r="A21" s="22" t="str">
        <f>'2_Costos_fijos'!A21</f>
        <v>T005</v>
      </c>
      <c r="B21" s="8">
        <v>33.93</v>
      </c>
      <c r="C21" s="23">
        <f>'2_Costos_fijos'!B21</f>
        <v>5.0199999999999995E-4</v>
      </c>
      <c r="D21" s="22">
        <f>'2_Costos_fijos'!C21</f>
        <v>0</v>
      </c>
      <c r="E21" s="11">
        <f t="shared" si="6"/>
        <v>5</v>
      </c>
      <c r="F21" s="11">
        <f t="shared" si="6"/>
        <v>5</v>
      </c>
      <c r="G21" s="11">
        <f t="shared" si="7"/>
        <v>33.93</v>
      </c>
      <c r="H21" s="11">
        <f t="shared" si="8"/>
        <v>0</v>
      </c>
      <c r="I21" s="11">
        <f t="shared" si="9"/>
        <v>5</v>
      </c>
      <c r="J21" s="11">
        <f t="shared" si="10"/>
        <v>1.7032859999999997E-2</v>
      </c>
      <c r="K21" s="10">
        <f t="shared" si="11"/>
        <v>0.14736221632773358</v>
      </c>
      <c r="L21" s="6">
        <f t="shared" si="12"/>
        <v>0</v>
      </c>
      <c r="M21" s="11">
        <f t="shared" si="13"/>
        <v>0</v>
      </c>
      <c r="N21" s="6">
        <f t="shared" si="14"/>
        <v>0</v>
      </c>
      <c r="O21" s="11">
        <f t="shared" si="15"/>
        <v>0</v>
      </c>
      <c r="P21" s="6">
        <f t="shared" si="16"/>
        <v>0</v>
      </c>
      <c r="Q21" s="11">
        <f t="shared" si="17"/>
        <v>0</v>
      </c>
      <c r="R21" s="6" t="str">
        <f t="shared" si="18"/>
        <v>TN</v>
      </c>
      <c r="S21" s="6"/>
      <c r="T21" s="10">
        <f t="shared" si="5"/>
        <v>0.08</v>
      </c>
      <c r="U21" s="11">
        <f t="shared" si="0"/>
        <v>1500</v>
      </c>
      <c r="V21" s="9">
        <f t="shared" si="1"/>
        <v>0</v>
      </c>
      <c r="W21" s="9">
        <f t="shared" si="2"/>
        <v>0</v>
      </c>
      <c r="X21" s="9">
        <f t="shared" si="3"/>
        <v>1</v>
      </c>
      <c r="Y21" s="9">
        <f t="shared" si="4"/>
        <v>99</v>
      </c>
      <c r="Z21" s="6"/>
      <c r="AA21" s="6"/>
      <c r="AB21" s="6"/>
      <c r="AC21" s="6"/>
      <c r="AD21" s="6"/>
      <c r="AE21" s="6"/>
      <c r="AF21" s="6"/>
      <c r="AG21" s="6"/>
      <c r="AH21" s="6"/>
    </row>
    <row r="22" spans="1:34">
      <c r="A22" s="22" t="str">
        <f>'2_Costos_fijos'!A22</f>
        <v>T006</v>
      </c>
      <c r="B22" s="8">
        <v>158.38999999999999</v>
      </c>
      <c r="C22" s="23">
        <f>'2_Costos_fijos'!B22</f>
        <v>7.0990000000000003E-3</v>
      </c>
      <c r="D22" s="22">
        <f>'2_Costos_fijos'!C22</f>
        <v>0</v>
      </c>
      <c r="E22" s="11">
        <f t="shared" si="6"/>
        <v>5</v>
      </c>
      <c r="F22" s="11">
        <f t="shared" si="6"/>
        <v>5</v>
      </c>
      <c r="G22" s="11">
        <f t="shared" si="7"/>
        <v>158.38999999999999</v>
      </c>
      <c r="H22" s="11">
        <f t="shared" si="8"/>
        <v>0</v>
      </c>
      <c r="I22" s="11">
        <f t="shared" si="9"/>
        <v>5</v>
      </c>
      <c r="J22" s="11">
        <f t="shared" si="10"/>
        <v>1.12441061</v>
      </c>
      <c r="K22" s="10">
        <f t="shared" si="11"/>
        <v>3.1567649472820258E-2</v>
      </c>
      <c r="L22" s="6">
        <f t="shared" si="12"/>
        <v>0</v>
      </c>
      <c r="M22" s="11">
        <f t="shared" si="13"/>
        <v>0</v>
      </c>
      <c r="N22" s="6">
        <f t="shared" si="14"/>
        <v>0</v>
      </c>
      <c r="O22" s="11">
        <f t="shared" si="15"/>
        <v>0</v>
      </c>
      <c r="P22" s="6">
        <f t="shared" si="16"/>
        <v>0</v>
      </c>
      <c r="Q22" s="11">
        <f t="shared" si="17"/>
        <v>0</v>
      </c>
      <c r="R22" s="6" t="str">
        <f t="shared" si="18"/>
        <v>TN</v>
      </c>
      <c r="S22" s="6"/>
      <c r="T22" s="10">
        <f t="shared" si="5"/>
        <v>8.5000000000000006E-2</v>
      </c>
      <c r="U22" s="11">
        <f t="shared" si="0"/>
        <v>1500</v>
      </c>
      <c r="V22" s="9">
        <f t="shared" si="1"/>
        <v>0</v>
      </c>
      <c r="W22" s="9">
        <f t="shared" si="2"/>
        <v>0</v>
      </c>
      <c r="X22" s="9">
        <f t="shared" si="3"/>
        <v>1</v>
      </c>
      <c r="Y22" s="9">
        <f t="shared" si="4"/>
        <v>99</v>
      </c>
      <c r="Z22" s="6"/>
      <c r="AA22" s="6"/>
      <c r="AB22" s="6"/>
      <c r="AC22" s="6"/>
      <c r="AD22" s="6"/>
      <c r="AE22" s="6"/>
      <c r="AF22" s="6"/>
      <c r="AG22" s="6"/>
      <c r="AH22" s="6"/>
    </row>
    <row r="23" spans="1:34">
      <c r="A23" s="22" t="str">
        <f>'2_Costos_fijos'!A23</f>
        <v>T007</v>
      </c>
      <c r="B23" s="8">
        <v>28</v>
      </c>
      <c r="C23" s="23">
        <f>'2_Costos_fijos'!B23</f>
        <v>1.08E-4</v>
      </c>
      <c r="D23" s="22">
        <f>'2_Costos_fijos'!C23</f>
        <v>0</v>
      </c>
      <c r="E23" s="11">
        <f t="shared" si="6"/>
        <v>5</v>
      </c>
      <c r="F23" s="11">
        <f t="shared" si="6"/>
        <v>5</v>
      </c>
      <c r="G23" s="11">
        <f t="shared" si="7"/>
        <v>28</v>
      </c>
      <c r="H23" s="11">
        <f t="shared" si="8"/>
        <v>0</v>
      </c>
      <c r="I23" s="11">
        <f t="shared" si="9"/>
        <v>5</v>
      </c>
      <c r="J23" s="11">
        <f t="shared" si="10"/>
        <v>3.0239999999999998E-3</v>
      </c>
      <c r="K23" s="10">
        <f t="shared" si="11"/>
        <v>0.17857142857142858</v>
      </c>
      <c r="L23" s="6">
        <f t="shared" si="12"/>
        <v>0</v>
      </c>
      <c r="M23" s="11">
        <f t="shared" si="13"/>
        <v>0</v>
      </c>
      <c r="N23" s="6">
        <f t="shared" si="14"/>
        <v>0</v>
      </c>
      <c r="O23" s="11">
        <f t="shared" si="15"/>
        <v>0</v>
      </c>
      <c r="P23" s="6">
        <f t="shared" si="16"/>
        <v>0</v>
      </c>
      <c r="Q23" s="11">
        <f t="shared" si="17"/>
        <v>0</v>
      </c>
      <c r="R23" s="6" t="str">
        <f t="shared" si="18"/>
        <v>TN</v>
      </c>
      <c r="S23" s="6"/>
      <c r="T23" s="10">
        <f t="shared" si="5"/>
        <v>9.0000000000000011E-2</v>
      </c>
      <c r="U23" s="11">
        <f t="shared" si="0"/>
        <v>1500</v>
      </c>
      <c r="V23" s="9">
        <f t="shared" si="1"/>
        <v>0</v>
      </c>
      <c r="W23" s="9">
        <f t="shared" si="2"/>
        <v>0</v>
      </c>
      <c r="X23" s="9">
        <f t="shared" si="3"/>
        <v>1</v>
      </c>
      <c r="Y23" s="9">
        <f t="shared" si="4"/>
        <v>99</v>
      </c>
      <c r="Z23" s="6"/>
      <c r="AA23" s="6"/>
      <c r="AB23" s="6"/>
      <c r="AC23" s="6"/>
      <c r="AD23" s="6"/>
      <c r="AE23" s="6"/>
      <c r="AF23" s="6"/>
      <c r="AG23" s="6"/>
      <c r="AH23" s="6"/>
    </row>
    <row r="24" spans="1:34">
      <c r="A24" s="22" t="str">
        <f>'2_Costos_fijos'!A24</f>
        <v>T008</v>
      </c>
      <c r="B24" s="8">
        <v>511.85</v>
      </c>
      <c r="C24" s="23">
        <f>'2_Costos_fijos'!B24</f>
        <v>0.02</v>
      </c>
      <c r="D24" s="22">
        <f>'2_Costos_fijos'!C24</f>
        <v>0</v>
      </c>
      <c r="E24" s="11">
        <f t="shared" si="6"/>
        <v>5</v>
      </c>
      <c r="F24" s="11">
        <f t="shared" si="6"/>
        <v>5</v>
      </c>
      <c r="G24" s="11">
        <f t="shared" si="7"/>
        <v>511.85</v>
      </c>
      <c r="H24" s="11">
        <f t="shared" si="8"/>
        <v>0</v>
      </c>
      <c r="I24" s="11">
        <f t="shared" si="9"/>
        <v>5</v>
      </c>
      <c r="J24" s="11">
        <f t="shared" si="10"/>
        <v>10.237</v>
      </c>
      <c r="K24" s="10">
        <f t="shared" si="11"/>
        <v>9.7684868613851714E-3</v>
      </c>
      <c r="L24" s="6">
        <f t="shared" si="12"/>
        <v>1</v>
      </c>
      <c r="M24" s="11">
        <f t="shared" si="13"/>
        <v>5</v>
      </c>
      <c r="N24" s="6">
        <f t="shared" si="14"/>
        <v>0</v>
      </c>
      <c r="O24" s="11">
        <f t="shared" si="15"/>
        <v>0</v>
      </c>
      <c r="P24" s="6">
        <f t="shared" si="16"/>
        <v>1</v>
      </c>
      <c r="Q24" s="11">
        <f t="shared" si="17"/>
        <v>5</v>
      </c>
      <c r="R24" s="6" t="str">
        <f t="shared" si="18"/>
        <v>FP</v>
      </c>
      <c r="S24" s="6"/>
      <c r="T24" s="10">
        <f t="shared" si="5"/>
        <v>9.5000000000000015E-2</v>
      </c>
      <c r="U24" s="11">
        <f t="shared" si="0"/>
        <v>1500</v>
      </c>
      <c r="V24" s="9">
        <f t="shared" si="1"/>
        <v>0</v>
      </c>
      <c r="W24" s="9">
        <f t="shared" si="2"/>
        <v>0</v>
      </c>
      <c r="X24" s="9">
        <f t="shared" si="3"/>
        <v>1</v>
      </c>
      <c r="Y24" s="9">
        <f t="shared" si="4"/>
        <v>99</v>
      </c>
      <c r="Z24" s="6"/>
      <c r="AA24" s="6"/>
      <c r="AB24" s="6"/>
      <c r="AC24" s="6"/>
      <c r="AD24" s="6"/>
      <c r="AE24" s="6"/>
      <c r="AF24" s="6"/>
      <c r="AG24" s="6"/>
      <c r="AH24" s="6"/>
    </row>
    <row r="25" spans="1:34">
      <c r="A25" s="22" t="str">
        <f>'2_Costos_fijos'!A25</f>
        <v>T009</v>
      </c>
      <c r="B25" s="8">
        <v>65.069999999999993</v>
      </c>
      <c r="C25" s="23">
        <f>'2_Costos_fijos'!B25</f>
        <v>1.2961E-2</v>
      </c>
      <c r="D25" s="22">
        <f>'2_Costos_fijos'!C25</f>
        <v>0</v>
      </c>
      <c r="E25" s="11">
        <f t="shared" si="6"/>
        <v>5</v>
      </c>
      <c r="F25" s="11">
        <f t="shared" si="6"/>
        <v>5</v>
      </c>
      <c r="G25" s="11">
        <f t="shared" si="7"/>
        <v>65.069999999999993</v>
      </c>
      <c r="H25" s="11">
        <f t="shared" si="8"/>
        <v>0</v>
      </c>
      <c r="I25" s="11">
        <f t="shared" si="9"/>
        <v>5</v>
      </c>
      <c r="J25" s="11">
        <f t="shared" si="10"/>
        <v>0.84337226999999992</v>
      </c>
      <c r="K25" s="10">
        <f t="shared" si="11"/>
        <v>7.6840325802981418E-2</v>
      </c>
      <c r="L25" s="6">
        <f t="shared" si="12"/>
        <v>0</v>
      </c>
      <c r="M25" s="11">
        <f t="shared" si="13"/>
        <v>0</v>
      </c>
      <c r="N25" s="6">
        <f t="shared" si="14"/>
        <v>0</v>
      </c>
      <c r="O25" s="11">
        <f t="shared" si="15"/>
        <v>0</v>
      </c>
      <c r="P25" s="6">
        <f t="shared" si="16"/>
        <v>1</v>
      </c>
      <c r="Q25" s="11">
        <f t="shared" si="17"/>
        <v>5</v>
      </c>
      <c r="R25" s="6" t="str">
        <f t="shared" si="18"/>
        <v>TN</v>
      </c>
      <c r="S25" s="6"/>
      <c r="T25" s="10">
        <f t="shared" si="5"/>
        <v>0.10000000000000002</v>
      </c>
      <c r="U25" s="11">
        <f t="shared" si="0"/>
        <v>1500</v>
      </c>
      <c r="V25" s="9">
        <f t="shared" si="1"/>
        <v>0</v>
      </c>
      <c r="W25" s="9">
        <f t="shared" si="2"/>
        <v>0</v>
      </c>
      <c r="X25" s="9">
        <f t="shared" si="3"/>
        <v>1</v>
      </c>
      <c r="Y25" s="9">
        <f t="shared" si="4"/>
        <v>99</v>
      </c>
      <c r="Z25" s="6"/>
      <c r="AA25" s="6"/>
      <c r="AB25" s="6"/>
      <c r="AC25" s="6"/>
      <c r="AD25" s="6"/>
      <c r="AE25" s="6"/>
      <c r="AF25" s="6"/>
      <c r="AG25" s="6"/>
      <c r="AH25" s="6"/>
    </row>
    <row r="26" spans="1:34">
      <c r="A26" s="22" t="str">
        <f>'2_Costos_fijos'!A26</f>
        <v>T010</v>
      </c>
      <c r="B26" s="8">
        <v>293.63</v>
      </c>
      <c r="C26" s="23">
        <f>'2_Costos_fijos'!B26</f>
        <v>1.6200000000000001E-4</v>
      </c>
      <c r="D26" s="22">
        <f>'2_Costos_fijos'!C26</f>
        <v>0</v>
      </c>
      <c r="E26" s="11">
        <f t="shared" si="6"/>
        <v>5</v>
      </c>
      <c r="F26" s="11">
        <f t="shared" si="6"/>
        <v>5</v>
      </c>
      <c r="G26" s="11">
        <f t="shared" si="7"/>
        <v>293.63</v>
      </c>
      <c r="H26" s="11">
        <f t="shared" si="8"/>
        <v>0</v>
      </c>
      <c r="I26" s="11">
        <f t="shared" si="9"/>
        <v>5.0000000000000009</v>
      </c>
      <c r="J26" s="11">
        <f t="shared" si="10"/>
        <v>4.7568060000000002E-2</v>
      </c>
      <c r="K26" s="10">
        <f t="shared" si="11"/>
        <v>1.7028232809998978E-2</v>
      </c>
      <c r="L26" s="6">
        <f t="shared" si="12"/>
        <v>0</v>
      </c>
      <c r="M26" s="11">
        <f t="shared" si="13"/>
        <v>0</v>
      </c>
      <c r="N26" s="6">
        <f t="shared" si="14"/>
        <v>0</v>
      </c>
      <c r="O26" s="11">
        <f t="shared" si="15"/>
        <v>0</v>
      </c>
      <c r="P26" s="6">
        <f t="shared" si="16"/>
        <v>0</v>
      </c>
      <c r="Q26" s="11">
        <f t="shared" si="17"/>
        <v>0</v>
      </c>
      <c r="R26" s="6" t="str">
        <f t="shared" si="18"/>
        <v>TN</v>
      </c>
      <c r="S26" s="6"/>
      <c r="T26" s="10">
        <f t="shared" si="5"/>
        <v>0.10500000000000002</v>
      </c>
      <c r="U26" s="11">
        <f t="shared" si="0"/>
        <v>1500</v>
      </c>
      <c r="V26" s="9">
        <f t="shared" si="1"/>
        <v>0</v>
      </c>
      <c r="W26" s="9">
        <f t="shared" si="2"/>
        <v>0</v>
      </c>
      <c r="X26" s="9">
        <f t="shared" si="3"/>
        <v>1</v>
      </c>
      <c r="Y26" s="9">
        <f t="shared" si="4"/>
        <v>99</v>
      </c>
      <c r="Z26" s="6"/>
      <c r="AA26" s="6"/>
      <c r="AB26" s="6"/>
      <c r="AC26" s="6"/>
      <c r="AD26" s="6"/>
      <c r="AE26" s="6"/>
      <c r="AF26" s="6"/>
      <c r="AG26" s="6"/>
      <c r="AH26" s="6"/>
    </row>
    <row r="27" spans="1:34">
      <c r="A27" s="22" t="str">
        <f>'2_Costos_fijos'!A27</f>
        <v>T011</v>
      </c>
      <c r="B27" s="8">
        <v>405.19</v>
      </c>
      <c r="C27" s="23">
        <f>'2_Costos_fijos'!B27</f>
        <v>2.751E-3</v>
      </c>
      <c r="D27" s="22">
        <f>'2_Costos_fijos'!C27</f>
        <v>0</v>
      </c>
      <c r="E27" s="11">
        <f t="shared" si="6"/>
        <v>5</v>
      </c>
      <c r="F27" s="11">
        <f t="shared" si="6"/>
        <v>5</v>
      </c>
      <c r="G27" s="11">
        <f t="shared" si="7"/>
        <v>405.19</v>
      </c>
      <c r="H27" s="11">
        <f t="shared" si="8"/>
        <v>0</v>
      </c>
      <c r="I27" s="11">
        <f t="shared" si="9"/>
        <v>5</v>
      </c>
      <c r="J27" s="11">
        <f t="shared" si="10"/>
        <v>1.1146776899999999</v>
      </c>
      <c r="K27" s="10">
        <f t="shared" si="11"/>
        <v>1.233988992818184E-2</v>
      </c>
      <c r="L27" s="6">
        <f t="shared" si="12"/>
        <v>0</v>
      </c>
      <c r="M27" s="11">
        <f t="shared" si="13"/>
        <v>0</v>
      </c>
      <c r="N27" s="6">
        <f t="shared" si="14"/>
        <v>0</v>
      </c>
      <c r="O27" s="11">
        <f t="shared" si="15"/>
        <v>0</v>
      </c>
      <c r="P27" s="6">
        <f t="shared" si="16"/>
        <v>0</v>
      </c>
      <c r="Q27" s="11">
        <f t="shared" si="17"/>
        <v>0</v>
      </c>
      <c r="R27" s="6" t="str">
        <f t="shared" si="18"/>
        <v>TN</v>
      </c>
      <c r="S27" s="6"/>
      <c r="T27" s="10">
        <f t="shared" si="5"/>
        <v>0.11000000000000003</v>
      </c>
      <c r="U27" s="11">
        <f t="shared" si="0"/>
        <v>1500</v>
      </c>
      <c r="V27" s="9">
        <f t="shared" si="1"/>
        <v>0</v>
      </c>
      <c r="W27" s="9">
        <f t="shared" si="2"/>
        <v>0</v>
      </c>
      <c r="X27" s="9">
        <f t="shared" si="3"/>
        <v>1</v>
      </c>
      <c r="Y27" s="9">
        <f t="shared" si="4"/>
        <v>99</v>
      </c>
      <c r="Z27" s="6"/>
      <c r="AA27" s="6"/>
      <c r="AB27" s="6"/>
      <c r="AC27" s="6"/>
      <c r="AD27" s="6"/>
      <c r="AE27" s="6"/>
      <c r="AF27" s="6"/>
      <c r="AG27" s="6"/>
      <c r="AH27" s="6"/>
    </row>
    <row r="28" spans="1:34">
      <c r="A28" s="22" t="str">
        <f>'2_Costos_fijos'!A28</f>
        <v>T012</v>
      </c>
      <c r="B28" s="8">
        <v>632.38</v>
      </c>
      <c r="C28" s="23">
        <f>'2_Costos_fijos'!B28</f>
        <v>1E-4</v>
      </c>
      <c r="D28" s="22">
        <f>'2_Costos_fijos'!C28</f>
        <v>0</v>
      </c>
      <c r="E28" s="11">
        <f t="shared" si="6"/>
        <v>5</v>
      </c>
      <c r="F28" s="11">
        <f t="shared" si="6"/>
        <v>5</v>
      </c>
      <c r="G28" s="11">
        <f t="shared" si="7"/>
        <v>632.38</v>
      </c>
      <c r="H28" s="11">
        <f t="shared" si="8"/>
        <v>0</v>
      </c>
      <c r="I28" s="11">
        <f t="shared" si="9"/>
        <v>5</v>
      </c>
      <c r="J28" s="11">
        <f t="shared" si="10"/>
        <v>6.3238000000000003E-2</v>
      </c>
      <c r="K28" s="10">
        <f t="shared" si="11"/>
        <v>7.9066384136120688E-3</v>
      </c>
      <c r="L28" s="6">
        <f t="shared" si="12"/>
        <v>0</v>
      </c>
      <c r="M28" s="11">
        <f t="shared" si="13"/>
        <v>0</v>
      </c>
      <c r="N28" s="6">
        <f t="shared" si="14"/>
        <v>0</v>
      </c>
      <c r="O28" s="11">
        <f t="shared" si="15"/>
        <v>0</v>
      </c>
      <c r="P28" s="6">
        <f t="shared" si="16"/>
        <v>0</v>
      </c>
      <c r="Q28" s="11">
        <f t="shared" si="17"/>
        <v>0</v>
      </c>
      <c r="R28" s="6" t="str">
        <f t="shared" si="18"/>
        <v>TN</v>
      </c>
      <c r="S28" s="6"/>
      <c r="T28" s="10">
        <f t="shared" si="5"/>
        <v>0.11500000000000003</v>
      </c>
      <c r="U28" s="11">
        <f t="shared" si="0"/>
        <v>1500</v>
      </c>
      <c r="V28" s="9">
        <f t="shared" si="1"/>
        <v>0</v>
      </c>
      <c r="W28" s="9">
        <f t="shared" si="2"/>
        <v>0</v>
      </c>
      <c r="X28" s="9">
        <f t="shared" si="3"/>
        <v>1</v>
      </c>
      <c r="Y28" s="9">
        <f t="shared" si="4"/>
        <v>99</v>
      </c>
      <c r="Z28" s="6"/>
      <c r="AA28" s="6"/>
      <c r="AB28" s="6"/>
      <c r="AC28" s="6"/>
      <c r="AD28" s="6"/>
      <c r="AE28" s="6"/>
      <c r="AF28" s="6"/>
      <c r="AG28" s="6"/>
      <c r="AH28" s="6"/>
    </row>
    <row r="29" spans="1:34">
      <c r="A29" s="22" t="str">
        <f>'2_Costos_fijos'!A29</f>
        <v>T013</v>
      </c>
      <c r="B29" s="8">
        <v>908.48</v>
      </c>
      <c r="C29" s="23">
        <f>'2_Costos_fijos'!B29</f>
        <v>3.6000000000000002E-4</v>
      </c>
      <c r="D29" s="22">
        <f>'2_Costos_fijos'!C29</f>
        <v>0</v>
      </c>
      <c r="E29" s="11">
        <f t="shared" si="6"/>
        <v>5</v>
      </c>
      <c r="F29" s="11">
        <f t="shared" si="6"/>
        <v>5</v>
      </c>
      <c r="G29" s="11">
        <f t="shared" si="7"/>
        <v>908.48</v>
      </c>
      <c r="H29" s="11">
        <f t="shared" si="8"/>
        <v>0</v>
      </c>
      <c r="I29" s="11">
        <f t="shared" si="9"/>
        <v>5</v>
      </c>
      <c r="J29" s="11">
        <f t="shared" si="10"/>
        <v>0.32705280000000003</v>
      </c>
      <c r="K29" s="10">
        <f t="shared" si="11"/>
        <v>5.5036984853821767E-3</v>
      </c>
      <c r="L29" s="6">
        <f t="shared" si="12"/>
        <v>0</v>
      </c>
      <c r="M29" s="11">
        <f t="shared" si="13"/>
        <v>0</v>
      </c>
      <c r="N29" s="6">
        <f t="shared" si="14"/>
        <v>0</v>
      </c>
      <c r="O29" s="11">
        <f t="shared" si="15"/>
        <v>0</v>
      </c>
      <c r="P29" s="6">
        <f t="shared" si="16"/>
        <v>0</v>
      </c>
      <c r="Q29" s="11">
        <f t="shared" si="17"/>
        <v>0</v>
      </c>
      <c r="R29" s="6" t="str">
        <f t="shared" si="18"/>
        <v>TN</v>
      </c>
      <c r="S29" s="6"/>
      <c r="T29" s="10">
        <f t="shared" si="5"/>
        <v>0.12000000000000004</v>
      </c>
      <c r="U29" s="11">
        <f t="shared" si="0"/>
        <v>1500</v>
      </c>
      <c r="V29" s="9">
        <f t="shared" si="1"/>
        <v>0</v>
      </c>
      <c r="W29" s="9">
        <f t="shared" si="2"/>
        <v>0</v>
      </c>
      <c r="X29" s="9">
        <f t="shared" si="3"/>
        <v>1</v>
      </c>
      <c r="Y29" s="9">
        <f t="shared" si="4"/>
        <v>99</v>
      </c>
      <c r="Z29" s="6"/>
      <c r="AA29" s="6"/>
      <c r="AB29" s="6"/>
      <c r="AC29" s="6"/>
      <c r="AD29" s="6"/>
      <c r="AE29" s="6"/>
      <c r="AF29" s="6"/>
      <c r="AG29" s="6"/>
      <c r="AH29" s="6"/>
    </row>
    <row r="30" spans="1:34">
      <c r="A30" s="22" t="str">
        <f>'2_Costos_fijos'!A30</f>
        <v>T014</v>
      </c>
      <c r="B30" s="8">
        <v>56.53</v>
      </c>
      <c r="C30" s="23">
        <f>'2_Costos_fijos'!B30</f>
        <v>5.5999999999999999E-3</v>
      </c>
      <c r="D30" s="22">
        <f>'2_Costos_fijos'!C30</f>
        <v>0</v>
      </c>
      <c r="E30" s="11">
        <f t="shared" si="6"/>
        <v>5</v>
      </c>
      <c r="F30" s="11">
        <f t="shared" si="6"/>
        <v>5</v>
      </c>
      <c r="G30" s="11">
        <f t="shared" si="7"/>
        <v>56.53</v>
      </c>
      <c r="H30" s="11">
        <f t="shared" si="8"/>
        <v>0</v>
      </c>
      <c r="I30" s="11">
        <f t="shared" si="9"/>
        <v>4.9999999999999991</v>
      </c>
      <c r="J30" s="11">
        <f t="shared" si="10"/>
        <v>0.31656800000000002</v>
      </c>
      <c r="K30" s="10">
        <f t="shared" si="11"/>
        <v>8.8448611356801696E-2</v>
      </c>
      <c r="L30" s="6">
        <f t="shared" si="12"/>
        <v>0</v>
      </c>
      <c r="M30" s="11">
        <f t="shared" si="13"/>
        <v>0</v>
      </c>
      <c r="N30" s="6">
        <f t="shared" si="14"/>
        <v>0</v>
      </c>
      <c r="O30" s="11">
        <f t="shared" si="15"/>
        <v>0</v>
      </c>
      <c r="P30" s="6">
        <f t="shared" si="16"/>
        <v>0</v>
      </c>
      <c r="Q30" s="11">
        <f t="shared" si="17"/>
        <v>0</v>
      </c>
      <c r="R30" s="6" t="str">
        <f t="shared" si="18"/>
        <v>TN</v>
      </c>
      <c r="S30" s="6"/>
      <c r="T30" s="10">
        <f t="shared" si="5"/>
        <v>0.12500000000000003</v>
      </c>
      <c r="U30" s="11">
        <f t="shared" si="0"/>
        <v>1500</v>
      </c>
      <c r="V30" s="9">
        <f t="shared" si="1"/>
        <v>0</v>
      </c>
      <c r="W30" s="9">
        <f t="shared" si="2"/>
        <v>0</v>
      </c>
      <c r="X30" s="9">
        <f t="shared" si="3"/>
        <v>1</v>
      </c>
      <c r="Y30" s="9">
        <f t="shared" si="4"/>
        <v>99</v>
      </c>
      <c r="Z30" s="6"/>
      <c r="AA30" s="6"/>
      <c r="AB30" s="6"/>
      <c r="AC30" s="6"/>
      <c r="AD30" s="6"/>
      <c r="AE30" s="6"/>
      <c r="AF30" s="6"/>
      <c r="AG30" s="6"/>
      <c r="AH30" s="6"/>
    </row>
    <row r="31" spans="1:34">
      <c r="A31" s="22" t="str">
        <f>'2_Costos_fijos'!A31</f>
        <v>T015</v>
      </c>
      <c r="B31" s="8">
        <v>395.97</v>
      </c>
      <c r="C31" s="23">
        <f>'2_Costos_fijos'!B31</f>
        <v>1.03E-4</v>
      </c>
      <c r="D31" s="22">
        <f>'2_Costos_fijos'!C31</f>
        <v>0</v>
      </c>
      <c r="E31" s="11">
        <f t="shared" si="6"/>
        <v>5</v>
      </c>
      <c r="F31" s="11">
        <f t="shared" si="6"/>
        <v>5</v>
      </c>
      <c r="G31" s="11">
        <f t="shared" si="7"/>
        <v>395.97</v>
      </c>
      <c r="H31" s="11">
        <f t="shared" si="8"/>
        <v>0</v>
      </c>
      <c r="I31" s="11">
        <f t="shared" si="9"/>
        <v>5</v>
      </c>
      <c r="J31" s="11">
        <f t="shared" si="10"/>
        <v>4.0784910000000001E-2</v>
      </c>
      <c r="K31" s="10">
        <f t="shared" si="11"/>
        <v>1.2627219233780336E-2</v>
      </c>
      <c r="L31" s="6">
        <f t="shared" si="12"/>
        <v>0</v>
      </c>
      <c r="M31" s="11">
        <f t="shared" si="13"/>
        <v>0</v>
      </c>
      <c r="N31" s="6">
        <f t="shared" si="14"/>
        <v>0</v>
      </c>
      <c r="O31" s="11">
        <f t="shared" si="15"/>
        <v>0</v>
      </c>
      <c r="P31" s="6">
        <f t="shared" si="16"/>
        <v>0</v>
      </c>
      <c r="Q31" s="11">
        <f t="shared" si="17"/>
        <v>0</v>
      </c>
      <c r="R31" s="6" t="str">
        <f t="shared" si="18"/>
        <v>TN</v>
      </c>
      <c r="S31" s="6"/>
      <c r="T31" s="10">
        <f t="shared" si="5"/>
        <v>0.13000000000000003</v>
      </c>
      <c r="U31" s="11">
        <f t="shared" si="0"/>
        <v>1500</v>
      </c>
      <c r="V31" s="9">
        <f t="shared" si="1"/>
        <v>0</v>
      </c>
      <c r="W31" s="9">
        <f t="shared" si="2"/>
        <v>0</v>
      </c>
      <c r="X31" s="9">
        <f t="shared" si="3"/>
        <v>1</v>
      </c>
      <c r="Y31" s="9">
        <f t="shared" si="4"/>
        <v>99</v>
      </c>
      <c r="Z31" s="6"/>
      <c r="AA31" s="6"/>
      <c r="AB31" s="6"/>
      <c r="AC31" s="6"/>
      <c r="AD31" s="6"/>
      <c r="AE31" s="6"/>
      <c r="AF31" s="6"/>
      <c r="AG31" s="6"/>
      <c r="AH31" s="6"/>
    </row>
    <row r="32" spans="1:34">
      <c r="A32" s="22" t="str">
        <f>'2_Costos_fijos'!A32</f>
        <v>T016</v>
      </c>
      <c r="B32" s="8">
        <v>390.79</v>
      </c>
      <c r="C32" s="23">
        <f>'2_Costos_fijos'!B32</f>
        <v>8.9400000000000005E-4</v>
      </c>
      <c r="D32" s="22">
        <f>'2_Costos_fijos'!C32</f>
        <v>0</v>
      </c>
      <c r="E32" s="11">
        <f t="shared" si="6"/>
        <v>5</v>
      </c>
      <c r="F32" s="11">
        <f t="shared" si="6"/>
        <v>5</v>
      </c>
      <c r="G32" s="11">
        <f t="shared" si="7"/>
        <v>390.79</v>
      </c>
      <c r="H32" s="11">
        <f t="shared" si="8"/>
        <v>0</v>
      </c>
      <c r="I32" s="11">
        <f t="shared" si="9"/>
        <v>5.0000000000000009</v>
      </c>
      <c r="J32" s="11">
        <f t="shared" si="10"/>
        <v>0.34936626000000004</v>
      </c>
      <c r="K32" s="10">
        <f t="shared" si="11"/>
        <v>1.2794595562834259E-2</v>
      </c>
      <c r="L32" s="6">
        <f t="shared" si="12"/>
        <v>0</v>
      </c>
      <c r="M32" s="11">
        <f t="shared" si="13"/>
        <v>0</v>
      </c>
      <c r="N32" s="6">
        <f t="shared" si="14"/>
        <v>0</v>
      </c>
      <c r="O32" s="11">
        <f t="shared" si="15"/>
        <v>0</v>
      </c>
      <c r="P32" s="6">
        <f t="shared" si="16"/>
        <v>0</v>
      </c>
      <c r="Q32" s="11">
        <f t="shared" si="17"/>
        <v>0</v>
      </c>
      <c r="R32" s="6" t="str">
        <f t="shared" si="18"/>
        <v>TN</v>
      </c>
      <c r="S32" s="6"/>
      <c r="T32" s="10">
        <f t="shared" si="5"/>
        <v>0.13500000000000004</v>
      </c>
      <c r="U32" s="11">
        <f t="shared" si="0"/>
        <v>1500</v>
      </c>
      <c r="V32" s="9">
        <f t="shared" si="1"/>
        <v>0</v>
      </c>
      <c r="W32" s="9">
        <f t="shared" si="2"/>
        <v>0</v>
      </c>
      <c r="X32" s="9">
        <f t="shared" si="3"/>
        <v>1</v>
      </c>
      <c r="Y32" s="9">
        <f t="shared" si="4"/>
        <v>99</v>
      </c>
      <c r="Z32" s="6"/>
      <c r="AA32" s="6"/>
      <c r="AB32" s="6"/>
      <c r="AC32" s="6"/>
      <c r="AD32" s="6"/>
      <c r="AE32" s="6"/>
      <c r="AF32" s="6"/>
      <c r="AG32" s="6"/>
      <c r="AH32" s="6"/>
    </row>
    <row r="33" spans="1:34">
      <c r="A33" s="22" t="str">
        <f>'2_Costos_fijos'!A33</f>
        <v>T017</v>
      </c>
      <c r="B33" s="8">
        <v>130.03</v>
      </c>
      <c r="C33" s="23">
        <f>'2_Costos_fijos'!B33</f>
        <v>1.0496E-2</v>
      </c>
      <c r="D33" s="22">
        <f>'2_Costos_fijos'!C33</f>
        <v>0</v>
      </c>
      <c r="E33" s="11">
        <f t="shared" si="6"/>
        <v>5</v>
      </c>
      <c r="F33" s="11">
        <f t="shared" si="6"/>
        <v>5</v>
      </c>
      <c r="G33" s="11">
        <f t="shared" si="7"/>
        <v>130.03</v>
      </c>
      <c r="H33" s="11">
        <f t="shared" si="8"/>
        <v>0</v>
      </c>
      <c r="I33" s="11">
        <f t="shared" si="9"/>
        <v>5</v>
      </c>
      <c r="J33" s="11">
        <f t="shared" si="10"/>
        <v>1.36479488</v>
      </c>
      <c r="K33" s="10">
        <f t="shared" si="11"/>
        <v>3.8452664769668535E-2</v>
      </c>
      <c r="L33" s="6">
        <f t="shared" si="12"/>
        <v>0</v>
      </c>
      <c r="M33" s="11">
        <f t="shared" si="13"/>
        <v>0</v>
      </c>
      <c r="N33" s="6">
        <f t="shared" si="14"/>
        <v>0</v>
      </c>
      <c r="O33" s="11">
        <f t="shared" si="15"/>
        <v>0</v>
      </c>
      <c r="P33" s="6">
        <f t="shared" si="16"/>
        <v>1</v>
      </c>
      <c r="Q33" s="11">
        <f t="shared" si="17"/>
        <v>5</v>
      </c>
      <c r="R33" s="6" t="str">
        <f t="shared" si="18"/>
        <v>TN</v>
      </c>
      <c r="S33" s="6"/>
      <c r="T33" s="10">
        <f t="shared" si="5"/>
        <v>0.14000000000000004</v>
      </c>
      <c r="U33" s="11">
        <f t="shared" si="0"/>
        <v>1500</v>
      </c>
      <c r="V33" s="9">
        <f t="shared" si="1"/>
        <v>0</v>
      </c>
      <c r="W33" s="9">
        <f t="shared" si="2"/>
        <v>0</v>
      </c>
      <c r="X33" s="9">
        <f t="shared" si="3"/>
        <v>1</v>
      </c>
      <c r="Y33" s="9">
        <f t="shared" si="4"/>
        <v>99</v>
      </c>
      <c r="Z33" s="6"/>
      <c r="AA33" s="6"/>
      <c r="AB33" s="6"/>
      <c r="AC33" s="6"/>
      <c r="AD33" s="6"/>
      <c r="AE33" s="6"/>
      <c r="AF33" s="6"/>
      <c r="AG33" s="6"/>
      <c r="AH33" s="6"/>
    </row>
    <row r="34" spans="1:34">
      <c r="A34" s="22" t="str">
        <f>'2_Costos_fijos'!A34</f>
        <v>T018</v>
      </c>
      <c r="B34" s="8">
        <v>46.67</v>
      </c>
      <c r="C34" s="23">
        <f>'2_Costos_fijos'!B34</f>
        <v>1.3200000000000001E-4</v>
      </c>
      <c r="D34" s="22">
        <f>'2_Costos_fijos'!C34</f>
        <v>0</v>
      </c>
      <c r="E34" s="11">
        <f t="shared" si="6"/>
        <v>5</v>
      </c>
      <c r="F34" s="11">
        <f t="shared" si="6"/>
        <v>5</v>
      </c>
      <c r="G34" s="11">
        <f t="shared" si="7"/>
        <v>46.67</v>
      </c>
      <c r="H34" s="11">
        <f t="shared" si="8"/>
        <v>0</v>
      </c>
      <c r="I34" s="11">
        <f t="shared" si="9"/>
        <v>5</v>
      </c>
      <c r="J34" s="11">
        <f t="shared" si="10"/>
        <v>6.1604400000000005E-3</v>
      </c>
      <c r="K34" s="10">
        <f t="shared" si="11"/>
        <v>0.10713520462824083</v>
      </c>
      <c r="L34" s="6">
        <f t="shared" si="12"/>
        <v>0</v>
      </c>
      <c r="M34" s="11">
        <f t="shared" si="13"/>
        <v>0</v>
      </c>
      <c r="N34" s="6">
        <f t="shared" si="14"/>
        <v>0</v>
      </c>
      <c r="O34" s="11">
        <f t="shared" si="15"/>
        <v>0</v>
      </c>
      <c r="P34" s="6">
        <f t="shared" si="16"/>
        <v>0</v>
      </c>
      <c r="Q34" s="11">
        <f t="shared" si="17"/>
        <v>0</v>
      </c>
      <c r="R34" s="6" t="str">
        <f t="shared" si="18"/>
        <v>TN</v>
      </c>
      <c r="S34" s="6"/>
      <c r="T34" s="10">
        <f t="shared" si="5"/>
        <v>0.14500000000000005</v>
      </c>
      <c r="U34" s="11">
        <f t="shared" si="0"/>
        <v>1500</v>
      </c>
      <c r="V34" s="9">
        <f t="shared" si="1"/>
        <v>0</v>
      </c>
      <c r="W34" s="9">
        <f t="shared" si="2"/>
        <v>0</v>
      </c>
      <c r="X34" s="9">
        <f t="shared" si="3"/>
        <v>1</v>
      </c>
      <c r="Y34" s="9">
        <f t="shared" si="4"/>
        <v>99</v>
      </c>
      <c r="Z34" s="6"/>
      <c r="AA34" s="6"/>
      <c r="AB34" s="6"/>
      <c r="AC34" s="6"/>
      <c r="AD34" s="6"/>
      <c r="AE34" s="6"/>
      <c r="AF34" s="6"/>
      <c r="AG34" s="6"/>
      <c r="AH34" s="6"/>
    </row>
    <row r="35" spans="1:34">
      <c r="A35" s="22" t="str">
        <f>'2_Costos_fijos'!A35</f>
        <v>T019</v>
      </c>
      <c r="B35" s="8">
        <v>35.18</v>
      </c>
      <c r="C35" s="23">
        <f>'2_Costos_fijos'!B35</f>
        <v>2.075E-3</v>
      </c>
      <c r="D35" s="22">
        <f>'2_Costos_fijos'!C35</f>
        <v>0</v>
      </c>
      <c r="E35" s="11">
        <f t="shared" si="6"/>
        <v>5</v>
      </c>
      <c r="F35" s="11">
        <f t="shared" si="6"/>
        <v>5</v>
      </c>
      <c r="G35" s="11">
        <f t="shared" si="7"/>
        <v>35.18</v>
      </c>
      <c r="H35" s="11">
        <f t="shared" si="8"/>
        <v>0</v>
      </c>
      <c r="I35" s="11">
        <f t="shared" si="9"/>
        <v>5</v>
      </c>
      <c r="J35" s="11">
        <f t="shared" si="10"/>
        <v>7.2998499999999994E-2</v>
      </c>
      <c r="K35" s="10">
        <f t="shared" si="11"/>
        <v>0.14212620807276863</v>
      </c>
      <c r="L35" s="6">
        <f t="shared" si="12"/>
        <v>0</v>
      </c>
      <c r="M35" s="11">
        <f t="shared" si="13"/>
        <v>0</v>
      </c>
      <c r="N35" s="6">
        <f t="shared" si="14"/>
        <v>0</v>
      </c>
      <c r="O35" s="11">
        <f t="shared" si="15"/>
        <v>0</v>
      </c>
      <c r="P35" s="6">
        <f t="shared" si="16"/>
        <v>0</v>
      </c>
      <c r="Q35" s="11">
        <f t="shared" si="17"/>
        <v>0</v>
      </c>
      <c r="R35" s="6" t="str">
        <f t="shared" si="18"/>
        <v>TN</v>
      </c>
      <c r="S35" s="6"/>
      <c r="T35" s="10">
        <f t="shared" si="5"/>
        <v>0.15000000000000005</v>
      </c>
      <c r="U35" s="11">
        <f t="shared" si="0"/>
        <v>1500</v>
      </c>
      <c r="V35" s="9">
        <f t="shared" si="1"/>
        <v>0</v>
      </c>
      <c r="W35" s="9">
        <f t="shared" si="2"/>
        <v>0</v>
      </c>
      <c r="X35" s="9">
        <f t="shared" si="3"/>
        <v>1</v>
      </c>
      <c r="Y35" s="9">
        <f t="shared" si="4"/>
        <v>99</v>
      </c>
      <c r="Z35" s="6"/>
      <c r="AA35" s="6"/>
      <c r="AB35" s="6"/>
      <c r="AC35" s="6"/>
      <c r="AD35" s="6"/>
      <c r="AE35" s="6"/>
      <c r="AF35" s="6"/>
      <c r="AG35" s="6"/>
      <c r="AH35" s="6"/>
    </row>
    <row r="36" spans="1:34">
      <c r="A36" s="22" t="str">
        <f>'2_Costos_fijos'!A36</f>
        <v>T020</v>
      </c>
      <c r="B36" s="8">
        <v>34.880000000000003</v>
      </c>
      <c r="C36" s="23">
        <f>'2_Costos_fijos'!B36</f>
        <v>1E-4</v>
      </c>
      <c r="D36" s="22">
        <f>'2_Costos_fijos'!C36</f>
        <v>0</v>
      </c>
      <c r="E36" s="11">
        <f t="shared" si="6"/>
        <v>5</v>
      </c>
      <c r="F36" s="11">
        <f t="shared" si="6"/>
        <v>5</v>
      </c>
      <c r="G36" s="11">
        <f t="shared" si="7"/>
        <v>34.880000000000003</v>
      </c>
      <c r="H36" s="11">
        <f t="shared" si="8"/>
        <v>0</v>
      </c>
      <c r="I36" s="11">
        <f t="shared" si="9"/>
        <v>5</v>
      </c>
      <c r="J36" s="11">
        <f t="shared" si="10"/>
        <v>3.4880000000000002E-3</v>
      </c>
      <c r="K36" s="10">
        <f t="shared" si="11"/>
        <v>0.14334862385321101</v>
      </c>
      <c r="L36" s="6">
        <f t="shared" si="12"/>
        <v>0</v>
      </c>
      <c r="M36" s="11">
        <f t="shared" si="13"/>
        <v>0</v>
      </c>
      <c r="N36" s="6">
        <f t="shared" si="14"/>
        <v>0</v>
      </c>
      <c r="O36" s="11">
        <f t="shared" si="15"/>
        <v>0</v>
      </c>
      <c r="P36" s="6">
        <f t="shared" si="16"/>
        <v>0</v>
      </c>
      <c r="Q36" s="11">
        <f t="shared" si="17"/>
        <v>0</v>
      </c>
      <c r="R36" s="6" t="str">
        <f t="shared" si="18"/>
        <v>TN</v>
      </c>
      <c r="S36" s="6"/>
      <c r="T36" s="10">
        <f t="shared" si="5"/>
        <v>0.15500000000000005</v>
      </c>
      <c r="U36" s="11">
        <f t="shared" si="0"/>
        <v>1500</v>
      </c>
      <c r="V36" s="9">
        <f t="shared" si="1"/>
        <v>0</v>
      </c>
      <c r="W36" s="9">
        <f t="shared" si="2"/>
        <v>0</v>
      </c>
      <c r="X36" s="9">
        <f t="shared" si="3"/>
        <v>1</v>
      </c>
      <c r="Y36" s="9">
        <f t="shared" si="4"/>
        <v>99</v>
      </c>
      <c r="Z36" s="6"/>
      <c r="AA36" s="6"/>
      <c r="AB36" s="6"/>
      <c r="AC36" s="6"/>
      <c r="AD36" s="6"/>
      <c r="AE36" s="6"/>
      <c r="AF36" s="6"/>
      <c r="AG36" s="6"/>
      <c r="AH36" s="6"/>
    </row>
    <row r="37" spans="1:34">
      <c r="A37" s="22" t="str">
        <f>'2_Costos_fijos'!A37</f>
        <v>T021</v>
      </c>
      <c r="B37" s="8">
        <v>129.86000000000001</v>
      </c>
      <c r="C37" s="23">
        <f>'2_Costos_fijos'!B37</f>
        <v>2.6200000000000003E-4</v>
      </c>
      <c r="D37" s="22">
        <f>'2_Costos_fijos'!C37</f>
        <v>0</v>
      </c>
      <c r="E37" s="11">
        <f t="shared" ref="E37:F56" si="19">$B$5</f>
        <v>5</v>
      </c>
      <c r="F37" s="11">
        <f t="shared" si="19"/>
        <v>5</v>
      </c>
      <c r="G37" s="11">
        <f t="shared" si="7"/>
        <v>129.86000000000001</v>
      </c>
      <c r="H37" s="11">
        <f t="shared" si="8"/>
        <v>0</v>
      </c>
      <c r="I37" s="11">
        <f t="shared" si="9"/>
        <v>5</v>
      </c>
      <c r="J37" s="11">
        <f t="shared" si="10"/>
        <v>3.402332000000001E-2</v>
      </c>
      <c r="K37" s="10">
        <f t="shared" si="11"/>
        <v>3.8503003234252264E-2</v>
      </c>
      <c r="L37" s="6">
        <f t="shared" si="12"/>
        <v>0</v>
      </c>
      <c r="M37" s="11">
        <f t="shared" si="13"/>
        <v>0</v>
      </c>
      <c r="N37" s="6">
        <f t="shared" si="14"/>
        <v>0</v>
      </c>
      <c r="O37" s="11">
        <f t="shared" si="15"/>
        <v>0</v>
      </c>
      <c r="P37" s="6">
        <f t="shared" si="16"/>
        <v>0</v>
      </c>
      <c r="Q37" s="11">
        <f t="shared" si="17"/>
        <v>0</v>
      </c>
      <c r="R37" s="6" t="str">
        <f t="shared" si="18"/>
        <v>TN</v>
      </c>
      <c r="S37" s="6"/>
      <c r="T37" s="10">
        <f t="shared" si="5"/>
        <v>0.16000000000000006</v>
      </c>
      <c r="U37" s="11">
        <f t="shared" ref="U37:U68" si="20">SUMPRODUCT(--($C$17:$C$116&gt;=T37),--($D$17:$D$116=1),$E$17:$E$116)+SUMPRODUCT(--($C$17:$C$116&gt;=T37),--($D$17:$D$116=0),$F$17:$F$116)+SUMPRODUCT(--($C$17:$C$116&lt;T37),--($D$17:$D$116=1),$G$17:$G$116)+SUMPRODUCT(--($C$17:$C$116&lt;T37),--($D$17:$D$116=0),$H$17:$H$116)</f>
        <v>1500</v>
      </c>
      <c r="V37" s="9">
        <f t="shared" ref="V37:V68" si="21">COUNTIFS($C$17:$C$116,"&gt;="&amp;T37,$D$17:$D$116,1)</f>
        <v>0</v>
      </c>
      <c r="W37" s="9">
        <f t="shared" ref="W37:W68" si="22">COUNTIFS($C$17:$C$116,"&gt;="&amp;T37,$D$17:$D$116,0)</f>
        <v>0</v>
      </c>
      <c r="X37" s="9">
        <f t="shared" ref="X37:X68" si="23">COUNTIFS($C$17:$C$116,"&lt;"&amp;T37,$D$17:$D$116,1)</f>
        <v>1</v>
      </c>
      <c r="Y37" s="9">
        <f t="shared" ref="Y37:Y68" si="24">COUNTIFS($C$17:$C$116,"&lt;"&amp;T37,$D$17:$D$116,0)</f>
        <v>99</v>
      </c>
      <c r="Z37" s="6"/>
      <c r="AA37" s="6"/>
      <c r="AB37" s="6"/>
      <c r="AC37" s="6"/>
      <c r="AD37" s="6"/>
      <c r="AE37" s="6"/>
      <c r="AF37" s="6"/>
      <c r="AG37" s="6"/>
      <c r="AH37" s="6"/>
    </row>
    <row r="38" spans="1:34">
      <c r="A38" s="22" t="str">
        <f>'2_Costos_fijos'!A38</f>
        <v>T022</v>
      </c>
      <c r="B38" s="8">
        <v>67.92</v>
      </c>
      <c r="C38" s="23">
        <f>'2_Costos_fijos'!B38</f>
        <v>4.3689999999999996E-3</v>
      </c>
      <c r="D38" s="22">
        <f>'2_Costos_fijos'!C38</f>
        <v>0</v>
      </c>
      <c r="E38" s="11">
        <f t="shared" si="19"/>
        <v>5</v>
      </c>
      <c r="F38" s="11">
        <f t="shared" si="19"/>
        <v>5</v>
      </c>
      <c r="G38" s="11">
        <f t="shared" si="7"/>
        <v>67.92</v>
      </c>
      <c r="H38" s="11">
        <f t="shared" si="8"/>
        <v>0</v>
      </c>
      <c r="I38" s="11">
        <f t="shared" si="9"/>
        <v>5</v>
      </c>
      <c r="J38" s="11">
        <f t="shared" si="10"/>
        <v>0.29674247999999998</v>
      </c>
      <c r="K38" s="10">
        <f t="shared" si="11"/>
        <v>7.361601884570082E-2</v>
      </c>
      <c r="L38" s="6">
        <f t="shared" si="12"/>
        <v>0</v>
      </c>
      <c r="M38" s="11">
        <f t="shared" si="13"/>
        <v>0</v>
      </c>
      <c r="N38" s="6">
        <f t="shared" si="14"/>
        <v>0</v>
      </c>
      <c r="O38" s="11">
        <f t="shared" si="15"/>
        <v>0</v>
      </c>
      <c r="P38" s="6">
        <f t="shared" si="16"/>
        <v>0</v>
      </c>
      <c r="Q38" s="11">
        <f t="shared" si="17"/>
        <v>0</v>
      </c>
      <c r="R38" s="6" t="str">
        <f t="shared" si="18"/>
        <v>TN</v>
      </c>
      <c r="S38" s="6"/>
      <c r="T38" s="10">
        <f t="shared" ref="T38:T69" si="25">T37+$B$11</f>
        <v>0.16500000000000006</v>
      </c>
      <c r="U38" s="11">
        <f t="shared" si="20"/>
        <v>1500</v>
      </c>
      <c r="V38" s="9">
        <f t="shared" si="21"/>
        <v>0</v>
      </c>
      <c r="W38" s="9">
        <f t="shared" si="22"/>
        <v>0</v>
      </c>
      <c r="X38" s="9">
        <f t="shared" si="23"/>
        <v>1</v>
      </c>
      <c r="Y38" s="9">
        <f t="shared" si="24"/>
        <v>99</v>
      </c>
      <c r="Z38" s="6"/>
      <c r="AA38" s="6"/>
      <c r="AB38" s="6"/>
      <c r="AC38" s="6"/>
      <c r="AD38" s="6"/>
      <c r="AE38" s="6"/>
      <c r="AF38" s="6"/>
      <c r="AG38" s="6"/>
      <c r="AH38" s="6"/>
    </row>
    <row r="39" spans="1:34">
      <c r="A39" s="22" t="str">
        <f>'2_Costos_fijos'!A39</f>
        <v>T023</v>
      </c>
      <c r="B39" s="8">
        <v>172.38</v>
      </c>
      <c r="C39" s="23">
        <f>'2_Costos_fijos'!B39</f>
        <v>1.01E-4</v>
      </c>
      <c r="D39" s="22">
        <f>'2_Costos_fijos'!C39</f>
        <v>0</v>
      </c>
      <c r="E39" s="11">
        <f t="shared" si="19"/>
        <v>5</v>
      </c>
      <c r="F39" s="11">
        <f t="shared" si="19"/>
        <v>5</v>
      </c>
      <c r="G39" s="11">
        <f t="shared" si="7"/>
        <v>172.38</v>
      </c>
      <c r="H39" s="11">
        <f t="shared" si="8"/>
        <v>0</v>
      </c>
      <c r="I39" s="11">
        <f t="shared" si="9"/>
        <v>5</v>
      </c>
      <c r="J39" s="11">
        <f t="shared" si="10"/>
        <v>1.741038E-2</v>
      </c>
      <c r="K39" s="10">
        <f t="shared" si="11"/>
        <v>2.9005685114282399E-2</v>
      </c>
      <c r="L39" s="6">
        <f t="shared" si="12"/>
        <v>0</v>
      </c>
      <c r="M39" s="11">
        <f t="shared" si="13"/>
        <v>0</v>
      </c>
      <c r="N39" s="6">
        <f t="shared" si="14"/>
        <v>0</v>
      </c>
      <c r="O39" s="11">
        <f t="shared" si="15"/>
        <v>0</v>
      </c>
      <c r="P39" s="6">
        <f t="shared" si="16"/>
        <v>0</v>
      </c>
      <c r="Q39" s="11">
        <f t="shared" si="17"/>
        <v>0</v>
      </c>
      <c r="R39" s="6" t="str">
        <f t="shared" si="18"/>
        <v>TN</v>
      </c>
      <c r="S39" s="6"/>
      <c r="T39" s="10">
        <f t="shared" si="25"/>
        <v>0.17000000000000007</v>
      </c>
      <c r="U39" s="11">
        <f t="shared" si="20"/>
        <v>1500</v>
      </c>
      <c r="V39" s="9">
        <f t="shared" si="21"/>
        <v>0</v>
      </c>
      <c r="W39" s="9">
        <f t="shared" si="22"/>
        <v>0</v>
      </c>
      <c r="X39" s="9">
        <f t="shared" si="23"/>
        <v>1</v>
      </c>
      <c r="Y39" s="9">
        <f t="shared" si="24"/>
        <v>99</v>
      </c>
      <c r="Z39" s="6"/>
      <c r="AA39" s="6"/>
      <c r="AB39" s="6"/>
      <c r="AC39" s="6"/>
      <c r="AD39" s="6"/>
      <c r="AE39" s="6"/>
      <c r="AF39" s="6"/>
      <c r="AG39" s="6"/>
      <c r="AH39" s="6"/>
    </row>
    <row r="40" spans="1:34">
      <c r="A40" s="22" t="str">
        <f>'2_Costos_fijos'!A40</f>
        <v>T024</v>
      </c>
      <c r="B40" s="8">
        <v>11.21</v>
      </c>
      <c r="C40" s="23">
        <f>'2_Costos_fijos'!B40</f>
        <v>3.5000000000000003E-2</v>
      </c>
      <c r="D40" s="22">
        <f>'2_Costos_fijos'!C40</f>
        <v>0</v>
      </c>
      <c r="E40" s="11">
        <f t="shared" si="19"/>
        <v>5</v>
      </c>
      <c r="F40" s="11">
        <f t="shared" si="19"/>
        <v>5</v>
      </c>
      <c r="G40" s="11">
        <f t="shared" si="7"/>
        <v>11.21</v>
      </c>
      <c r="H40" s="11">
        <f t="shared" si="8"/>
        <v>0</v>
      </c>
      <c r="I40" s="11">
        <f t="shared" si="9"/>
        <v>5</v>
      </c>
      <c r="J40" s="11">
        <f t="shared" si="10"/>
        <v>0.39235000000000009</v>
      </c>
      <c r="K40" s="10">
        <f t="shared" si="11"/>
        <v>0.44603033006244419</v>
      </c>
      <c r="L40" s="6">
        <f t="shared" si="12"/>
        <v>0</v>
      </c>
      <c r="M40" s="11">
        <f t="shared" si="13"/>
        <v>0</v>
      </c>
      <c r="N40" s="6">
        <f t="shared" si="14"/>
        <v>0</v>
      </c>
      <c r="O40" s="11">
        <f t="shared" si="15"/>
        <v>0</v>
      </c>
      <c r="P40" s="6">
        <f t="shared" si="16"/>
        <v>1</v>
      </c>
      <c r="Q40" s="11">
        <f t="shared" si="17"/>
        <v>5</v>
      </c>
      <c r="R40" s="6" t="str">
        <f t="shared" si="18"/>
        <v>TN</v>
      </c>
      <c r="S40" s="6"/>
      <c r="T40" s="10">
        <f t="shared" si="25"/>
        <v>0.17500000000000007</v>
      </c>
      <c r="U40" s="11">
        <f t="shared" si="20"/>
        <v>1500</v>
      </c>
      <c r="V40" s="9">
        <f t="shared" si="21"/>
        <v>0</v>
      </c>
      <c r="W40" s="9">
        <f t="shared" si="22"/>
        <v>0</v>
      </c>
      <c r="X40" s="9">
        <f t="shared" si="23"/>
        <v>1</v>
      </c>
      <c r="Y40" s="9">
        <f t="shared" si="24"/>
        <v>99</v>
      </c>
      <c r="Z40" s="6"/>
      <c r="AA40" s="6"/>
      <c r="AB40" s="6"/>
      <c r="AC40" s="6"/>
      <c r="AD40" s="6"/>
      <c r="AE40" s="6"/>
      <c r="AF40" s="6"/>
      <c r="AG40" s="6"/>
      <c r="AH40" s="6"/>
    </row>
    <row r="41" spans="1:34">
      <c r="A41" s="22" t="str">
        <f>'2_Costos_fijos'!A41</f>
        <v>T025</v>
      </c>
      <c r="B41" s="8">
        <v>35.5</v>
      </c>
      <c r="C41" s="23">
        <f>'2_Costos_fijos'!B41</f>
        <v>8.4239999999999992E-3</v>
      </c>
      <c r="D41" s="22">
        <f>'2_Costos_fijos'!C41</f>
        <v>0</v>
      </c>
      <c r="E41" s="11">
        <f t="shared" si="19"/>
        <v>5</v>
      </c>
      <c r="F41" s="11">
        <f t="shared" si="19"/>
        <v>5</v>
      </c>
      <c r="G41" s="11">
        <f t="shared" si="7"/>
        <v>35.5</v>
      </c>
      <c r="H41" s="11">
        <f t="shared" si="8"/>
        <v>0</v>
      </c>
      <c r="I41" s="11">
        <f t="shared" si="9"/>
        <v>5</v>
      </c>
      <c r="J41" s="11">
        <f t="shared" si="10"/>
        <v>0.29905199999999998</v>
      </c>
      <c r="K41" s="10">
        <f t="shared" si="11"/>
        <v>0.14084507042253522</v>
      </c>
      <c r="L41" s="6">
        <f t="shared" si="12"/>
        <v>0</v>
      </c>
      <c r="M41" s="11">
        <f t="shared" si="13"/>
        <v>0</v>
      </c>
      <c r="N41" s="6">
        <f t="shared" si="14"/>
        <v>0</v>
      </c>
      <c r="O41" s="11">
        <f t="shared" si="15"/>
        <v>0</v>
      </c>
      <c r="P41" s="6">
        <f t="shared" si="16"/>
        <v>0</v>
      </c>
      <c r="Q41" s="11">
        <f t="shared" si="17"/>
        <v>0</v>
      </c>
      <c r="R41" s="6" t="str">
        <f t="shared" si="18"/>
        <v>TN</v>
      </c>
      <c r="S41" s="6"/>
      <c r="T41" s="10">
        <f t="shared" si="25"/>
        <v>0.18000000000000008</v>
      </c>
      <c r="U41" s="11">
        <f t="shared" si="20"/>
        <v>1500</v>
      </c>
      <c r="V41" s="9">
        <f t="shared" si="21"/>
        <v>0</v>
      </c>
      <c r="W41" s="9">
        <f t="shared" si="22"/>
        <v>0</v>
      </c>
      <c r="X41" s="9">
        <f t="shared" si="23"/>
        <v>1</v>
      </c>
      <c r="Y41" s="9">
        <f t="shared" si="24"/>
        <v>99</v>
      </c>
      <c r="Z41" s="6"/>
      <c r="AA41" s="6"/>
      <c r="AB41" s="6"/>
      <c r="AC41" s="6"/>
      <c r="AD41" s="6"/>
      <c r="AE41" s="6"/>
      <c r="AF41" s="6"/>
      <c r="AG41" s="6"/>
      <c r="AH41" s="6"/>
    </row>
    <row r="42" spans="1:34">
      <c r="A42" s="22" t="str">
        <f>'2_Costos_fijos'!A42</f>
        <v>T026</v>
      </c>
      <c r="B42" s="8">
        <v>122.7</v>
      </c>
      <c r="C42" s="23">
        <f>'2_Costos_fijos'!B42</f>
        <v>1.15E-4</v>
      </c>
      <c r="D42" s="22">
        <f>'2_Costos_fijos'!C42</f>
        <v>0</v>
      </c>
      <c r="E42" s="11">
        <f t="shared" si="19"/>
        <v>5</v>
      </c>
      <c r="F42" s="11">
        <f t="shared" si="19"/>
        <v>5</v>
      </c>
      <c r="G42" s="11">
        <f t="shared" si="7"/>
        <v>122.7</v>
      </c>
      <c r="H42" s="11">
        <f t="shared" si="8"/>
        <v>0</v>
      </c>
      <c r="I42" s="11">
        <f t="shared" si="9"/>
        <v>5.0000000000000009</v>
      </c>
      <c r="J42" s="11">
        <f t="shared" si="10"/>
        <v>1.4110500000000002E-2</v>
      </c>
      <c r="K42" s="10">
        <f t="shared" si="11"/>
        <v>4.0749796251018745E-2</v>
      </c>
      <c r="L42" s="6">
        <f t="shared" si="12"/>
        <v>0</v>
      </c>
      <c r="M42" s="11">
        <f t="shared" si="13"/>
        <v>0</v>
      </c>
      <c r="N42" s="6">
        <f t="shared" si="14"/>
        <v>0</v>
      </c>
      <c r="O42" s="11">
        <f t="shared" si="15"/>
        <v>0</v>
      </c>
      <c r="P42" s="6">
        <f t="shared" si="16"/>
        <v>0</v>
      </c>
      <c r="Q42" s="11">
        <f t="shared" si="17"/>
        <v>0</v>
      </c>
      <c r="R42" s="6" t="str">
        <f t="shared" si="18"/>
        <v>TN</v>
      </c>
      <c r="S42" s="6"/>
      <c r="T42" s="10">
        <f t="shared" si="25"/>
        <v>0.18500000000000008</v>
      </c>
      <c r="U42" s="11">
        <f t="shared" si="20"/>
        <v>1500</v>
      </c>
      <c r="V42" s="9">
        <f t="shared" si="21"/>
        <v>0</v>
      </c>
      <c r="W42" s="9">
        <f t="shared" si="22"/>
        <v>0</v>
      </c>
      <c r="X42" s="9">
        <f t="shared" si="23"/>
        <v>1</v>
      </c>
      <c r="Y42" s="9">
        <f t="shared" si="24"/>
        <v>99</v>
      </c>
      <c r="Z42" s="6"/>
      <c r="AA42" s="6"/>
      <c r="AB42" s="6"/>
      <c r="AC42" s="6"/>
      <c r="AD42" s="6"/>
      <c r="AE42" s="6"/>
      <c r="AF42" s="6"/>
      <c r="AG42" s="6"/>
      <c r="AH42" s="6"/>
    </row>
    <row r="43" spans="1:34">
      <c r="A43" s="22" t="str">
        <f>'2_Costos_fijos'!A43</f>
        <v>T027</v>
      </c>
      <c r="B43" s="8">
        <v>58.42</v>
      </c>
      <c r="C43" s="23">
        <f>'2_Costos_fijos'!B43</f>
        <v>1.5449999999999999E-3</v>
      </c>
      <c r="D43" s="22">
        <f>'2_Costos_fijos'!C43</f>
        <v>0</v>
      </c>
      <c r="E43" s="11">
        <f t="shared" si="19"/>
        <v>5</v>
      </c>
      <c r="F43" s="11">
        <f t="shared" si="19"/>
        <v>5</v>
      </c>
      <c r="G43" s="11">
        <f t="shared" si="7"/>
        <v>58.42</v>
      </c>
      <c r="H43" s="11">
        <f t="shared" si="8"/>
        <v>0</v>
      </c>
      <c r="I43" s="11">
        <f t="shared" si="9"/>
        <v>5</v>
      </c>
      <c r="J43" s="11">
        <f t="shared" si="10"/>
        <v>9.0258900000000003E-2</v>
      </c>
      <c r="K43" s="10">
        <f t="shared" si="11"/>
        <v>8.5587127695994525E-2</v>
      </c>
      <c r="L43" s="6">
        <f t="shared" si="12"/>
        <v>0</v>
      </c>
      <c r="M43" s="11">
        <f t="shared" si="13"/>
        <v>0</v>
      </c>
      <c r="N43" s="6">
        <f t="shared" si="14"/>
        <v>0</v>
      </c>
      <c r="O43" s="11">
        <f t="shared" si="15"/>
        <v>0</v>
      </c>
      <c r="P43" s="6">
        <f t="shared" si="16"/>
        <v>0</v>
      </c>
      <c r="Q43" s="11">
        <f t="shared" si="17"/>
        <v>0</v>
      </c>
      <c r="R43" s="6" t="str">
        <f t="shared" si="18"/>
        <v>TN</v>
      </c>
      <c r="S43" s="6"/>
      <c r="T43" s="10">
        <f t="shared" si="25"/>
        <v>0.19000000000000009</v>
      </c>
      <c r="U43" s="11">
        <f t="shared" si="20"/>
        <v>1500</v>
      </c>
      <c r="V43" s="9">
        <f t="shared" si="21"/>
        <v>0</v>
      </c>
      <c r="W43" s="9">
        <f t="shared" si="22"/>
        <v>0</v>
      </c>
      <c r="X43" s="9">
        <f t="shared" si="23"/>
        <v>1</v>
      </c>
      <c r="Y43" s="9">
        <f t="shared" si="24"/>
        <v>99</v>
      </c>
      <c r="Z43" s="6"/>
      <c r="AA43" s="6"/>
      <c r="AB43" s="6"/>
      <c r="AC43" s="6"/>
      <c r="AD43" s="6"/>
      <c r="AE43" s="6"/>
      <c r="AF43" s="6"/>
      <c r="AG43" s="6"/>
      <c r="AH43" s="6"/>
    </row>
    <row r="44" spans="1:34">
      <c r="A44" s="22" t="str">
        <f>'2_Costos_fijos'!A44</f>
        <v>T028</v>
      </c>
      <c r="B44" s="8">
        <v>230.94</v>
      </c>
      <c r="C44" s="23">
        <f>'2_Costos_fijos'!B44</f>
        <v>1.5100000000000001E-2</v>
      </c>
      <c r="D44" s="22">
        <f>'2_Costos_fijos'!C44</f>
        <v>0</v>
      </c>
      <c r="E44" s="11">
        <f t="shared" si="19"/>
        <v>5</v>
      </c>
      <c r="F44" s="11">
        <f t="shared" si="19"/>
        <v>5</v>
      </c>
      <c r="G44" s="11">
        <f t="shared" si="7"/>
        <v>230.94</v>
      </c>
      <c r="H44" s="11">
        <f t="shared" si="8"/>
        <v>0</v>
      </c>
      <c r="I44" s="11">
        <f t="shared" si="9"/>
        <v>5</v>
      </c>
      <c r="J44" s="11">
        <f t="shared" si="10"/>
        <v>3.4871940000000001</v>
      </c>
      <c r="K44" s="10">
        <f t="shared" si="11"/>
        <v>2.1650645189226637E-2</v>
      </c>
      <c r="L44" s="6">
        <f t="shared" si="12"/>
        <v>0</v>
      </c>
      <c r="M44" s="11">
        <f t="shared" si="13"/>
        <v>0</v>
      </c>
      <c r="N44" s="6">
        <f t="shared" si="14"/>
        <v>0</v>
      </c>
      <c r="O44" s="11">
        <f t="shared" si="15"/>
        <v>0</v>
      </c>
      <c r="P44" s="6">
        <f t="shared" si="16"/>
        <v>1</v>
      </c>
      <c r="Q44" s="11">
        <f t="shared" si="17"/>
        <v>5</v>
      </c>
      <c r="R44" s="6" t="str">
        <f t="shared" si="18"/>
        <v>TN</v>
      </c>
      <c r="S44" s="6"/>
      <c r="T44" s="10">
        <f t="shared" si="25"/>
        <v>0.19500000000000009</v>
      </c>
      <c r="U44" s="11">
        <f t="shared" si="20"/>
        <v>1500</v>
      </c>
      <c r="V44" s="9">
        <f t="shared" si="21"/>
        <v>0</v>
      </c>
      <c r="W44" s="9">
        <f t="shared" si="22"/>
        <v>0</v>
      </c>
      <c r="X44" s="9">
        <f t="shared" si="23"/>
        <v>1</v>
      </c>
      <c r="Y44" s="9">
        <f t="shared" si="24"/>
        <v>99</v>
      </c>
      <c r="Z44" s="6"/>
      <c r="AA44" s="6"/>
      <c r="AB44" s="6"/>
      <c r="AC44" s="6"/>
      <c r="AD44" s="6"/>
      <c r="AE44" s="6"/>
      <c r="AF44" s="6"/>
      <c r="AG44" s="6"/>
      <c r="AH44" s="6"/>
    </row>
    <row r="45" spans="1:34">
      <c r="A45" s="22" t="str">
        <f>'2_Costos_fijos'!A45</f>
        <v>T029</v>
      </c>
      <c r="B45" s="8">
        <v>139.94</v>
      </c>
      <c r="C45" s="23">
        <f>'2_Costos_fijos'!B45</f>
        <v>1.95E-4</v>
      </c>
      <c r="D45" s="22">
        <f>'2_Costos_fijos'!C45</f>
        <v>0</v>
      </c>
      <c r="E45" s="11">
        <f t="shared" si="19"/>
        <v>5</v>
      </c>
      <c r="F45" s="11">
        <f t="shared" si="19"/>
        <v>5</v>
      </c>
      <c r="G45" s="11">
        <f t="shared" si="7"/>
        <v>139.94</v>
      </c>
      <c r="H45" s="11">
        <f t="shared" si="8"/>
        <v>0</v>
      </c>
      <c r="I45" s="11">
        <f t="shared" si="9"/>
        <v>5.0000000000000009</v>
      </c>
      <c r="J45" s="11">
        <f t="shared" si="10"/>
        <v>2.7288299999999998E-2</v>
      </c>
      <c r="K45" s="10">
        <f t="shared" si="11"/>
        <v>3.5729598399313993E-2</v>
      </c>
      <c r="L45" s="6">
        <f t="shared" si="12"/>
        <v>0</v>
      </c>
      <c r="M45" s="11">
        <f t="shared" si="13"/>
        <v>0</v>
      </c>
      <c r="N45" s="6">
        <f t="shared" si="14"/>
        <v>0</v>
      </c>
      <c r="O45" s="11">
        <f t="shared" si="15"/>
        <v>0</v>
      </c>
      <c r="P45" s="6">
        <f t="shared" si="16"/>
        <v>0</v>
      </c>
      <c r="Q45" s="11">
        <f t="shared" si="17"/>
        <v>0</v>
      </c>
      <c r="R45" s="6" t="str">
        <f t="shared" si="18"/>
        <v>TN</v>
      </c>
      <c r="S45" s="6"/>
      <c r="T45" s="10">
        <f t="shared" si="25"/>
        <v>0.20000000000000009</v>
      </c>
      <c r="U45" s="11">
        <f t="shared" si="20"/>
        <v>1500</v>
      </c>
      <c r="V45" s="9">
        <f t="shared" si="21"/>
        <v>0</v>
      </c>
      <c r="W45" s="9">
        <f t="shared" si="22"/>
        <v>0</v>
      </c>
      <c r="X45" s="9">
        <f t="shared" si="23"/>
        <v>1</v>
      </c>
      <c r="Y45" s="9">
        <f t="shared" si="24"/>
        <v>99</v>
      </c>
      <c r="Z45" s="6"/>
      <c r="AA45" s="6"/>
      <c r="AB45" s="6"/>
      <c r="AC45" s="6"/>
      <c r="AD45" s="6"/>
      <c r="AE45" s="6"/>
      <c r="AF45" s="6"/>
      <c r="AG45" s="6"/>
      <c r="AH45" s="6"/>
    </row>
    <row r="46" spans="1:34">
      <c r="A46" s="22" t="str">
        <f>'2_Costos_fijos'!A46</f>
        <v>T030</v>
      </c>
      <c r="B46" s="8">
        <v>335.02</v>
      </c>
      <c r="C46" s="23">
        <f>'2_Costos_fijos'!B46</f>
        <v>3.3700000000000002E-3</v>
      </c>
      <c r="D46" s="22">
        <f>'2_Costos_fijos'!C46</f>
        <v>0</v>
      </c>
      <c r="E46" s="11">
        <f t="shared" si="19"/>
        <v>5</v>
      </c>
      <c r="F46" s="11">
        <f t="shared" si="19"/>
        <v>5</v>
      </c>
      <c r="G46" s="11">
        <f t="shared" si="7"/>
        <v>335.02</v>
      </c>
      <c r="H46" s="11">
        <f t="shared" si="8"/>
        <v>0</v>
      </c>
      <c r="I46" s="11">
        <f t="shared" si="9"/>
        <v>5</v>
      </c>
      <c r="J46" s="11">
        <f t="shared" si="10"/>
        <v>1.1290173999999999</v>
      </c>
      <c r="K46" s="10">
        <f t="shared" si="11"/>
        <v>1.4924482120470421E-2</v>
      </c>
      <c r="L46" s="6">
        <f t="shared" si="12"/>
        <v>0</v>
      </c>
      <c r="M46" s="11">
        <f t="shared" si="13"/>
        <v>0</v>
      </c>
      <c r="N46" s="6">
        <f t="shared" si="14"/>
        <v>0</v>
      </c>
      <c r="O46" s="11">
        <f t="shared" si="15"/>
        <v>0</v>
      </c>
      <c r="P46" s="6">
        <f t="shared" si="16"/>
        <v>0</v>
      </c>
      <c r="Q46" s="11">
        <f t="shared" si="17"/>
        <v>0</v>
      </c>
      <c r="R46" s="6" t="str">
        <f t="shared" si="18"/>
        <v>TN</v>
      </c>
      <c r="S46" s="6"/>
      <c r="T46" s="10">
        <f t="shared" si="25"/>
        <v>0.2050000000000001</v>
      </c>
      <c r="U46" s="11">
        <f t="shared" si="20"/>
        <v>1500</v>
      </c>
      <c r="V46" s="9">
        <f t="shared" si="21"/>
        <v>0</v>
      </c>
      <c r="W46" s="9">
        <f t="shared" si="22"/>
        <v>0</v>
      </c>
      <c r="X46" s="9">
        <f t="shared" si="23"/>
        <v>1</v>
      </c>
      <c r="Y46" s="9">
        <f t="shared" si="24"/>
        <v>99</v>
      </c>
      <c r="Z46" s="6"/>
      <c r="AA46" s="6"/>
      <c r="AB46" s="6"/>
      <c r="AC46" s="6"/>
      <c r="AD46" s="6"/>
      <c r="AE46" s="6"/>
      <c r="AF46" s="6"/>
      <c r="AG46" s="6"/>
      <c r="AH46" s="6"/>
    </row>
    <row r="47" spans="1:34">
      <c r="A47" s="6" t="str">
        <f>'2_Costos_fijos'!A47</f>
        <v>T031</v>
      </c>
      <c r="B47" s="11">
        <v>52.7</v>
      </c>
      <c r="C47" s="39">
        <f>'2_Costos_fijos'!B47</f>
        <v>1E-4</v>
      </c>
      <c r="D47" s="6">
        <f>'2_Costos_fijos'!C47</f>
        <v>0</v>
      </c>
      <c r="E47" s="11">
        <f t="shared" si="19"/>
        <v>5</v>
      </c>
      <c r="F47" s="11">
        <f t="shared" si="19"/>
        <v>5</v>
      </c>
      <c r="G47" s="11">
        <f t="shared" si="7"/>
        <v>52.7</v>
      </c>
      <c r="H47" s="11">
        <f t="shared" si="8"/>
        <v>0</v>
      </c>
      <c r="I47" s="11">
        <f t="shared" si="9"/>
        <v>5</v>
      </c>
      <c r="J47" s="11">
        <f t="shared" si="10"/>
        <v>5.2700000000000004E-3</v>
      </c>
      <c r="K47" s="10">
        <f t="shared" si="11"/>
        <v>9.4876660341555966E-2</v>
      </c>
      <c r="L47" s="6">
        <f t="shared" si="12"/>
        <v>0</v>
      </c>
      <c r="M47" s="11">
        <f t="shared" si="13"/>
        <v>0</v>
      </c>
      <c r="N47" s="6">
        <f t="shared" si="14"/>
        <v>0</v>
      </c>
      <c r="O47" s="11">
        <f t="shared" si="15"/>
        <v>0</v>
      </c>
      <c r="P47" s="6">
        <f t="shared" si="16"/>
        <v>0</v>
      </c>
      <c r="Q47" s="11">
        <f t="shared" si="17"/>
        <v>0</v>
      </c>
      <c r="R47" s="6" t="str">
        <f t="shared" si="18"/>
        <v>TN</v>
      </c>
      <c r="S47" s="6"/>
      <c r="T47" s="10">
        <f t="shared" si="25"/>
        <v>0.2100000000000001</v>
      </c>
      <c r="U47" s="11">
        <f t="shared" si="20"/>
        <v>1500</v>
      </c>
      <c r="V47" s="9">
        <f t="shared" si="21"/>
        <v>0</v>
      </c>
      <c r="W47" s="9">
        <f t="shared" si="22"/>
        <v>0</v>
      </c>
      <c r="X47" s="9">
        <f t="shared" si="23"/>
        <v>1</v>
      </c>
      <c r="Y47" s="9">
        <f t="shared" si="24"/>
        <v>99</v>
      </c>
      <c r="Z47" s="6"/>
      <c r="AA47" s="6"/>
      <c r="AB47" s="6"/>
      <c r="AC47" s="6"/>
      <c r="AD47" s="6"/>
      <c r="AE47" s="6"/>
      <c r="AF47" s="6"/>
      <c r="AG47" s="6"/>
      <c r="AH47" s="6"/>
    </row>
    <row r="48" spans="1:34">
      <c r="A48" s="6" t="str">
        <f>'2_Costos_fijos'!A48</f>
        <v>T032</v>
      </c>
      <c r="B48" s="11">
        <v>103.83</v>
      </c>
      <c r="C48" s="39">
        <f>'2_Costos_fijos'!B48</f>
        <v>4.6200000000000001E-4</v>
      </c>
      <c r="D48" s="6">
        <f>'2_Costos_fijos'!C48</f>
        <v>0</v>
      </c>
      <c r="E48" s="11">
        <f t="shared" si="19"/>
        <v>5</v>
      </c>
      <c r="F48" s="11">
        <f t="shared" si="19"/>
        <v>5</v>
      </c>
      <c r="G48" s="11">
        <f t="shared" si="7"/>
        <v>103.83</v>
      </c>
      <c r="H48" s="11">
        <f t="shared" si="8"/>
        <v>0</v>
      </c>
      <c r="I48" s="11">
        <f t="shared" si="9"/>
        <v>5</v>
      </c>
      <c r="J48" s="11">
        <f t="shared" si="10"/>
        <v>4.7969459999999998E-2</v>
      </c>
      <c r="K48" s="10">
        <f t="shared" si="11"/>
        <v>4.815563902532987E-2</v>
      </c>
      <c r="L48" s="6">
        <f t="shared" si="12"/>
        <v>0</v>
      </c>
      <c r="M48" s="11">
        <f t="shared" si="13"/>
        <v>0</v>
      </c>
      <c r="N48" s="6">
        <f t="shared" si="14"/>
        <v>0</v>
      </c>
      <c r="O48" s="11">
        <f t="shared" si="15"/>
        <v>0</v>
      </c>
      <c r="P48" s="6">
        <f t="shared" si="16"/>
        <v>0</v>
      </c>
      <c r="Q48" s="11">
        <f t="shared" si="17"/>
        <v>0</v>
      </c>
      <c r="R48" s="6" t="str">
        <f t="shared" si="18"/>
        <v>TN</v>
      </c>
      <c r="S48" s="6"/>
      <c r="T48" s="10">
        <f t="shared" si="25"/>
        <v>0.21500000000000011</v>
      </c>
      <c r="U48" s="11">
        <f t="shared" si="20"/>
        <v>1500</v>
      </c>
      <c r="V48" s="9">
        <f t="shared" si="21"/>
        <v>0</v>
      </c>
      <c r="W48" s="9">
        <f t="shared" si="22"/>
        <v>0</v>
      </c>
      <c r="X48" s="9">
        <f t="shared" si="23"/>
        <v>1</v>
      </c>
      <c r="Y48" s="9">
        <f t="shared" si="24"/>
        <v>99</v>
      </c>
      <c r="Z48" s="6"/>
      <c r="AA48" s="6"/>
      <c r="AB48" s="6"/>
      <c r="AC48" s="6"/>
      <c r="AD48" s="6"/>
      <c r="AE48" s="6"/>
      <c r="AF48" s="6"/>
      <c r="AG48" s="6"/>
      <c r="AH48" s="6"/>
    </row>
    <row r="49" spans="1:34">
      <c r="A49" s="21" t="str">
        <f>'2_Costos_fijos'!A49</f>
        <v>T033</v>
      </c>
      <c r="B49" s="41">
        <v>372.48</v>
      </c>
      <c r="C49" s="40">
        <f>'2_Costos_fijos'!B49</f>
        <v>6.6959999999999997E-3</v>
      </c>
      <c r="D49" s="21">
        <f>'2_Costos_fijos'!C49</f>
        <v>0</v>
      </c>
      <c r="E49" s="41">
        <f t="shared" si="19"/>
        <v>5</v>
      </c>
      <c r="F49" s="41">
        <f t="shared" si="19"/>
        <v>5</v>
      </c>
      <c r="G49" s="41">
        <f t="shared" ref="G49:G80" si="26">B49*$B$6</f>
        <v>372.48</v>
      </c>
      <c r="H49" s="41">
        <f t="shared" ref="H49:H80" si="27">$B$7</f>
        <v>0</v>
      </c>
      <c r="I49" s="41">
        <f t="shared" ref="I49:I80" si="28">C49*E49+(1-C49)*F49</f>
        <v>5</v>
      </c>
      <c r="J49" s="41">
        <f t="shared" ref="J49:J80" si="29">C49*G49+(1-C49)*H49</f>
        <v>2.49412608</v>
      </c>
      <c r="K49" s="47">
        <f t="shared" ref="K49:K80" si="30">IF((F49-H49)+(G49-E49)&lt;=0,1,MIN(1,MAX(0,(F49-H49)/((F49-H49)+(G49-E49)))))</f>
        <v>1.3423539518900343E-2</v>
      </c>
      <c r="L49" s="21">
        <f t="shared" ref="L49:L80" si="31">--(I49&lt;=J49)</f>
        <v>0</v>
      </c>
      <c r="M49" s="41">
        <f t="shared" ref="M49:M80" si="32">IF(D49=1,IF(L49=1,E49,G49),IF(L49=1,F49,H49))</f>
        <v>0</v>
      </c>
      <c r="N49" s="21">
        <f t="shared" ref="N49:N80" si="33">--(C49&gt;=$B$8)</f>
        <v>0</v>
      </c>
      <c r="O49" s="41">
        <f t="shared" ref="O49:O80" si="34">IF(D49=1,IF(N49=1,E49,G49),IF(N49=1,F49,H49))</f>
        <v>0</v>
      </c>
      <c r="P49" s="21">
        <f t="shared" ref="P49:P80" si="35">--(C49&gt;=$B$10)</f>
        <v>0</v>
      </c>
      <c r="Q49" s="41">
        <f t="shared" ref="Q49:Q80" si="36">IF(D49=1,IF(P49=1,E49,G49),IF(P49=1,F49,H49))</f>
        <v>0</v>
      </c>
      <c r="R49" s="21" t="str">
        <f t="shared" ref="R49:R80" si="37">IF(D49=1,IF(L49=1,"TP","FN"),IF(L49=1,"FP","TN"))</f>
        <v>TN</v>
      </c>
      <c r="S49" s="6"/>
      <c r="T49" s="10">
        <f t="shared" si="25"/>
        <v>0.22000000000000011</v>
      </c>
      <c r="U49" s="11">
        <f t="shared" si="20"/>
        <v>1500</v>
      </c>
      <c r="V49" s="9">
        <f t="shared" si="21"/>
        <v>0</v>
      </c>
      <c r="W49" s="9">
        <f t="shared" si="22"/>
        <v>0</v>
      </c>
      <c r="X49" s="9">
        <f t="shared" si="23"/>
        <v>1</v>
      </c>
      <c r="Y49" s="9">
        <f t="shared" si="24"/>
        <v>99</v>
      </c>
      <c r="Z49" s="6"/>
      <c r="AA49" s="6"/>
      <c r="AB49" s="6"/>
      <c r="AC49" s="6"/>
      <c r="AD49" s="6"/>
      <c r="AE49" s="6"/>
      <c r="AF49" s="6"/>
      <c r="AG49" s="6"/>
      <c r="AH49" s="6"/>
    </row>
    <row r="50" spans="1:34">
      <c r="A50" s="21" t="str">
        <f>'2_Costos_fijos'!A50</f>
        <v>T034</v>
      </c>
      <c r="B50" s="41">
        <v>72.16</v>
      </c>
      <c r="C50" s="40">
        <f>'2_Costos_fijos'!B50</f>
        <v>1.06E-4</v>
      </c>
      <c r="D50" s="21">
        <f>'2_Costos_fijos'!C50</f>
        <v>0</v>
      </c>
      <c r="E50" s="41">
        <f t="shared" si="19"/>
        <v>5</v>
      </c>
      <c r="F50" s="41">
        <f t="shared" si="19"/>
        <v>5</v>
      </c>
      <c r="G50" s="41">
        <f t="shared" si="26"/>
        <v>72.16</v>
      </c>
      <c r="H50" s="41">
        <f t="shared" si="27"/>
        <v>0</v>
      </c>
      <c r="I50" s="41">
        <f t="shared" si="28"/>
        <v>5</v>
      </c>
      <c r="J50" s="41">
        <f t="shared" si="29"/>
        <v>7.6489599999999998E-3</v>
      </c>
      <c r="K50" s="47">
        <f t="shared" si="30"/>
        <v>6.9290465631929046E-2</v>
      </c>
      <c r="L50" s="21">
        <f t="shared" si="31"/>
        <v>0</v>
      </c>
      <c r="M50" s="41">
        <f t="shared" si="32"/>
        <v>0</v>
      </c>
      <c r="N50" s="21">
        <f t="shared" si="33"/>
        <v>0</v>
      </c>
      <c r="O50" s="41">
        <f t="shared" si="34"/>
        <v>0</v>
      </c>
      <c r="P50" s="21">
        <f t="shared" si="35"/>
        <v>0</v>
      </c>
      <c r="Q50" s="41">
        <f t="shared" si="36"/>
        <v>0</v>
      </c>
      <c r="R50" s="21" t="str">
        <f t="shared" si="37"/>
        <v>TN</v>
      </c>
      <c r="S50" s="6"/>
      <c r="T50" s="10">
        <f t="shared" si="25"/>
        <v>0.22500000000000012</v>
      </c>
      <c r="U50" s="11">
        <f t="shared" si="20"/>
        <v>1500</v>
      </c>
      <c r="V50" s="9">
        <f t="shared" si="21"/>
        <v>0</v>
      </c>
      <c r="W50" s="9">
        <f t="shared" si="22"/>
        <v>0</v>
      </c>
      <c r="X50" s="9">
        <f t="shared" si="23"/>
        <v>1</v>
      </c>
      <c r="Y50" s="9">
        <f t="shared" si="24"/>
        <v>99</v>
      </c>
      <c r="Z50" s="6"/>
      <c r="AA50" s="6"/>
      <c r="AB50" s="6"/>
      <c r="AC50" s="6"/>
      <c r="AD50" s="6"/>
      <c r="AE50" s="6"/>
      <c r="AF50" s="6"/>
      <c r="AG50" s="6"/>
      <c r="AH50" s="6"/>
    </row>
    <row r="51" spans="1:34">
      <c r="A51" s="21" t="str">
        <f>'2_Costos_fijos'!A51</f>
        <v>T035</v>
      </c>
      <c r="B51" s="41">
        <v>14.92</v>
      </c>
      <c r="C51" s="40">
        <f>'2_Costos_fijos'!B51</f>
        <v>1.1349999999999999E-3</v>
      </c>
      <c r="D51" s="21">
        <f>'2_Costos_fijos'!C51</f>
        <v>0</v>
      </c>
      <c r="E51" s="41">
        <f t="shared" si="19"/>
        <v>5</v>
      </c>
      <c r="F51" s="41">
        <f t="shared" si="19"/>
        <v>5</v>
      </c>
      <c r="G51" s="41">
        <f t="shared" si="26"/>
        <v>14.92</v>
      </c>
      <c r="H51" s="41">
        <f t="shared" si="27"/>
        <v>0</v>
      </c>
      <c r="I51" s="41">
        <f t="shared" si="28"/>
        <v>5</v>
      </c>
      <c r="J51" s="41">
        <f t="shared" si="29"/>
        <v>1.69342E-2</v>
      </c>
      <c r="K51" s="47">
        <f t="shared" si="30"/>
        <v>0.33512064343163539</v>
      </c>
      <c r="L51" s="21">
        <f t="shared" si="31"/>
        <v>0</v>
      </c>
      <c r="M51" s="41">
        <f t="shared" si="32"/>
        <v>0</v>
      </c>
      <c r="N51" s="21">
        <f t="shared" si="33"/>
        <v>0</v>
      </c>
      <c r="O51" s="41">
        <f t="shared" si="34"/>
        <v>0</v>
      </c>
      <c r="P51" s="21">
        <f t="shared" si="35"/>
        <v>0</v>
      </c>
      <c r="Q51" s="41">
        <f t="shared" si="36"/>
        <v>0</v>
      </c>
      <c r="R51" s="21" t="str">
        <f t="shared" si="37"/>
        <v>TN</v>
      </c>
      <c r="S51" s="6"/>
      <c r="T51" s="10">
        <f t="shared" si="25"/>
        <v>0.23000000000000012</v>
      </c>
      <c r="U51" s="11">
        <f t="shared" si="20"/>
        <v>1500</v>
      </c>
      <c r="V51" s="9">
        <f t="shared" si="21"/>
        <v>0</v>
      </c>
      <c r="W51" s="9">
        <f t="shared" si="22"/>
        <v>0</v>
      </c>
      <c r="X51" s="9">
        <f t="shared" si="23"/>
        <v>1</v>
      </c>
      <c r="Y51" s="9">
        <f t="shared" si="24"/>
        <v>99</v>
      </c>
      <c r="Z51" s="6"/>
      <c r="AA51" s="6"/>
      <c r="AB51" s="6"/>
      <c r="AC51" s="6"/>
      <c r="AD51" s="6"/>
      <c r="AE51" s="6"/>
      <c r="AF51" s="6"/>
      <c r="AG51" s="6"/>
      <c r="AH51" s="6"/>
    </row>
    <row r="52" spans="1:34">
      <c r="A52" s="21" t="str">
        <f>'2_Costos_fijos'!A52</f>
        <v>T036</v>
      </c>
      <c r="B52" s="41">
        <v>214.25</v>
      </c>
      <c r="C52" s="40">
        <f>'2_Costos_fijos'!B52</f>
        <v>1.2305E-2</v>
      </c>
      <c r="D52" s="21">
        <f>'2_Costos_fijos'!C52</f>
        <v>0</v>
      </c>
      <c r="E52" s="41">
        <f t="shared" si="19"/>
        <v>5</v>
      </c>
      <c r="F52" s="41">
        <f t="shared" si="19"/>
        <v>5</v>
      </c>
      <c r="G52" s="41">
        <f t="shared" si="26"/>
        <v>214.25</v>
      </c>
      <c r="H52" s="41">
        <f t="shared" si="27"/>
        <v>0</v>
      </c>
      <c r="I52" s="41">
        <f t="shared" si="28"/>
        <v>5</v>
      </c>
      <c r="J52" s="41">
        <f t="shared" si="29"/>
        <v>2.6363462499999999</v>
      </c>
      <c r="K52" s="47">
        <f t="shared" si="30"/>
        <v>2.3337222870478413E-2</v>
      </c>
      <c r="L52" s="21">
        <f t="shared" si="31"/>
        <v>0</v>
      </c>
      <c r="M52" s="41">
        <f t="shared" si="32"/>
        <v>0</v>
      </c>
      <c r="N52" s="21">
        <f t="shared" si="33"/>
        <v>0</v>
      </c>
      <c r="O52" s="41">
        <f t="shared" si="34"/>
        <v>0</v>
      </c>
      <c r="P52" s="21">
        <f t="shared" si="35"/>
        <v>1</v>
      </c>
      <c r="Q52" s="41">
        <f t="shared" si="36"/>
        <v>5</v>
      </c>
      <c r="R52" s="21" t="str">
        <f t="shared" si="37"/>
        <v>TN</v>
      </c>
      <c r="S52" s="6"/>
      <c r="T52" s="10">
        <f t="shared" si="25"/>
        <v>0.23500000000000013</v>
      </c>
      <c r="U52" s="11">
        <f t="shared" si="20"/>
        <v>1500</v>
      </c>
      <c r="V52" s="9">
        <f t="shared" si="21"/>
        <v>0</v>
      </c>
      <c r="W52" s="9">
        <f t="shared" si="22"/>
        <v>0</v>
      </c>
      <c r="X52" s="9">
        <f t="shared" si="23"/>
        <v>1</v>
      </c>
      <c r="Y52" s="9">
        <f t="shared" si="24"/>
        <v>99</v>
      </c>
      <c r="Z52" s="6"/>
      <c r="AA52" s="6"/>
      <c r="AB52" s="6"/>
      <c r="AC52" s="6"/>
      <c r="AD52" s="6"/>
      <c r="AE52" s="6"/>
      <c r="AF52" s="6"/>
      <c r="AG52" s="6"/>
      <c r="AH52" s="6"/>
    </row>
    <row r="53" spans="1:34">
      <c r="A53" s="21" t="str">
        <f>'2_Costos_fijos'!A53</f>
        <v>T037</v>
      </c>
      <c r="B53" s="41">
        <v>26.82</v>
      </c>
      <c r="C53" s="40">
        <f>'2_Costos_fijos'!B53</f>
        <v>1.5300000000000001E-4</v>
      </c>
      <c r="D53" s="21">
        <f>'2_Costos_fijos'!C53</f>
        <v>0</v>
      </c>
      <c r="E53" s="41">
        <f t="shared" si="19"/>
        <v>5</v>
      </c>
      <c r="F53" s="41">
        <f t="shared" si="19"/>
        <v>5</v>
      </c>
      <c r="G53" s="41">
        <f t="shared" si="26"/>
        <v>26.82</v>
      </c>
      <c r="H53" s="41">
        <f t="shared" si="27"/>
        <v>0</v>
      </c>
      <c r="I53" s="41">
        <f t="shared" si="28"/>
        <v>5.0000000000000009</v>
      </c>
      <c r="J53" s="41">
        <f t="shared" si="29"/>
        <v>4.1034600000000006E-3</v>
      </c>
      <c r="K53" s="47">
        <f t="shared" si="30"/>
        <v>0.18642803877703207</v>
      </c>
      <c r="L53" s="21">
        <f t="shared" si="31"/>
        <v>0</v>
      </c>
      <c r="M53" s="41">
        <f t="shared" si="32"/>
        <v>0</v>
      </c>
      <c r="N53" s="21">
        <f t="shared" si="33"/>
        <v>0</v>
      </c>
      <c r="O53" s="41">
        <f t="shared" si="34"/>
        <v>0</v>
      </c>
      <c r="P53" s="21">
        <f t="shared" si="35"/>
        <v>0</v>
      </c>
      <c r="Q53" s="41">
        <f t="shared" si="36"/>
        <v>0</v>
      </c>
      <c r="R53" s="21" t="str">
        <f t="shared" si="37"/>
        <v>TN</v>
      </c>
      <c r="S53" s="6"/>
      <c r="T53" s="10">
        <f t="shared" si="25"/>
        <v>0.24000000000000013</v>
      </c>
      <c r="U53" s="11">
        <f t="shared" si="20"/>
        <v>1500</v>
      </c>
      <c r="V53" s="9">
        <f t="shared" si="21"/>
        <v>0</v>
      </c>
      <c r="W53" s="9">
        <f t="shared" si="22"/>
        <v>0</v>
      </c>
      <c r="X53" s="9">
        <f t="shared" si="23"/>
        <v>1</v>
      </c>
      <c r="Y53" s="9">
        <f t="shared" si="24"/>
        <v>99</v>
      </c>
      <c r="Z53" s="6"/>
      <c r="AA53" s="6"/>
      <c r="AB53" s="6"/>
      <c r="AC53" s="6"/>
      <c r="AD53" s="6"/>
      <c r="AE53" s="6"/>
      <c r="AF53" s="6"/>
      <c r="AG53" s="6"/>
      <c r="AH53" s="6"/>
    </row>
    <row r="54" spans="1:34">
      <c r="A54" s="6" t="str">
        <f>'2_Costos_fijos'!A54</f>
        <v>T038</v>
      </c>
      <c r="B54" s="11">
        <v>176.49</v>
      </c>
      <c r="C54" s="39">
        <f>'2_Costos_fijos'!B54</f>
        <v>2.5669999999999998E-3</v>
      </c>
      <c r="D54" s="6">
        <f>'2_Costos_fijos'!C54</f>
        <v>0</v>
      </c>
      <c r="E54" s="11">
        <f t="shared" si="19"/>
        <v>5</v>
      </c>
      <c r="F54" s="11">
        <f t="shared" si="19"/>
        <v>5</v>
      </c>
      <c r="G54" s="11">
        <f t="shared" si="26"/>
        <v>176.49</v>
      </c>
      <c r="H54" s="11">
        <f t="shared" si="27"/>
        <v>0</v>
      </c>
      <c r="I54" s="11">
        <f t="shared" si="28"/>
        <v>5</v>
      </c>
      <c r="J54" s="11">
        <f t="shared" si="29"/>
        <v>0.45304982999999999</v>
      </c>
      <c r="K54" s="10">
        <f t="shared" si="30"/>
        <v>2.833021700946229E-2</v>
      </c>
      <c r="L54" s="6">
        <f t="shared" si="31"/>
        <v>0</v>
      </c>
      <c r="M54" s="11">
        <f t="shared" si="32"/>
        <v>0</v>
      </c>
      <c r="N54" s="6">
        <f t="shared" si="33"/>
        <v>0</v>
      </c>
      <c r="O54" s="11">
        <f t="shared" si="34"/>
        <v>0</v>
      </c>
      <c r="P54" s="6">
        <f t="shared" si="35"/>
        <v>0</v>
      </c>
      <c r="Q54" s="11">
        <f t="shared" si="36"/>
        <v>0</v>
      </c>
      <c r="R54" s="6" t="str">
        <f t="shared" si="37"/>
        <v>TN</v>
      </c>
      <c r="S54" s="6"/>
      <c r="T54" s="10">
        <f t="shared" si="25"/>
        <v>0.24500000000000013</v>
      </c>
      <c r="U54" s="11">
        <f t="shared" si="20"/>
        <v>1500</v>
      </c>
      <c r="V54" s="9">
        <f t="shared" si="21"/>
        <v>0</v>
      </c>
      <c r="W54" s="9">
        <f t="shared" si="22"/>
        <v>0</v>
      </c>
      <c r="X54" s="9">
        <f t="shared" si="23"/>
        <v>1</v>
      </c>
      <c r="Y54" s="9">
        <f t="shared" si="24"/>
        <v>99</v>
      </c>
      <c r="Z54" s="6"/>
      <c r="AA54" s="6"/>
      <c r="AB54" s="6"/>
      <c r="AC54" s="6"/>
      <c r="AD54" s="6"/>
      <c r="AE54" s="6"/>
      <c r="AF54" s="6"/>
      <c r="AG54" s="6"/>
      <c r="AH54" s="6"/>
    </row>
    <row r="55" spans="1:34">
      <c r="A55" s="6" t="str">
        <f>'2_Costos_fijos'!A55</f>
        <v>T039</v>
      </c>
      <c r="B55" s="11">
        <v>29.54</v>
      </c>
      <c r="C55" s="39">
        <f>'2_Costos_fijos'!B55</f>
        <v>1E-4</v>
      </c>
      <c r="D55" s="6">
        <f>'2_Costos_fijos'!C55</f>
        <v>0</v>
      </c>
      <c r="E55" s="11">
        <f t="shared" si="19"/>
        <v>5</v>
      </c>
      <c r="F55" s="11">
        <f t="shared" si="19"/>
        <v>5</v>
      </c>
      <c r="G55" s="11">
        <f t="shared" si="26"/>
        <v>29.54</v>
      </c>
      <c r="H55" s="11">
        <f t="shared" si="27"/>
        <v>0</v>
      </c>
      <c r="I55" s="11">
        <f t="shared" si="28"/>
        <v>5</v>
      </c>
      <c r="J55" s="11">
        <f t="shared" si="29"/>
        <v>2.954E-3</v>
      </c>
      <c r="K55" s="10">
        <f t="shared" si="30"/>
        <v>0.16926201760324983</v>
      </c>
      <c r="L55" s="6">
        <f t="shared" si="31"/>
        <v>0</v>
      </c>
      <c r="M55" s="11">
        <f t="shared" si="32"/>
        <v>0</v>
      </c>
      <c r="N55" s="6">
        <f t="shared" si="33"/>
        <v>0</v>
      </c>
      <c r="O55" s="11">
        <f t="shared" si="34"/>
        <v>0</v>
      </c>
      <c r="P55" s="6">
        <f t="shared" si="35"/>
        <v>0</v>
      </c>
      <c r="Q55" s="11">
        <f t="shared" si="36"/>
        <v>0</v>
      </c>
      <c r="R55" s="6" t="str">
        <f t="shared" si="37"/>
        <v>TN</v>
      </c>
      <c r="S55" s="6"/>
      <c r="T55" s="10">
        <f t="shared" si="25"/>
        <v>0.25000000000000011</v>
      </c>
      <c r="U55" s="11">
        <f t="shared" si="20"/>
        <v>1500</v>
      </c>
      <c r="V55" s="9">
        <f t="shared" si="21"/>
        <v>0</v>
      </c>
      <c r="W55" s="9">
        <f t="shared" si="22"/>
        <v>0</v>
      </c>
      <c r="X55" s="9">
        <f t="shared" si="23"/>
        <v>1</v>
      </c>
      <c r="Y55" s="9">
        <f t="shared" si="24"/>
        <v>99</v>
      </c>
      <c r="Z55" s="6"/>
      <c r="AA55" s="6"/>
      <c r="AB55" s="6"/>
      <c r="AC55" s="6"/>
      <c r="AD55" s="6"/>
      <c r="AE55" s="6"/>
      <c r="AF55" s="6"/>
      <c r="AG55" s="6"/>
      <c r="AH55" s="6"/>
    </row>
    <row r="56" spans="1:34">
      <c r="A56" s="6" t="str">
        <f>'2_Costos_fijos'!A56</f>
        <v>T040</v>
      </c>
      <c r="B56" s="11">
        <v>27.69</v>
      </c>
      <c r="C56" s="39">
        <f>'2_Costos_fijos'!B56</f>
        <v>3.3199999999999999E-4</v>
      </c>
      <c r="D56" s="6">
        <f>'2_Costos_fijos'!C56</f>
        <v>0</v>
      </c>
      <c r="E56" s="11">
        <f t="shared" si="19"/>
        <v>5</v>
      </c>
      <c r="F56" s="11">
        <f t="shared" si="19"/>
        <v>5</v>
      </c>
      <c r="G56" s="11">
        <f t="shared" si="26"/>
        <v>27.69</v>
      </c>
      <c r="H56" s="11">
        <f t="shared" si="27"/>
        <v>0</v>
      </c>
      <c r="I56" s="11">
        <f t="shared" si="28"/>
        <v>5</v>
      </c>
      <c r="J56" s="11">
        <f t="shared" si="29"/>
        <v>9.193080000000001E-3</v>
      </c>
      <c r="K56" s="10">
        <f t="shared" si="30"/>
        <v>0.18057060310581435</v>
      </c>
      <c r="L56" s="6">
        <f t="shared" si="31"/>
        <v>0</v>
      </c>
      <c r="M56" s="11">
        <f t="shared" si="32"/>
        <v>0</v>
      </c>
      <c r="N56" s="6">
        <f t="shared" si="33"/>
        <v>0</v>
      </c>
      <c r="O56" s="11">
        <f t="shared" si="34"/>
        <v>0</v>
      </c>
      <c r="P56" s="6">
        <f t="shared" si="35"/>
        <v>0</v>
      </c>
      <c r="Q56" s="11">
        <f t="shared" si="36"/>
        <v>0</v>
      </c>
      <c r="R56" s="6" t="str">
        <f t="shared" si="37"/>
        <v>TN</v>
      </c>
      <c r="S56" s="6"/>
      <c r="T56" s="10">
        <f t="shared" si="25"/>
        <v>0.25500000000000012</v>
      </c>
      <c r="U56" s="11">
        <f t="shared" si="20"/>
        <v>1500</v>
      </c>
      <c r="V56" s="9">
        <f t="shared" si="21"/>
        <v>0</v>
      </c>
      <c r="W56" s="9">
        <f t="shared" si="22"/>
        <v>0</v>
      </c>
      <c r="X56" s="9">
        <f t="shared" si="23"/>
        <v>1</v>
      </c>
      <c r="Y56" s="9">
        <f t="shared" si="24"/>
        <v>99</v>
      </c>
      <c r="Z56" s="6"/>
      <c r="AA56" s="6"/>
      <c r="AB56" s="6"/>
      <c r="AC56" s="6"/>
      <c r="AD56" s="6"/>
      <c r="AE56" s="6"/>
      <c r="AF56" s="6"/>
      <c r="AG56" s="6"/>
      <c r="AH56" s="6"/>
    </row>
    <row r="57" spans="1:34">
      <c r="A57" s="6" t="str">
        <f>'2_Costos_fijos'!A57</f>
        <v>T041</v>
      </c>
      <c r="B57" s="11">
        <v>16.14</v>
      </c>
      <c r="C57" s="39">
        <f>'2_Costos_fijos'!B57</f>
        <v>5.2690000000000002E-3</v>
      </c>
      <c r="D57" s="6">
        <f>'2_Costos_fijos'!C57</f>
        <v>0</v>
      </c>
      <c r="E57" s="11">
        <f t="shared" ref="E57:F76" si="38">$B$5</f>
        <v>5</v>
      </c>
      <c r="F57" s="11">
        <f t="shared" si="38"/>
        <v>5</v>
      </c>
      <c r="G57" s="11">
        <f t="shared" si="26"/>
        <v>16.14</v>
      </c>
      <c r="H57" s="11">
        <f t="shared" si="27"/>
        <v>0</v>
      </c>
      <c r="I57" s="11">
        <f t="shared" si="28"/>
        <v>5</v>
      </c>
      <c r="J57" s="11">
        <f t="shared" si="29"/>
        <v>8.5041660000000005E-2</v>
      </c>
      <c r="K57" s="10">
        <f t="shared" si="30"/>
        <v>0.3097893432465923</v>
      </c>
      <c r="L57" s="6">
        <f t="shared" si="31"/>
        <v>0</v>
      </c>
      <c r="M57" s="11">
        <f t="shared" si="32"/>
        <v>0</v>
      </c>
      <c r="N57" s="6">
        <f t="shared" si="33"/>
        <v>0</v>
      </c>
      <c r="O57" s="11">
        <f t="shared" si="34"/>
        <v>0</v>
      </c>
      <c r="P57" s="6">
        <f t="shared" si="35"/>
        <v>0</v>
      </c>
      <c r="Q57" s="11">
        <f t="shared" si="36"/>
        <v>0</v>
      </c>
      <c r="R57" s="6" t="str">
        <f t="shared" si="37"/>
        <v>TN</v>
      </c>
      <c r="S57" s="6"/>
      <c r="T57" s="10">
        <f t="shared" si="25"/>
        <v>0.26000000000000012</v>
      </c>
      <c r="U57" s="11">
        <f t="shared" si="20"/>
        <v>1500</v>
      </c>
      <c r="V57" s="9">
        <f t="shared" si="21"/>
        <v>0</v>
      </c>
      <c r="W57" s="9">
        <f t="shared" si="22"/>
        <v>0</v>
      </c>
      <c r="X57" s="9">
        <f t="shared" si="23"/>
        <v>1</v>
      </c>
      <c r="Y57" s="9">
        <f t="shared" si="24"/>
        <v>99</v>
      </c>
      <c r="Z57" s="6"/>
      <c r="AA57" s="6"/>
      <c r="AB57" s="6"/>
      <c r="AC57" s="6"/>
      <c r="AD57" s="6"/>
      <c r="AE57" s="6"/>
      <c r="AF57" s="6"/>
      <c r="AG57" s="6"/>
      <c r="AH57" s="6"/>
    </row>
    <row r="58" spans="1:34">
      <c r="A58" s="6" t="str">
        <f>'2_Costos_fijos'!A58</f>
        <v>T042</v>
      </c>
      <c r="B58" s="11">
        <v>216.01</v>
      </c>
      <c r="C58" s="39">
        <f>'2_Costos_fijos'!B58</f>
        <v>0.06</v>
      </c>
      <c r="D58" s="6">
        <f>'2_Costos_fijos'!C58</f>
        <v>0</v>
      </c>
      <c r="E58" s="11">
        <f t="shared" si="38"/>
        <v>5</v>
      </c>
      <c r="F58" s="11">
        <f t="shared" si="38"/>
        <v>5</v>
      </c>
      <c r="G58" s="11">
        <f t="shared" si="26"/>
        <v>216.01</v>
      </c>
      <c r="H58" s="11">
        <f t="shared" si="27"/>
        <v>0</v>
      </c>
      <c r="I58" s="11">
        <f t="shared" si="28"/>
        <v>4.9999999999999991</v>
      </c>
      <c r="J58" s="11">
        <f t="shared" si="29"/>
        <v>12.960599999999999</v>
      </c>
      <c r="K58" s="10">
        <f t="shared" si="30"/>
        <v>2.3147076524234991E-2</v>
      </c>
      <c r="L58" s="6">
        <f t="shared" si="31"/>
        <v>1</v>
      </c>
      <c r="M58" s="11">
        <f t="shared" si="32"/>
        <v>5</v>
      </c>
      <c r="N58" s="6">
        <f t="shared" si="33"/>
        <v>0</v>
      </c>
      <c r="O58" s="11">
        <f t="shared" si="34"/>
        <v>0</v>
      </c>
      <c r="P58" s="6">
        <f t="shared" si="35"/>
        <v>1</v>
      </c>
      <c r="Q58" s="11">
        <f t="shared" si="36"/>
        <v>5</v>
      </c>
      <c r="R58" s="6" t="str">
        <f t="shared" si="37"/>
        <v>FP</v>
      </c>
      <c r="S58" s="6"/>
      <c r="T58" s="10">
        <f t="shared" si="25"/>
        <v>0.26500000000000012</v>
      </c>
      <c r="U58" s="11">
        <f t="shared" si="20"/>
        <v>1500</v>
      </c>
      <c r="V58" s="9">
        <f t="shared" si="21"/>
        <v>0</v>
      </c>
      <c r="W58" s="9">
        <f t="shared" si="22"/>
        <v>0</v>
      </c>
      <c r="X58" s="9">
        <f t="shared" si="23"/>
        <v>1</v>
      </c>
      <c r="Y58" s="9">
        <f t="shared" si="24"/>
        <v>99</v>
      </c>
      <c r="Z58" s="6"/>
      <c r="AA58" s="6"/>
      <c r="AB58" s="6"/>
      <c r="AC58" s="6"/>
      <c r="AD58" s="6"/>
      <c r="AE58" s="6"/>
      <c r="AF58" s="6"/>
      <c r="AG58" s="6"/>
      <c r="AH58" s="6"/>
    </row>
    <row r="59" spans="1:34">
      <c r="A59" s="6" t="str">
        <f>'2_Costos_fijos'!A59</f>
        <v>T043</v>
      </c>
      <c r="B59" s="11">
        <v>90.13</v>
      </c>
      <c r="C59" s="39">
        <f>'2_Costos_fijos'!B59</f>
        <v>8.2399999999999997E-4</v>
      </c>
      <c r="D59" s="6">
        <f>'2_Costos_fijos'!C59</f>
        <v>0</v>
      </c>
      <c r="E59" s="11">
        <f t="shared" si="38"/>
        <v>5</v>
      </c>
      <c r="F59" s="11">
        <f t="shared" si="38"/>
        <v>5</v>
      </c>
      <c r="G59" s="11">
        <f t="shared" si="26"/>
        <v>90.13</v>
      </c>
      <c r="H59" s="11">
        <f t="shared" si="27"/>
        <v>0</v>
      </c>
      <c r="I59" s="11">
        <f t="shared" si="28"/>
        <v>5</v>
      </c>
      <c r="J59" s="11">
        <f t="shared" si="29"/>
        <v>7.4267119999999992E-2</v>
      </c>
      <c r="K59" s="10">
        <f t="shared" si="30"/>
        <v>5.5475424386996562E-2</v>
      </c>
      <c r="L59" s="6">
        <f t="shared" si="31"/>
        <v>0</v>
      </c>
      <c r="M59" s="11">
        <f t="shared" si="32"/>
        <v>0</v>
      </c>
      <c r="N59" s="6">
        <f t="shared" si="33"/>
        <v>0</v>
      </c>
      <c r="O59" s="11">
        <f t="shared" si="34"/>
        <v>0</v>
      </c>
      <c r="P59" s="6">
        <f t="shared" si="35"/>
        <v>0</v>
      </c>
      <c r="Q59" s="11">
        <f t="shared" si="36"/>
        <v>0</v>
      </c>
      <c r="R59" s="6" t="str">
        <f t="shared" si="37"/>
        <v>TN</v>
      </c>
      <c r="S59" s="6"/>
      <c r="T59" s="10">
        <f t="shared" si="25"/>
        <v>0.27000000000000013</v>
      </c>
      <c r="U59" s="11">
        <f t="shared" si="20"/>
        <v>1500</v>
      </c>
      <c r="V59" s="9">
        <f t="shared" si="21"/>
        <v>0</v>
      </c>
      <c r="W59" s="9">
        <f t="shared" si="22"/>
        <v>0</v>
      </c>
      <c r="X59" s="9">
        <f t="shared" si="23"/>
        <v>1</v>
      </c>
      <c r="Y59" s="9">
        <f t="shared" si="24"/>
        <v>99</v>
      </c>
      <c r="Z59" s="6"/>
      <c r="AA59" s="6"/>
      <c r="AB59" s="6"/>
      <c r="AC59" s="6"/>
      <c r="AD59" s="6"/>
      <c r="AE59" s="6"/>
      <c r="AF59" s="6"/>
      <c r="AG59" s="6"/>
      <c r="AH59" s="6"/>
    </row>
    <row r="60" spans="1:34">
      <c r="A60" s="6" t="str">
        <f>'2_Costos_fijos'!A60</f>
        <v>T044</v>
      </c>
      <c r="B60" s="11">
        <v>34.549999999999997</v>
      </c>
      <c r="C60" s="39">
        <f>'2_Costos_fijos'!B60</f>
        <v>9.9430000000000004E-3</v>
      </c>
      <c r="D60" s="6">
        <f>'2_Costos_fijos'!C60</f>
        <v>0</v>
      </c>
      <c r="E60" s="11">
        <f t="shared" si="38"/>
        <v>5</v>
      </c>
      <c r="F60" s="11">
        <f t="shared" si="38"/>
        <v>5</v>
      </c>
      <c r="G60" s="11">
        <f t="shared" si="26"/>
        <v>34.549999999999997</v>
      </c>
      <c r="H60" s="11">
        <f t="shared" si="27"/>
        <v>0</v>
      </c>
      <c r="I60" s="11">
        <f t="shared" si="28"/>
        <v>5</v>
      </c>
      <c r="J60" s="11">
        <f t="shared" si="29"/>
        <v>0.34353064999999999</v>
      </c>
      <c r="K60" s="10">
        <f t="shared" si="30"/>
        <v>0.14471780028943562</v>
      </c>
      <c r="L60" s="6">
        <f t="shared" si="31"/>
        <v>0</v>
      </c>
      <c r="M60" s="11">
        <f t="shared" si="32"/>
        <v>0</v>
      </c>
      <c r="N60" s="6">
        <f t="shared" si="33"/>
        <v>0</v>
      </c>
      <c r="O60" s="11">
        <f t="shared" si="34"/>
        <v>0</v>
      </c>
      <c r="P60" s="6">
        <f t="shared" si="35"/>
        <v>0</v>
      </c>
      <c r="Q60" s="11">
        <f t="shared" si="36"/>
        <v>0</v>
      </c>
      <c r="R60" s="6" t="str">
        <f t="shared" si="37"/>
        <v>TN</v>
      </c>
      <c r="S60" s="6"/>
      <c r="T60" s="10">
        <f t="shared" si="25"/>
        <v>0.27500000000000013</v>
      </c>
      <c r="U60" s="11">
        <f t="shared" si="20"/>
        <v>1500</v>
      </c>
      <c r="V60" s="9">
        <f t="shared" si="21"/>
        <v>0</v>
      </c>
      <c r="W60" s="9">
        <f t="shared" si="22"/>
        <v>0</v>
      </c>
      <c r="X60" s="9">
        <f t="shared" si="23"/>
        <v>1</v>
      </c>
      <c r="Y60" s="9">
        <f t="shared" si="24"/>
        <v>99</v>
      </c>
      <c r="Z60" s="6"/>
      <c r="AA60" s="6"/>
      <c r="AB60" s="6"/>
      <c r="AC60" s="6"/>
      <c r="AD60" s="6"/>
      <c r="AE60" s="6"/>
      <c r="AF60" s="6"/>
      <c r="AG60" s="6"/>
      <c r="AH60" s="6"/>
    </row>
    <row r="61" spans="1:34">
      <c r="A61" s="6" t="str">
        <f>'2_Costos_fijos'!A61</f>
        <v>T045</v>
      </c>
      <c r="B61" s="11">
        <v>112.24</v>
      </c>
      <c r="C61" s="39">
        <f>'2_Costos_fijos'!B61</f>
        <v>1.27E-4</v>
      </c>
      <c r="D61" s="6">
        <f>'2_Costos_fijos'!C61</f>
        <v>0</v>
      </c>
      <c r="E61" s="11">
        <f t="shared" si="38"/>
        <v>5</v>
      </c>
      <c r="F61" s="11">
        <f t="shared" si="38"/>
        <v>5</v>
      </c>
      <c r="G61" s="11">
        <f t="shared" si="26"/>
        <v>112.24</v>
      </c>
      <c r="H61" s="11">
        <f t="shared" si="27"/>
        <v>0</v>
      </c>
      <c r="I61" s="11">
        <f t="shared" si="28"/>
        <v>5</v>
      </c>
      <c r="J61" s="11">
        <f t="shared" si="29"/>
        <v>1.4254479999999998E-2</v>
      </c>
      <c r="K61" s="10">
        <f t="shared" si="30"/>
        <v>4.4547398431931576E-2</v>
      </c>
      <c r="L61" s="6">
        <f t="shared" si="31"/>
        <v>0</v>
      </c>
      <c r="M61" s="11">
        <f t="shared" si="32"/>
        <v>0</v>
      </c>
      <c r="N61" s="6">
        <f t="shared" si="33"/>
        <v>0</v>
      </c>
      <c r="O61" s="11">
        <f t="shared" si="34"/>
        <v>0</v>
      </c>
      <c r="P61" s="6">
        <f t="shared" si="35"/>
        <v>0</v>
      </c>
      <c r="Q61" s="11">
        <f t="shared" si="36"/>
        <v>0</v>
      </c>
      <c r="R61" s="6" t="str">
        <f t="shared" si="37"/>
        <v>TN</v>
      </c>
      <c r="S61" s="6"/>
      <c r="T61" s="10">
        <f t="shared" si="25"/>
        <v>0.28000000000000014</v>
      </c>
      <c r="U61" s="11">
        <f t="shared" si="20"/>
        <v>1500</v>
      </c>
      <c r="V61" s="9">
        <f t="shared" si="21"/>
        <v>0</v>
      </c>
      <c r="W61" s="9">
        <f t="shared" si="22"/>
        <v>0</v>
      </c>
      <c r="X61" s="9">
        <f t="shared" si="23"/>
        <v>1</v>
      </c>
      <c r="Y61" s="9">
        <f t="shared" si="24"/>
        <v>99</v>
      </c>
      <c r="Z61" s="6"/>
      <c r="AA61" s="6"/>
      <c r="AB61" s="6"/>
      <c r="AC61" s="6"/>
      <c r="AD61" s="6"/>
      <c r="AE61" s="6"/>
      <c r="AF61" s="6"/>
      <c r="AG61" s="6"/>
      <c r="AH61" s="6"/>
    </row>
    <row r="62" spans="1:34">
      <c r="A62" s="6" t="str">
        <f>'2_Costos_fijos'!A62</f>
        <v>T046</v>
      </c>
      <c r="B62" s="11">
        <v>239.29</v>
      </c>
      <c r="C62" s="39">
        <f>'2_Costos_fijos'!B62</f>
        <v>1.9300000000000001E-3</v>
      </c>
      <c r="D62" s="6">
        <f>'2_Costos_fijos'!C62</f>
        <v>0</v>
      </c>
      <c r="E62" s="11">
        <f t="shared" si="38"/>
        <v>5</v>
      </c>
      <c r="F62" s="11">
        <f t="shared" si="38"/>
        <v>5</v>
      </c>
      <c r="G62" s="11">
        <f t="shared" si="26"/>
        <v>239.29</v>
      </c>
      <c r="H62" s="11">
        <f t="shared" si="27"/>
        <v>0</v>
      </c>
      <c r="I62" s="11">
        <f t="shared" si="28"/>
        <v>5</v>
      </c>
      <c r="J62" s="11">
        <f t="shared" si="29"/>
        <v>0.46182970000000001</v>
      </c>
      <c r="K62" s="10">
        <f t="shared" si="30"/>
        <v>2.0895148146600359E-2</v>
      </c>
      <c r="L62" s="6">
        <f t="shared" si="31"/>
        <v>0</v>
      </c>
      <c r="M62" s="11">
        <f t="shared" si="32"/>
        <v>0</v>
      </c>
      <c r="N62" s="6">
        <f t="shared" si="33"/>
        <v>0</v>
      </c>
      <c r="O62" s="11">
        <f t="shared" si="34"/>
        <v>0</v>
      </c>
      <c r="P62" s="6">
        <f t="shared" si="35"/>
        <v>0</v>
      </c>
      <c r="Q62" s="11">
        <f t="shared" si="36"/>
        <v>0</v>
      </c>
      <c r="R62" s="6" t="str">
        <f t="shared" si="37"/>
        <v>TN</v>
      </c>
      <c r="S62" s="6"/>
      <c r="T62" s="10">
        <f t="shared" si="25"/>
        <v>0.28500000000000014</v>
      </c>
      <c r="U62" s="11">
        <f t="shared" si="20"/>
        <v>1500</v>
      </c>
      <c r="V62" s="9">
        <f t="shared" si="21"/>
        <v>0</v>
      </c>
      <c r="W62" s="9">
        <f t="shared" si="22"/>
        <v>0</v>
      </c>
      <c r="X62" s="9">
        <f t="shared" si="23"/>
        <v>1</v>
      </c>
      <c r="Y62" s="9">
        <f t="shared" si="24"/>
        <v>99</v>
      </c>
      <c r="Z62" s="6"/>
      <c r="AA62" s="6"/>
      <c r="AB62" s="6"/>
      <c r="AC62" s="6"/>
      <c r="AD62" s="6"/>
      <c r="AE62" s="6"/>
      <c r="AF62" s="6"/>
      <c r="AG62" s="6"/>
      <c r="AH62" s="6"/>
    </row>
    <row r="63" spans="1:34">
      <c r="A63" s="6" t="str">
        <f>'2_Costos_fijos'!A63</f>
        <v>T047</v>
      </c>
      <c r="B63" s="11">
        <v>249.08</v>
      </c>
      <c r="C63" s="39">
        <f>'2_Costos_fijos'!B63</f>
        <v>1E-4</v>
      </c>
      <c r="D63" s="6">
        <f>'2_Costos_fijos'!C63</f>
        <v>0</v>
      </c>
      <c r="E63" s="11">
        <f t="shared" si="38"/>
        <v>5</v>
      </c>
      <c r="F63" s="11">
        <f t="shared" si="38"/>
        <v>5</v>
      </c>
      <c r="G63" s="11">
        <f t="shared" si="26"/>
        <v>249.08</v>
      </c>
      <c r="H63" s="11">
        <f t="shared" si="27"/>
        <v>0</v>
      </c>
      <c r="I63" s="11">
        <f t="shared" si="28"/>
        <v>5</v>
      </c>
      <c r="J63" s="11">
        <f t="shared" si="29"/>
        <v>2.4908000000000003E-2</v>
      </c>
      <c r="K63" s="10">
        <f t="shared" si="30"/>
        <v>2.0073871848402119E-2</v>
      </c>
      <c r="L63" s="6">
        <f t="shared" si="31"/>
        <v>0</v>
      </c>
      <c r="M63" s="11">
        <f t="shared" si="32"/>
        <v>0</v>
      </c>
      <c r="N63" s="6">
        <f t="shared" si="33"/>
        <v>0</v>
      </c>
      <c r="O63" s="11">
        <f t="shared" si="34"/>
        <v>0</v>
      </c>
      <c r="P63" s="6">
        <f t="shared" si="35"/>
        <v>0</v>
      </c>
      <c r="Q63" s="11">
        <f t="shared" si="36"/>
        <v>0</v>
      </c>
      <c r="R63" s="6" t="str">
        <f t="shared" si="37"/>
        <v>TN</v>
      </c>
      <c r="S63" s="6"/>
      <c r="T63" s="10">
        <f t="shared" si="25"/>
        <v>0.29000000000000015</v>
      </c>
      <c r="U63" s="11">
        <f t="shared" si="20"/>
        <v>1500</v>
      </c>
      <c r="V63" s="9">
        <f t="shared" si="21"/>
        <v>0</v>
      </c>
      <c r="W63" s="9">
        <f t="shared" si="22"/>
        <v>0</v>
      </c>
      <c r="X63" s="9">
        <f t="shared" si="23"/>
        <v>1</v>
      </c>
      <c r="Y63" s="9">
        <f t="shared" si="24"/>
        <v>99</v>
      </c>
      <c r="Z63" s="6"/>
      <c r="AA63" s="6"/>
      <c r="AB63" s="6"/>
      <c r="AC63" s="6"/>
      <c r="AD63" s="6"/>
      <c r="AE63" s="6"/>
      <c r="AF63" s="6"/>
      <c r="AG63" s="6"/>
      <c r="AH63" s="6"/>
    </row>
    <row r="64" spans="1:34">
      <c r="A64" s="6" t="str">
        <f>'2_Costos_fijos'!A64</f>
        <v>T048</v>
      </c>
      <c r="B64" s="11">
        <v>63.4</v>
      </c>
      <c r="C64" s="39">
        <f>'2_Costos_fijos'!B64</f>
        <v>2.42E-4</v>
      </c>
      <c r="D64" s="6">
        <f>'2_Costos_fijos'!C64</f>
        <v>0</v>
      </c>
      <c r="E64" s="11">
        <f t="shared" si="38"/>
        <v>5</v>
      </c>
      <c r="F64" s="11">
        <f t="shared" si="38"/>
        <v>5</v>
      </c>
      <c r="G64" s="11">
        <f t="shared" si="26"/>
        <v>63.4</v>
      </c>
      <c r="H64" s="11">
        <f t="shared" si="27"/>
        <v>0</v>
      </c>
      <c r="I64" s="11">
        <f t="shared" si="28"/>
        <v>5.0000000000000009</v>
      </c>
      <c r="J64" s="11">
        <f t="shared" si="29"/>
        <v>1.53428E-2</v>
      </c>
      <c r="K64" s="10">
        <f t="shared" si="30"/>
        <v>7.8864353312302835E-2</v>
      </c>
      <c r="L64" s="6">
        <f t="shared" si="31"/>
        <v>0</v>
      </c>
      <c r="M64" s="11">
        <f t="shared" si="32"/>
        <v>0</v>
      </c>
      <c r="N64" s="6">
        <f t="shared" si="33"/>
        <v>0</v>
      </c>
      <c r="O64" s="11">
        <f t="shared" si="34"/>
        <v>0</v>
      </c>
      <c r="P64" s="6">
        <f t="shared" si="35"/>
        <v>0</v>
      </c>
      <c r="Q64" s="11">
        <f t="shared" si="36"/>
        <v>0</v>
      </c>
      <c r="R64" s="6" t="str">
        <f t="shared" si="37"/>
        <v>TN</v>
      </c>
      <c r="S64" s="6"/>
      <c r="T64" s="10">
        <f t="shared" si="25"/>
        <v>0.29500000000000015</v>
      </c>
      <c r="U64" s="11">
        <f t="shared" si="20"/>
        <v>1500</v>
      </c>
      <c r="V64" s="9">
        <f t="shared" si="21"/>
        <v>0</v>
      </c>
      <c r="W64" s="9">
        <f t="shared" si="22"/>
        <v>0</v>
      </c>
      <c r="X64" s="9">
        <f t="shared" si="23"/>
        <v>1</v>
      </c>
      <c r="Y64" s="9">
        <f t="shared" si="24"/>
        <v>99</v>
      </c>
      <c r="Z64" s="6"/>
      <c r="AA64" s="6"/>
      <c r="AB64" s="6"/>
      <c r="AC64" s="6"/>
      <c r="AD64" s="6"/>
      <c r="AE64" s="6"/>
      <c r="AF64" s="6"/>
      <c r="AG64" s="6"/>
      <c r="AH64" s="6"/>
    </row>
    <row r="65" spans="1:34">
      <c r="A65" s="6" t="str">
        <f>'2_Costos_fijos'!A65</f>
        <v>T049</v>
      </c>
      <c r="B65" s="11">
        <v>22.58</v>
      </c>
      <c r="C65" s="39">
        <f>'2_Costos_fijos'!B65</f>
        <v>4.0990000000000002E-3</v>
      </c>
      <c r="D65" s="6">
        <f>'2_Costos_fijos'!C65</f>
        <v>0</v>
      </c>
      <c r="E65" s="11">
        <f t="shared" si="38"/>
        <v>5</v>
      </c>
      <c r="F65" s="11">
        <f t="shared" si="38"/>
        <v>5</v>
      </c>
      <c r="G65" s="11">
        <f t="shared" si="26"/>
        <v>22.58</v>
      </c>
      <c r="H65" s="11">
        <f t="shared" si="27"/>
        <v>0</v>
      </c>
      <c r="I65" s="11">
        <f t="shared" si="28"/>
        <v>5.0000000000000009</v>
      </c>
      <c r="J65" s="11">
        <f t="shared" si="29"/>
        <v>9.2555419999999999E-2</v>
      </c>
      <c r="K65" s="10">
        <f t="shared" si="30"/>
        <v>0.22143489813994688</v>
      </c>
      <c r="L65" s="6">
        <f t="shared" si="31"/>
        <v>0</v>
      </c>
      <c r="M65" s="11">
        <f t="shared" si="32"/>
        <v>0</v>
      </c>
      <c r="N65" s="6">
        <f t="shared" si="33"/>
        <v>0</v>
      </c>
      <c r="O65" s="11">
        <f t="shared" si="34"/>
        <v>0</v>
      </c>
      <c r="P65" s="6">
        <f t="shared" si="35"/>
        <v>0</v>
      </c>
      <c r="Q65" s="11">
        <f t="shared" si="36"/>
        <v>0</v>
      </c>
      <c r="R65" s="6" t="str">
        <f t="shared" si="37"/>
        <v>TN</v>
      </c>
      <c r="S65" s="6"/>
      <c r="T65" s="10">
        <f t="shared" si="25"/>
        <v>0.30000000000000016</v>
      </c>
      <c r="U65" s="11">
        <f t="shared" si="20"/>
        <v>1500</v>
      </c>
      <c r="V65" s="9">
        <f t="shared" si="21"/>
        <v>0</v>
      </c>
      <c r="W65" s="9">
        <f t="shared" si="22"/>
        <v>0</v>
      </c>
      <c r="X65" s="9">
        <f t="shared" si="23"/>
        <v>1</v>
      </c>
      <c r="Y65" s="9">
        <f t="shared" si="24"/>
        <v>99</v>
      </c>
      <c r="Z65" s="6"/>
      <c r="AA65" s="6"/>
      <c r="AB65" s="6"/>
      <c r="AC65" s="6"/>
      <c r="AD65" s="6"/>
      <c r="AE65" s="6"/>
      <c r="AF65" s="6"/>
      <c r="AG65" s="6"/>
      <c r="AH65" s="6"/>
    </row>
    <row r="66" spans="1:34">
      <c r="A66" s="6" t="str">
        <f>'2_Costos_fijos'!A66</f>
        <v>T050</v>
      </c>
      <c r="B66" s="11">
        <v>151.9</v>
      </c>
      <c r="C66" s="39">
        <f>'2_Costos_fijos'!B66</f>
        <v>1.01E-4</v>
      </c>
      <c r="D66" s="6">
        <f>'2_Costos_fijos'!C66</f>
        <v>0</v>
      </c>
      <c r="E66" s="11">
        <f t="shared" si="38"/>
        <v>5</v>
      </c>
      <c r="F66" s="11">
        <f t="shared" si="38"/>
        <v>5</v>
      </c>
      <c r="G66" s="11">
        <f t="shared" si="26"/>
        <v>151.9</v>
      </c>
      <c r="H66" s="11">
        <f t="shared" si="27"/>
        <v>0</v>
      </c>
      <c r="I66" s="11">
        <f t="shared" si="28"/>
        <v>5</v>
      </c>
      <c r="J66" s="11">
        <f t="shared" si="29"/>
        <v>1.53419E-2</v>
      </c>
      <c r="K66" s="10">
        <f t="shared" si="30"/>
        <v>3.2916392363396968E-2</v>
      </c>
      <c r="L66" s="6">
        <f t="shared" si="31"/>
        <v>0</v>
      </c>
      <c r="M66" s="11">
        <f t="shared" si="32"/>
        <v>0</v>
      </c>
      <c r="N66" s="6">
        <f t="shared" si="33"/>
        <v>0</v>
      </c>
      <c r="O66" s="11">
        <f t="shared" si="34"/>
        <v>0</v>
      </c>
      <c r="P66" s="6">
        <f t="shared" si="35"/>
        <v>0</v>
      </c>
      <c r="Q66" s="11">
        <f t="shared" si="36"/>
        <v>0</v>
      </c>
      <c r="R66" s="6" t="str">
        <f t="shared" si="37"/>
        <v>TN</v>
      </c>
      <c r="S66" s="6"/>
      <c r="T66" s="10">
        <f t="shared" si="25"/>
        <v>0.30500000000000016</v>
      </c>
      <c r="U66" s="11">
        <f t="shared" si="20"/>
        <v>1500</v>
      </c>
      <c r="V66" s="9">
        <f t="shared" si="21"/>
        <v>0</v>
      </c>
      <c r="W66" s="9">
        <f t="shared" si="22"/>
        <v>0</v>
      </c>
      <c r="X66" s="9">
        <f t="shared" si="23"/>
        <v>1</v>
      </c>
      <c r="Y66" s="9">
        <f t="shared" si="24"/>
        <v>99</v>
      </c>
      <c r="Z66" s="6"/>
      <c r="AA66" s="6"/>
      <c r="AB66" s="6"/>
      <c r="AC66" s="6"/>
      <c r="AD66" s="6"/>
      <c r="AE66" s="6"/>
      <c r="AF66" s="6"/>
      <c r="AG66" s="6"/>
      <c r="AH66" s="6"/>
    </row>
    <row r="67" spans="1:34">
      <c r="A67" s="6" t="str">
        <f>'2_Costos_fijos'!A67</f>
        <v>T051</v>
      </c>
      <c r="B67" s="11">
        <v>81.93</v>
      </c>
      <c r="C67" s="39">
        <f>'2_Costos_fijos'!B67</f>
        <v>5.9299999999999999E-4</v>
      </c>
      <c r="D67" s="6">
        <f>'2_Costos_fijos'!C67</f>
        <v>0</v>
      </c>
      <c r="E67" s="11">
        <f t="shared" si="38"/>
        <v>5</v>
      </c>
      <c r="F67" s="11">
        <f t="shared" si="38"/>
        <v>5</v>
      </c>
      <c r="G67" s="11">
        <f t="shared" si="26"/>
        <v>81.93</v>
      </c>
      <c r="H67" s="11">
        <f t="shared" si="27"/>
        <v>0</v>
      </c>
      <c r="I67" s="11">
        <f t="shared" si="28"/>
        <v>5</v>
      </c>
      <c r="J67" s="11">
        <f t="shared" si="29"/>
        <v>4.8584490000000001E-2</v>
      </c>
      <c r="K67" s="10">
        <f t="shared" si="30"/>
        <v>6.1027706578786763E-2</v>
      </c>
      <c r="L67" s="6">
        <f t="shared" si="31"/>
        <v>0</v>
      </c>
      <c r="M67" s="11">
        <f t="shared" si="32"/>
        <v>0</v>
      </c>
      <c r="N67" s="6">
        <f t="shared" si="33"/>
        <v>0</v>
      </c>
      <c r="O67" s="11">
        <f t="shared" si="34"/>
        <v>0</v>
      </c>
      <c r="P67" s="6">
        <f t="shared" si="35"/>
        <v>0</v>
      </c>
      <c r="Q67" s="11">
        <f t="shared" si="36"/>
        <v>0</v>
      </c>
      <c r="R67" s="6" t="str">
        <f t="shared" si="37"/>
        <v>TN</v>
      </c>
      <c r="S67" s="6"/>
      <c r="T67" s="10">
        <f t="shared" si="25"/>
        <v>0.31000000000000016</v>
      </c>
      <c r="U67" s="11">
        <f t="shared" si="20"/>
        <v>1500</v>
      </c>
      <c r="V67" s="9">
        <f t="shared" si="21"/>
        <v>0</v>
      </c>
      <c r="W67" s="9">
        <f t="shared" si="22"/>
        <v>0</v>
      </c>
      <c r="X67" s="9">
        <f t="shared" si="23"/>
        <v>1</v>
      </c>
      <c r="Y67" s="9">
        <f t="shared" si="24"/>
        <v>99</v>
      </c>
      <c r="Z67" s="6"/>
      <c r="AA67" s="6"/>
      <c r="AB67" s="6"/>
      <c r="AC67" s="6"/>
      <c r="AD67" s="6"/>
      <c r="AE67" s="6"/>
      <c r="AF67" s="6"/>
      <c r="AG67" s="6"/>
      <c r="AH67" s="6"/>
    </row>
    <row r="68" spans="1:34">
      <c r="A68" s="6" t="str">
        <f>'2_Costos_fijos'!A68</f>
        <v>T052</v>
      </c>
      <c r="B68" s="11">
        <v>76.150000000000006</v>
      </c>
      <c r="C68" s="39">
        <f>'2_Costos_fijos'!B68</f>
        <v>7.9620000000000003E-3</v>
      </c>
      <c r="D68" s="6">
        <f>'2_Costos_fijos'!C68</f>
        <v>0</v>
      </c>
      <c r="E68" s="11">
        <f t="shared" si="38"/>
        <v>5</v>
      </c>
      <c r="F68" s="11">
        <f t="shared" si="38"/>
        <v>5</v>
      </c>
      <c r="G68" s="11">
        <f t="shared" si="26"/>
        <v>76.150000000000006</v>
      </c>
      <c r="H68" s="11">
        <f t="shared" si="27"/>
        <v>0</v>
      </c>
      <c r="I68" s="11">
        <f t="shared" si="28"/>
        <v>5</v>
      </c>
      <c r="J68" s="11">
        <f t="shared" si="29"/>
        <v>0.60630630000000008</v>
      </c>
      <c r="K68" s="10">
        <f t="shared" si="30"/>
        <v>6.5659881812212731E-2</v>
      </c>
      <c r="L68" s="6">
        <f t="shared" si="31"/>
        <v>0</v>
      </c>
      <c r="M68" s="11">
        <f t="shared" si="32"/>
        <v>0</v>
      </c>
      <c r="N68" s="6">
        <f t="shared" si="33"/>
        <v>0</v>
      </c>
      <c r="O68" s="11">
        <f t="shared" si="34"/>
        <v>0</v>
      </c>
      <c r="P68" s="6">
        <f t="shared" si="35"/>
        <v>0</v>
      </c>
      <c r="Q68" s="11">
        <f t="shared" si="36"/>
        <v>0</v>
      </c>
      <c r="R68" s="6" t="str">
        <f t="shared" si="37"/>
        <v>TN</v>
      </c>
      <c r="S68" s="6"/>
      <c r="T68" s="10">
        <f t="shared" si="25"/>
        <v>0.31500000000000017</v>
      </c>
      <c r="U68" s="11">
        <f t="shared" si="20"/>
        <v>1500</v>
      </c>
      <c r="V68" s="9">
        <f t="shared" si="21"/>
        <v>0</v>
      </c>
      <c r="W68" s="9">
        <f t="shared" si="22"/>
        <v>0</v>
      </c>
      <c r="X68" s="9">
        <f t="shared" si="23"/>
        <v>1</v>
      </c>
      <c r="Y68" s="9">
        <f t="shared" si="24"/>
        <v>99</v>
      </c>
      <c r="Z68" s="6"/>
      <c r="AA68" s="6"/>
      <c r="AB68" s="6"/>
      <c r="AC68" s="6"/>
      <c r="AD68" s="6"/>
      <c r="AE68" s="6"/>
      <c r="AF68" s="6"/>
      <c r="AG68" s="6"/>
      <c r="AH68" s="6"/>
    </row>
    <row r="69" spans="1:34">
      <c r="A69" s="6" t="str">
        <f>'2_Costos_fijos'!A69</f>
        <v>T053</v>
      </c>
      <c r="B69" s="11">
        <v>115.54</v>
      </c>
      <c r="C69" s="39">
        <f>'2_Costos_fijos'!B69</f>
        <v>1.13E-4</v>
      </c>
      <c r="D69" s="6">
        <f>'2_Costos_fijos'!C69</f>
        <v>0</v>
      </c>
      <c r="E69" s="11">
        <f t="shared" si="38"/>
        <v>5</v>
      </c>
      <c r="F69" s="11">
        <f t="shared" si="38"/>
        <v>5</v>
      </c>
      <c r="G69" s="11">
        <f t="shared" si="26"/>
        <v>115.54</v>
      </c>
      <c r="H69" s="11">
        <f t="shared" si="27"/>
        <v>0</v>
      </c>
      <c r="I69" s="11">
        <f t="shared" si="28"/>
        <v>5</v>
      </c>
      <c r="J69" s="11">
        <f t="shared" si="29"/>
        <v>1.305602E-2</v>
      </c>
      <c r="K69" s="10">
        <f t="shared" si="30"/>
        <v>4.3275056257573136E-2</v>
      </c>
      <c r="L69" s="6">
        <f t="shared" si="31"/>
        <v>0</v>
      </c>
      <c r="M69" s="11">
        <f t="shared" si="32"/>
        <v>0</v>
      </c>
      <c r="N69" s="6">
        <f t="shared" si="33"/>
        <v>0</v>
      </c>
      <c r="O69" s="11">
        <f t="shared" si="34"/>
        <v>0</v>
      </c>
      <c r="P69" s="6">
        <f t="shared" si="35"/>
        <v>0</v>
      </c>
      <c r="Q69" s="11">
        <f t="shared" si="36"/>
        <v>0</v>
      </c>
      <c r="R69" s="6" t="str">
        <f t="shared" si="37"/>
        <v>TN</v>
      </c>
      <c r="S69" s="6"/>
      <c r="T69" s="10">
        <f t="shared" si="25"/>
        <v>0.32000000000000017</v>
      </c>
      <c r="U69" s="11">
        <f t="shared" ref="U69:U100" si="39">SUMPRODUCT(--($C$17:$C$116&gt;=T69),--($D$17:$D$116=1),$E$17:$E$116)+SUMPRODUCT(--($C$17:$C$116&gt;=T69),--($D$17:$D$116=0),$F$17:$F$116)+SUMPRODUCT(--($C$17:$C$116&lt;T69),--($D$17:$D$116=1),$G$17:$G$116)+SUMPRODUCT(--($C$17:$C$116&lt;T69),--($D$17:$D$116=0),$H$17:$H$116)</f>
        <v>1500</v>
      </c>
      <c r="V69" s="9">
        <f t="shared" ref="V69:V105" si="40">COUNTIFS($C$17:$C$116,"&gt;="&amp;T69,$D$17:$D$116,1)</f>
        <v>0</v>
      </c>
      <c r="W69" s="9">
        <f t="shared" ref="W69:W105" si="41">COUNTIFS($C$17:$C$116,"&gt;="&amp;T69,$D$17:$D$116,0)</f>
        <v>0</v>
      </c>
      <c r="X69" s="9">
        <f t="shared" ref="X69:X105" si="42">COUNTIFS($C$17:$C$116,"&lt;"&amp;T69,$D$17:$D$116,1)</f>
        <v>1</v>
      </c>
      <c r="Y69" s="9">
        <f t="shared" ref="Y69:Y105" si="43">COUNTIFS($C$17:$C$116,"&lt;"&amp;T69,$D$17:$D$116,0)</f>
        <v>99</v>
      </c>
      <c r="Z69" s="6"/>
      <c r="AA69" s="6"/>
      <c r="AB69" s="6"/>
      <c r="AC69" s="6"/>
      <c r="AD69" s="6"/>
      <c r="AE69" s="6"/>
      <c r="AF69" s="6"/>
      <c r="AG69" s="6"/>
      <c r="AH69" s="6"/>
    </row>
    <row r="70" spans="1:34">
      <c r="A70" s="6" t="str">
        <f>'2_Costos_fijos'!A70</f>
        <v>T054</v>
      </c>
      <c r="B70" s="11">
        <v>42.74</v>
      </c>
      <c r="C70" s="39">
        <f>'2_Costos_fijos'!B70</f>
        <v>1.4319999999999999E-3</v>
      </c>
      <c r="D70" s="6">
        <f>'2_Costos_fijos'!C70</f>
        <v>0</v>
      </c>
      <c r="E70" s="11">
        <f t="shared" si="38"/>
        <v>5</v>
      </c>
      <c r="F70" s="11">
        <f t="shared" si="38"/>
        <v>5</v>
      </c>
      <c r="G70" s="11">
        <f t="shared" si="26"/>
        <v>42.74</v>
      </c>
      <c r="H70" s="11">
        <f t="shared" si="27"/>
        <v>0</v>
      </c>
      <c r="I70" s="11">
        <f t="shared" si="28"/>
        <v>5</v>
      </c>
      <c r="J70" s="11">
        <f t="shared" si="29"/>
        <v>6.1203679999999996E-2</v>
      </c>
      <c r="K70" s="10">
        <f t="shared" si="30"/>
        <v>0.1169864295741694</v>
      </c>
      <c r="L70" s="6">
        <f t="shared" si="31"/>
        <v>0</v>
      </c>
      <c r="M70" s="11">
        <f t="shared" si="32"/>
        <v>0</v>
      </c>
      <c r="N70" s="6">
        <f t="shared" si="33"/>
        <v>0</v>
      </c>
      <c r="O70" s="11">
        <f t="shared" si="34"/>
        <v>0</v>
      </c>
      <c r="P70" s="6">
        <f t="shared" si="35"/>
        <v>0</v>
      </c>
      <c r="Q70" s="11">
        <f t="shared" si="36"/>
        <v>0</v>
      </c>
      <c r="R70" s="6" t="str">
        <f t="shared" si="37"/>
        <v>TN</v>
      </c>
      <c r="S70" s="6"/>
      <c r="T70" s="10">
        <f t="shared" ref="T70:T105" si="44">T69+$B$11</f>
        <v>0.32500000000000018</v>
      </c>
      <c r="U70" s="11">
        <f t="shared" si="39"/>
        <v>1500</v>
      </c>
      <c r="V70" s="9">
        <f t="shared" si="40"/>
        <v>0</v>
      </c>
      <c r="W70" s="9">
        <f t="shared" si="41"/>
        <v>0</v>
      </c>
      <c r="X70" s="9">
        <f t="shared" si="42"/>
        <v>1</v>
      </c>
      <c r="Y70" s="9">
        <f t="shared" si="43"/>
        <v>99</v>
      </c>
      <c r="Z70" s="6"/>
      <c r="AA70" s="6"/>
      <c r="AB70" s="6"/>
      <c r="AC70" s="6"/>
      <c r="AD70" s="6"/>
      <c r="AE70" s="6"/>
      <c r="AF70" s="6"/>
      <c r="AG70" s="6"/>
      <c r="AH70" s="6"/>
    </row>
    <row r="71" spans="1:34">
      <c r="A71" s="6" t="str">
        <f>'2_Costos_fijos'!A71</f>
        <v>T055</v>
      </c>
      <c r="B71" s="11">
        <v>72.23</v>
      </c>
      <c r="C71" s="39">
        <f>'2_Costos_fijos'!B71</f>
        <v>1.4357999999999999E-2</v>
      </c>
      <c r="D71" s="6">
        <f>'2_Costos_fijos'!C71</f>
        <v>0</v>
      </c>
      <c r="E71" s="11">
        <f t="shared" si="38"/>
        <v>5</v>
      </c>
      <c r="F71" s="11">
        <f t="shared" si="38"/>
        <v>5</v>
      </c>
      <c r="G71" s="11">
        <f t="shared" si="26"/>
        <v>72.23</v>
      </c>
      <c r="H71" s="11">
        <f t="shared" si="27"/>
        <v>0</v>
      </c>
      <c r="I71" s="11">
        <f t="shared" si="28"/>
        <v>5</v>
      </c>
      <c r="J71" s="11">
        <f t="shared" si="29"/>
        <v>1.0370783400000001</v>
      </c>
      <c r="K71" s="10">
        <f t="shared" si="30"/>
        <v>6.9223314412294054E-2</v>
      </c>
      <c r="L71" s="6">
        <f t="shared" si="31"/>
        <v>0</v>
      </c>
      <c r="M71" s="11">
        <f t="shared" si="32"/>
        <v>0</v>
      </c>
      <c r="N71" s="6">
        <f t="shared" si="33"/>
        <v>0</v>
      </c>
      <c r="O71" s="11">
        <f t="shared" si="34"/>
        <v>0</v>
      </c>
      <c r="P71" s="6">
        <f t="shared" si="35"/>
        <v>1</v>
      </c>
      <c r="Q71" s="11">
        <f t="shared" si="36"/>
        <v>5</v>
      </c>
      <c r="R71" s="6" t="str">
        <f t="shared" si="37"/>
        <v>TN</v>
      </c>
      <c r="S71" s="6"/>
      <c r="T71" s="10">
        <f t="shared" si="44"/>
        <v>0.33000000000000018</v>
      </c>
      <c r="U71" s="11">
        <f t="shared" si="39"/>
        <v>1500</v>
      </c>
      <c r="V71" s="9">
        <f t="shared" si="40"/>
        <v>0</v>
      </c>
      <c r="W71" s="9">
        <f t="shared" si="41"/>
        <v>0</v>
      </c>
      <c r="X71" s="9">
        <f t="shared" si="42"/>
        <v>1</v>
      </c>
      <c r="Y71" s="9">
        <f t="shared" si="43"/>
        <v>99</v>
      </c>
      <c r="Z71" s="6"/>
      <c r="AA71" s="6"/>
      <c r="AB71" s="6"/>
      <c r="AC71" s="6"/>
      <c r="AD71" s="6"/>
      <c r="AE71" s="6"/>
      <c r="AF71" s="6"/>
      <c r="AG71" s="6"/>
      <c r="AH71" s="6"/>
    </row>
    <row r="72" spans="1:34">
      <c r="A72" s="6" t="str">
        <f>'2_Costos_fijos'!A72</f>
        <v>T056</v>
      </c>
      <c r="B72" s="11">
        <v>38.92</v>
      </c>
      <c r="C72" s="39">
        <f>'2_Costos_fijos'!B72</f>
        <v>1.83E-4</v>
      </c>
      <c r="D72" s="6">
        <f>'2_Costos_fijos'!C72</f>
        <v>0</v>
      </c>
      <c r="E72" s="11">
        <f t="shared" si="38"/>
        <v>5</v>
      </c>
      <c r="F72" s="11">
        <f t="shared" si="38"/>
        <v>5</v>
      </c>
      <c r="G72" s="11">
        <f t="shared" si="26"/>
        <v>38.92</v>
      </c>
      <c r="H72" s="11">
        <f t="shared" si="27"/>
        <v>0</v>
      </c>
      <c r="I72" s="11">
        <f t="shared" si="28"/>
        <v>5</v>
      </c>
      <c r="J72" s="11">
        <f t="shared" si="29"/>
        <v>7.1223600000000003E-3</v>
      </c>
      <c r="K72" s="10">
        <f t="shared" si="30"/>
        <v>0.12846865364850976</v>
      </c>
      <c r="L72" s="6">
        <f t="shared" si="31"/>
        <v>0</v>
      </c>
      <c r="M72" s="11">
        <f t="shared" si="32"/>
        <v>0</v>
      </c>
      <c r="N72" s="6">
        <f t="shared" si="33"/>
        <v>0</v>
      </c>
      <c r="O72" s="11">
        <f t="shared" si="34"/>
        <v>0</v>
      </c>
      <c r="P72" s="6">
        <f t="shared" si="35"/>
        <v>0</v>
      </c>
      <c r="Q72" s="11">
        <f t="shared" si="36"/>
        <v>0</v>
      </c>
      <c r="R72" s="6" t="str">
        <f t="shared" si="37"/>
        <v>TN</v>
      </c>
      <c r="S72" s="6"/>
      <c r="T72" s="10">
        <f t="shared" si="44"/>
        <v>0.33500000000000019</v>
      </c>
      <c r="U72" s="11">
        <f t="shared" si="39"/>
        <v>1500</v>
      </c>
      <c r="V72" s="9">
        <f t="shared" si="40"/>
        <v>0</v>
      </c>
      <c r="W72" s="9">
        <f t="shared" si="41"/>
        <v>0</v>
      </c>
      <c r="X72" s="9">
        <f t="shared" si="42"/>
        <v>1</v>
      </c>
      <c r="Y72" s="9">
        <f t="shared" si="43"/>
        <v>99</v>
      </c>
      <c r="Z72" s="6"/>
      <c r="AA72" s="6"/>
      <c r="AB72" s="6"/>
      <c r="AC72" s="6"/>
      <c r="AD72" s="6"/>
      <c r="AE72" s="6"/>
      <c r="AF72" s="6"/>
      <c r="AG72" s="6"/>
      <c r="AH72" s="6"/>
    </row>
    <row r="73" spans="1:34">
      <c r="A73" s="6" t="str">
        <f>'2_Costos_fijos'!A73</f>
        <v>T057</v>
      </c>
      <c r="B73" s="11">
        <v>45.85</v>
      </c>
      <c r="C73" s="39">
        <f>'2_Costos_fijos'!B73</f>
        <v>3.1519999999999999E-3</v>
      </c>
      <c r="D73" s="6">
        <f>'2_Costos_fijos'!C73</f>
        <v>0</v>
      </c>
      <c r="E73" s="11">
        <f t="shared" si="38"/>
        <v>5</v>
      </c>
      <c r="F73" s="11">
        <f t="shared" si="38"/>
        <v>5</v>
      </c>
      <c r="G73" s="11">
        <f t="shared" si="26"/>
        <v>45.85</v>
      </c>
      <c r="H73" s="11">
        <f t="shared" si="27"/>
        <v>0</v>
      </c>
      <c r="I73" s="11">
        <f t="shared" si="28"/>
        <v>5</v>
      </c>
      <c r="J73" s="11">
        <f t="shared" si="29"/>
        <v>0.14451919999999999</v>
      </c>
      <c r="K73" s="10">
        <f t="shared" si="30"/>
        <v>0.10905125408942203</v>
      </c>
      <c r="L73" s="6">
        <f t="shared" si="31"/>
        <v>0</v>
      </c>
      <c r="M73" s="11">
        <f t="shared" si="32"/>
        <v>0</v>
      </c>
      <c r="N73" s="6">
        <f t="shared" si="33"/>
        <v>0</v>
      </c>
      <c r="O73" s="11">
        <f t="shared" si="34"/>
        <v>0</v>
      </c>
      <c r="P73" s="6">
        <f t="shared" si="35"/>
        <v>0</v>
      </c>
      <c r="Q73" s="11">
        <f t="shared" si="36"/>
        <v>0</v>
      </c>
      <c r="R73" s="6" t="str">
        <f t="shared" si="37"/>
        <v>TN</v>
      </c>
      <c r="S73" s="6"/>
      <c r="T73" s="10">
        <f t="shared" si="44"/>
        <v>0.34000000000000019</v>
      </c>
      <c r="U73" s="11">
        <f t="shared" si="39"/>
        <v>1500</v>
      </c>
      <c r="V73" s="9">
        <f t="shared" si="40"/>
        <v>0</v>
      </c>
      <c r="W73" s="9">
        <f t="shared" si="41"/>
        <v>0</v>
      </c>
      <c r="X73" s="9">
        <f t="shared" si="42"/>
        <v>1</v>
      </c>
      <c r="Y73" s="9">
        <f t="shared" si="43"/>
        <v>99</v>
      </c>
      <c r="Z73" s="6"/>
      <c r="AA73" s="6"/>
      <c r="AB73" s="6"/>
      <c r="AC73" s="6"/>
      <c r="AD73" s="6"/>
      <c r="AE73" s="6"/>
      <c r="AF73" s="6"/>
      <c r="AG73" s="6"/>
      <c r="AH73" s="6"/>
    </row>
    <row r="74" spans="1:34">
      <c r="A74" s="6" t="str">
        <f>'2_Costos_fijos'!A74</f>
        <v>T058</v>
      </c>
      <c r="B74" s="11">
        <v>49.71</v>
      </c>
      <c r="C74" s="39">
        <f>'2_Costos_fijos'!B74</f>
        <v>1E-4</v>
      </c>
      <c r="D74" s="6">
        <f>'2_Costos_fijos'!C74</f>
        <v>0</v>
      </c>
      <c r="E74" s="11">
        <f t="shared" si="38"/>
        <v>5</v>
      </c>
      <c r="F74" s="11">
        <f t="shared" si="38"/>
        <v>5</v>
      </c>
      <c r="G74" s="11">
        <f t="shared" si="26"/>
        <v>49.71</v>
      </c>
      <c r="H74" s="11">
        <f t="shared" si="27"/>
        <v>0</v>
      </c>
      <c r="I74" s="11">
        <f t="shared" si="28"/>
        <v>5</v>
      </c>
      <c r="J74" s="11">
        <f t="shared" si="29"/>
        <v>4.9710000000000006E-3</v>
      </c>
      <c r="K74" s="10">
        <f t="shared" si="30"/>
        <v>0.10058338362502514</v>
      </c>
      <c r="L74" s="6">
        <f t="shared" si="31"/>
        <v>0</v>
      </c>
      <c r="M74" s="11">
        <f t="shared" si="32"/>
        <v>0</v>
      </c>
      <c r="N74" s="6">
        <f t="shared" si="33"/>
        <v>0</v>
      </c>
      <c r="O74" s="11">
        <f t="shared" si="34"/>
        <v>0</v>
      </c>
      <c r="P74" s="6">
        <f t="shared" si="35"/>
        <v>0</v>
      </c>
      <c r="Q74" s="11">
        <f t="shared" si="36"/>
        <v>0</v>
      </c>
      <c r="R74" s="6" t="str">
        <f t="shared" si="37"/>
        <v>TN</v>
      </c>
      <c r="S74" s="6"/>
      <c r="T74" s="10">
        <f t="shared" si="44"/>
        <v>0.3450000000000002</v>
      </c>
      <c r="U74" s="11">
        <f t="shared" si="39"/>
        <v>1500</v>
      </c>
      <c r="V74" s="9">
        <f t="shared" si="40"/>
        <v>0</v>
      </c>
      <c r="W74" s="9">
        <f t="shared" si="41"/>
        <v>0</v>
      </c>
      <c r="X74" s="9">
        <f t="shared" si="42"/>
        <v>1</v>
      </c>
      <c r="Y74" s="9">
        <f t="shared" si="43"/>
        <v>99</v>
      </c>
      <c r="Z74" s="6"/>
      <c r="AA74" s="6"/>
      <c r="AB74" s="6"/>
      <c r="AC74" s="6"/>
      <c r="AD74" s="6"/>
      <c r="AE74" s="6"/>
      <c r="AF74" s="6"/>
      <c r="AG74" s="6"/>
      <c r="AH74" s="6"/>
    </row>
    <row r="75" spans="1:34">
      <c r="A75" s="6" t="str">
        <f>'2_Costos_fijos'!A75</f>
        <v>T059</v>
      </c>
      <c r="B75" s="11">
        <v>12.24</v>
      </c>
      <c r="C75" s="39">
        <f>'2_Costos_fijos'!B75</f>
        <v>4.2499999999999998E-4</v>
      </c>
      <c r="D75" s="6">
        <f>'2_Costos_fijos'!C75</f>
        <v>0</v>
      </c>
      <c r="E75" s="11">
        <f t="shared" si="38"/>
        <v>5</v>
      </c>
      <c r="F75" s="11">
        <f t="shared" si="38"/>
        <v>5</v>
      </c>
      <c r="G75" s="11">
        <f t="shared" si="26"/>
        <v>12.24</v>
      </c>
      <c r="H75" s="11">
        <f t="shared" si="27"/>
        <v>0</v>
      </c>
      <c r="I75" s="11">
        <f t="shared" si="28"/>
        <v>5</v>
      </c>
      <c r="J75" s="11">
        <f t="shared" si="29"/>
        <v>5.202E-3</v>
      </c>
      <c r="K75" s="10">
        <f t="shared" si="30"/>
        <v>0.40849673202614378</v>
      </c>
      <c r="L75" s="6">
        <f t="shared" si="31"/>
        <v>0</v>
      </c>
      <c r="M75" s="11">
        <f t="shared" si="32"/>
        <v>0</v>
      </c>
      <c r="N75" s="6">
        <f t="shared" si="33"/>
        <v>0</v>
      </c>
      <c r="O75" s="11">
        <f t="shared" si="34"/>
        <v>0</v>
      </c>
      <c r="P75" s="6">
        <f t="shared" si="35"/>
        <v>0</v>
      </c>
      <c r="Q75" s="11">
        <f t="shared" si="36"/>
        <v>0</v>
      </c>
      <c r="R75" s="6" t="str">
        <f t="shared" si="37"/>
        <v>TN</v>
      </c>
      <c r="S75" s="6"/>
      <c r="T75" s="10">
        <f t="shared" si="44"/>
        <v>0.3500000000000002</v>
      </c>
      <c r="U75" s="11">
        <f t="shared" si="39"/>
        <v>1500</v>
      </c>
      <c r="V75" s="9">
        <f t="shared" si="40"/>
        <v>0</v>
      </c>
      <c r="W75" s="9">
        <f t="shared" si="41"/>
        <v>0</v>
      </c>
      <c r="X75" s="9">
        <f t="shared" si="42"/>
        <v>1</v>
      </c>
      <c r="Y75" s="9">
        <f t="shared" si="43"/>
        <v>99</v>
      </c>
      <c r="Z75" s="6"/>
      <c r="AA75" s="6"/>
      <c r="AB75" s="6"/>
      <c r="AC75" s="6"/>
      <c r="AD75" s="6"/>
      <c r="AE75" s="6"/>
      <c r="AF75" s="6"/>
      <c r="AG75" s="6"/>
      <c r="AH75" s="6"/>
    </row>
    <row r="76" spans="1:34">
      <c r="A76" s="6" t="str">
        <f>'2_Costos_fijos'!A76</f>
        <v>T060</v>
      </c>
      <c r="B76" s="11">
        <v>23.15</v>
      </c>
      <c r="C76" s="39">
        <f>'2_Costos_fijos'!B76</f>
        <v>6.313E-3</v>
      </c>
      <c r="D76" s="6">
        <f>'2_Costos_fijos'!C76</f>
        <v>0</v>
      </c>
      <c r="E76" s="11">
        <f t="shared" si="38"/>
        <v>5</v>
      </c>
      <c r="F76" s="11">
        <f t="shared" si="38"/>
        <v>5</v>
      </c>
      <c r="G76" s="11">
        <f t="shared" si="26"/>
        <v>23.15</v>
      </c>
      <c r="H76" s="11">
        <f t="shared" si="27"/>
        <v>0</v>
      </c>
      <c r="I76" s="11">
        <f t="shared" si="28"/>
        <v>4.9999999999999991</v>
      </c>
      <c r="J76" s="11">
        <f t="shared" si="29"/>
        <v>0.14614595</v>
      </c>
      <c r="K76" s="10">
        <f t="shared" si="30"/>
        <v>0.21598272138228944</v>
      </c>
      <c r="L76" s="6">
        <f t="shared" si="31"/>
        <v>0</v>
      </c>
      <c r="M76" s="11">
        <f t="shared" si="32"/>
        <v>0</v>
      </c>
      <c r="N76" s="6">
        <f t="shared" si="33"/>
        <v>0</v>
      </c>
      <c r="O76" s="11">
        <f t="shared" si="34"/>
        <v>0</v>
      </c>
      <c r="P76" s="6">
        <f t="shared" si="35"/>
        <v>0</v>
      </c>
      <c r="Q76" s="11">
        <f t="shared" si="36"/>
        <v>0</v>
      </c>
      <c r="R76" s="6" t="str">
        <f t="shared" si="37"/>
        <v>TN</v>
      </c>
      <c r="S76" s="6"/>
      <c r="T76" s="10">
        <f t="shared" si="44"/>
        <v>0.3550000000000002</v>
      </c>
      <c r="U76" s="11">
        <f t="shared" si="39"/>
        <v>1500</v>
      </c>
      <c r="V76" s="9">
        <f t="shared" si="40"/>
        <v>0</v>
      </c>
      <c r="W76" s="9">
        <f t="shared" si="41"/>
        <v>0</v>
      </c>
      <c r="X76" s="9">
        <f t="shared" si="42"/>
        <v>1</v>
      </c>
      <c r="Y76" s="9">
        <f t="shared" si="43"/>
        <v>99</v>
      </c>
      <c r="Z76" s="6"/>
      <c r="AA76" s="6"/>
      <c r="AB76" s="6"/>
      <c r="AC76" s="6"/>
      <c r="AD76" s="6"/>
      <c r="AE76" s="6"/>
      <c r="AF76" s="6"/>
      <c r="AG76" s="6"/>
      <c r="AH76" s="6"/>
    </row>
    <row r="77" spans="1:34">
      <c r="A77" s="6" t="str">
        <f>'2_Costos_fijos'!A77</f>
        <v>T061</v>
      </c>
      <c r="B77" s="11">
        <v>51.16</v>
      </c>
      <c r="C77" s="39">
        <f>'2_Costos_fijos'!B77</f>
        <v>1.05E-4</v>
      </c>
      <c r="D77" s="6">
        <f>'2_Costos_fijos'!C77</f>
        <v>0</v>
      </c>
      <c r="E77" s="11">
        <f t="shared" ref="E77:F96" si="45">$B$5</f>
        <v>5</v>
      </c>
      <c r="F77" s="11">
        <f t="shared" si="45"/>
        <v>5</v>
      </c>
      <c r="G77" s="11">
        <f t="shared" si="26"/>
        <v>51.16</v>
      </c>
      <c r="H77" s="11">
        <f t="shared" si="27"/>
        <v>0</v>
      </c>
      <c r="I77" s="11">
        <f t="shared" si="28"/>
        <v>5</v>
      </c>
      <c r="J77" s="11">
        <f t="shared" si="29"/>
        <v>5.3717999999999995E-3</v>
      </c>
      <c r="K77" s="10">
        <f t="shared" si="30"/>
        <v>9.7732603596559817E-2</v>
      </c>
      <c r="L77" s="6">
        <f t="shared" si="31"/>
        <v>0</v>
      </c>
      <c r="M77" s="11">
        <f t="shared" si="32"/>
        <v>0</v>
      </c>
      <c r="N77" s="6">
        <f t="shared" si="33"/>
        <v>0</v>
      </c>
      <c r="O77" s="11">
        <f t="shared" si="34"/>
        <v>0</v>
      </c>
      <c r="P77" s="6">
        <f t="shared" si="35"/>
        <v>0</v>
      </c>
      <c r="Q77" s="11">
        <f t="shared" si="36"/>
        <v>0</v>
      </c>
      <c r="R77" s="6" t="str">
        <f t="shared" si="37"/>
        <v>TN</v>
      </c>
      <c r="S77" s="6"/>
      <c r="T77" s="10">
        <f t="shared" si="44"/>
        <v>0.36000000000000021</v>
      </c>
      <c r="U77" s="11">
        <f t="shared" si="39"/>
        <v>1500</v>
      </c>
      <c r="V77" s="9">
        <f t="shared" si="40"/>
        <v>0</v>
      </c>
      <c r="W77" s="9">
        <f t="shared" si="41"/>
        <v>0</v>
      </c>
      <c r="X77" s="9">
        <f t="shared" si="42"/>
        <v>1</v>
      </c>
      <c r="Y77" s="9">
        <f t="shared" si="43"/>
        <v>99</v>
      </c>
      <c r="Z77" s="6"/>
      <c r="AA77" s="6"/>
      <c r="AB77" s="6"/>
      <c r="AC77" s="6"/>
      <c r="AD77" s="6"/>
      <c r="AE77" s="6"/>
      <c r="AF77" s="6"/>
      <c r="AG77" s="6"/>
      <c r="AH77" s="6"/>
    </row>
    <row r="78" spans="1:34">
      <c r="A78" s="6" t="str">
        <f>'2_Costos_fijos'!A78</f>
        <v>T062</v>
      </c>
      <c r="B78" s="11">
        <v>513.76</v>
      </c>
      <c r="C78" s="39">
        <f>'2_Costos_fijos'!B78</f>
        <v>1.049E-3</v>
      </c>
      <c r="D78" s="6">
        <f>'2_Costos_fijos'!C78</f>
        <v>0</v>
      </c>
      <c r="E78" s="11">
        <f t="shared" si="45"/>
        <v>5</v>
      </c>
      <c r="F78" s="11">
        <f t="shared" si="45"/>
        <v>5</v>
      </c>
      <c r="G78" s="11">
        <f t="shared" si="26"/>
        <v>513.76</v>
      </c>
      <c r="H78" s="11">
        <f t="shared" si="27"/>
        <v>0</v>
      </c>
      <c r="I78" s="11">
        <f t="shared" si="28"/>
        <v>5.0000000000000009</v>
      </c>
      <c r="J78" s="11">
        <f t="shared" si="29"/>
        <v>0.53893424000000001</v>
      </c>
      <c r="K78" s="10">
        <f t="shared" si="30"/>
        <v>9.7321706633447524E-3</v>
      </c>
      <c r="L78" s="6">
        <f t="shared" si="31"/>
        <v>0</v>
      </c>
      <c r="M78" s="11">
        <f t="shared" si="32"/>
        <v>0</v>
      </c>
      <c r="N78" s="6">
        <f t="shared" si="33"/>
        <v>0</v>
      </c>
      <c r="O78" s="11">
        <f t="shared" si="34"/>
        <v>0</v>
      </c>
      <c r="P78" s="6">
        <f t="shared" si="35"/>
        <v>0</v>
      </c>
      <c r="Q78" s="11">
        <f t="shared" si="36"/>
        <v>0</v>
      </c>
      <c r="R78" s="6" t="str">
        <f t="shared" si="37"/>
        <v>TN</v>
      </c>
      <c r="S78" s="6"/>
      <c r="T78" s="10">
        <f t="shared" si="44"/>
        <v>0.36500000000000021</v>
      </c>
      <c r="U78" s="11">
        <f t="shared" si="39"/>
        <v>1500</v>
      </c>
      <c r="V78" s="9">
        <f t="shared" si="40"/>
        <v>0</v>
      </c>
      <c r="W78" s="9">
        <f t="shared" si="41"/>
        <v>0</v>
      </c>
      <c r="X78" s="9">
        <f t="shared" si="42"/>
        <v>1</v>
      </c>
      <c r="Y78" s="9">
        <f t="shared" si="43"/>
        <v>99</v>
      </c>
      <c r="Z78" s="6"/>
      <c r="AA78" s="6"/>
      <c r="AB78" s="6"/>
      <c r="AC78" s="6"/>
      <c r="AD78" s="6"/>
      <c r="AE78" s="6"/>
      <c r="AF78" s="6"/>
      <c r="AG78" s="6"/>
      <c r="AH78" s="6"/>
    </row>
    <row r="79" spans="1:34">
      <c r="A79" s="6" t="str">
        <f>'2_Costos_fijos'!A79</f>
        <v>T063</v>
      </c>
      <c r="B79" s="11">
        <v>72.41</v>
      </c>
      <c r="C79" s="39">
        <f>'2_Costos_fijos'!B79</f>
        <v>1.1676000000000001E-2</v>
      </c>
      <c r="D79" s="6">
        <f>'2_Costos_fijos'!C79</f>
        <v>0</v>
      </c>
      <c r="E79" s="11">
        <f t="shared" si="45"/>
        <v>5</v>
      </c>
      <c r="F79" s="11">
        <f t="shared" si="45"/>
        <v>5</v>
      </c>
      <c r="G79" s="11">
        <f t="shared" si="26"/>
        <v>72.41</v>
      </c>
      <c r="H79" s="11">
        <f t="shared" si="27"/>
        <v>0</v>
      </c>
      <c r="I79" s="11">
        <f t="shared" si="28"/>
        <v>5</v>
      </c>
      <c r="J79" s="11">
        <f t="shared" si="29"/>
        <v>0.84545915999999999</v>
      </c>
      <c r="K79" s="10">
        <f t="shared" si="30"/>
        <v>6.9051236017124706E-2</v>
      </c>
      <c r="L79" s="6">
        <f t="shared" si="31"/>
        <v>0</v>
      </c>
      <c r="M79" s="11">
        <f t="shared" si="32"/>
        <v>0</v>
      </c>
      <c r="N79" s="6">
        <f t="shared" si="33"/>
        <v>0</v>
      </c>
      <c r="O79" s="11">
        <f t="shared" si="34"/>
        <v>0</v>
      </c>
      <c r="P79" s="6">
        <f t="shared" si="35"/>
        <v>1</v>
      </c>
      <c r="Q79" s="11">
        <f t="shared" si="36"/>
        <v>5</v>
      </c>
      <c r="R79" s="6" t="str">
        <f t="shared" si="37"/>
        <v>TN</v>
      </c>
      <c r="S79" s="6"/>
      <c r="T79" s="10">
        <f t="shared" si="44"/>
        <v>0.37000000000000022</v>
      </c>
      <c r="U79" s="11">
        <f t="shared" si="39"/>
        <v>1500</v>
      </c>
      <c r="V79" s="9">
        <f t="shared" si="40"/>
        <v>0</v>
      </c>
      <c r="W79" s="9">
        <f t="shared" si="41"/>
        <v>0</v>
      </c>
      <c r="X79" s="9">
        <f t="shared" si="42"/>
        <v>1</v>
      </c>
      <c r="Y79" s="9">
        <f t="shared" si="43"/>
        <v>99</v>
      </c>
      <c r="Z79" s="6"/>
      <c r="AA79" s="6"/>
      <c r="AB79" s="6"/>
      <c r="AC79" s="6"/>
      <c r="AD79" s="6"/>
      <c r="AE79" s="6"/>
      <c r="AF79" s="6"/>
      <c r="AG79" s="6"/>
      <c r="AH79" s="6"/>
    </row>
    <row r="80" spans="1:34">
      <c r="A80" s="6" t="str">
        <f>'2_Costos_fijos'!A80</f>
        <v>T064</v>
      </c>
      <c r="B80" s="11">
        <v>172.71</v>
      </c>
      <c r="C80" s="39">
        <f>'2_Costos_fijos'!B80</f>
        <v>1.45E-4</v>
      </c>
      <c r="D80" s="6">
        <f>'2_Costos_fijos'!C80</f>
        <v>0</v>
      </c>
      <c r="E80" s="11">
        <f t="shared" si="45"/>
        <v>5</v>
      </c>
      <c r="F80" s="11">
        <f t="shared" si="45"/>
        <v>5</v>
      </c>
      <c r="G80" s="11">
        <f t="shared" si="26"/>
        <v>172.71</v>
      </c>
      <c r="H80" s="11">
        <f t="shared" si="27"/>
        <v>0</v>
      </c>
      <c r="I80" s="11">
        <f t="shared" si="28"/>
        <v>5</v>
      </c>
      <c r="J80" s="11">
        <f t="shared" si="29"/>
        <v>2.5042950000000001E-2</v>
      </c>
      <c r="K80" s="10">
        <f t="shared" si="30"/>
        <v>2.895026344739737E-2</v>
      </c>
      <c r="L80" s="6">
        <f t="shared" si="31"/>
        <v>0</v>
      </c>
      <c r="M80" s="11">
        <f t="shared" si="32"/>
        <v>0</v>
      </c>
      <c r="N80" s="6">
        <f t="shared" si="33"/>
        <v>0</v>
      </c>
      <c r="O80" s="11">
        <f t="shared" si="34"/>
        <v>0</v>
      </c>
      <c r="P80" s="6">
        <f t="shared" si="35"/>
        <v>0</v>
      </c>
      <c r="Q80" s="11">
        <f t="shared" si="36"/>
        <v>0</v>
      </c>
      <c r="R80" s="6" t="str">
        <f t="shared" si="37"/>
        <v>TN</v>
      </c>
      <c r="S80" s="6"/>
      <c r="T80" s="10">
        <f t="shared" si="44"/>
        <v>0.37500000000000022</v>
      </c>
      <c r="U80" s="11">
        <f t="shared" si="39"/>
        <v>1500</v>
      </c>
      <c r="V80" s="9">
        <f t="shared" si="40"/>
        <v>0</v>
      </c>
      <c r="W80" s="9">
        <f t="shared" si="41"/>
        <v>0</v>
      </c>
      <c r="X80" s="9">
        <f t="shared" si="42"/>
        <v>1</v>
      </c>
      <c r="Y80" s="9">
        <f t="shared" si="43"/>
        <v>99</v>
      </c>
      <c r="Z80" s="6"/>
      <c r="AA80" s="6"/>
      <c r="AB80" s="6"/>
      <c r="AC80" s="6"/>
      <c r="AD80" s="6"/>
      <c r="AE80" s="6"/>
      <c r="AF80" s="6"/>
      <c r="AG80" s="6"/>
      <c r="AH80" s="6"/>
    </row>
    <row r="81" spans="1:34">
      <c r="A81" s="6" t="str">
        <f>'2_Costos_fijos'!A81</f>
        <v>T065</v>
      </c>
      <c r="B81" s="11">
        <v>26.7</v>
      </c>
      <c r="C81" s="39">
        <f>'2_Costos_fijos'!B81</f>
        <v>2.3930000000000002E-3</v>
      </c>
      <c r="D81" s="6">
        <f>'2_Costos_fijos'!C81</f>
        <v>0</v>
      </c>
      <c r="E81" s="11">
        <f t="shared" si="45"/>
        <v>5</v>
      </c>
      <c r="F81" s="11">
        <f t="shared" si="45"/>
        <v>5</v>
      </c>
      <c r="G81" s="11">
        <f t="shared" ref="G81:G116" si="46">B81*$B$6</f>
        <v>26.7</v>
      </c>
      <c r="H81" s="11">
        <f t="shared" ref="H81:H116" si="47">$B$7</f>
        <v>0</v>
      </c>
      <c r="I81" s="11">
        <f t="shared" ref="I81:I116" si="48">C81*E81+(1-C81)*F81</f>
        <v>5</v>
      </c>
      <c r="J81" s="11">
        <f t="shared" ref="J81:J116" si="49">C81*G81+(1-C81)*H81</f>
        <v>6.3893100000000008E-2</v>
      </c>
      <c r="K81" s="10">
        <f t="shared" ref="K81:K116" si="50">IF((F81-H81)+(G81-E81)&lt;=0,1,MIN(1,MAX(0,(F81-H81)/((F81-H81)+(G81-E81)))))</f>
        <v>0.18726591760299627</v>
      </c>
      <c r="L81" s="6">
        <f t="shared" ref="L81:L116" si="51">--(I81&lt;=J81)</f>
        <v>0</v>
      </c>
      <c r="M81" s="11">
        <f t="shared" ref="M81:M112" si="52">IF(D81=1,IF(L81=1,E81,G81),IF(L81=1,F81,H81))</f>
        <v>0</v>
      </c>
      <c r="N81" s="6">
        <f t="shared" ref="N81:N116" si="53">--(C81&gt;=$B$8)</f>
        <v>0</v>
      </c>
      <c r="O81" s="11">
        <f t="shared" ref="O81:O112" si="54">IF(D81=1,IF(N81=1,E81,G81),IF(N81=1,F81,H81))</f>
        <v>0</v>
      </c>
      <c r="P81" s="6">
        <f t="shared" ref="P81:P116" si="55">--(C81&gt;=$B$10)</f>
        <v>0</v>
      </c>
      <c r="Q81" s="11">
        <f t="shared" ref="Q81:Q112" si="56">IF(D81=1,IF(P81=1,E81,G81),IF(P81=1,F81,H81))</f>
        <v>0</v>
      </c>
      <c r="R81" s="6" t="str">
        <f t="shared" ref="R81:R116" si="57">IF(D81=1,IF(L81=1,"TP","FN"),IF(L81=1,"FP","TN"))</f>
        <v>TN</v>
      </c>
      <c r="S81" s="6"/>
      <c r="T81" s="10">
        <f t="shared" si="44"/>
        <v>0.38000000000000023</v>
      </c>
      <c r="U81" s="11">
        <f t="shared" si="39"/>
        <v>1500</v>
      </c>
      <c r="V81" s="9">
        <f t="shared" si="40"/>
        <v>0</v>
      </c>
      <c r="W81" s="9">
        <f t="shared" si="41"/>
        <v>0</v>
      </c>
      <c r="X81" s="9">
        <f t="shared" si="42"/>
        <v>1</v>
      </c>
      <c r="Y81" s="9">
        <f t="shared" si="43"/>
        <v>99</v>
      </c>
      <c r="Z81" s="6"/>
      <c r="AA81" s="6"/>
      <c r="AB81" s="6"/>
      <c r="AC81" s="6"/>
      <c r="AD81" s="6"/>
      <c r="AE81" s="6"/>
      <c r="AF81" s="6"/>
      <c r="AG81" s="6"/>
      <c r="AH81" s="6"/>
    </row>
    <row r="82" spans="1:34">
      <c r="A82" s="6" t="str">
        <f>'2_Costos_fijos'!A82</f>
        <v>T066</v>
      </c>
      <c r="B82" s="11">
        <v>70.39</v>
      </c>
      <c r="C82" s="39">
        <f>'2_Costos_fijos'!B82</f>
        <v>1E-4</v>
      </c>
      <c r="D82" s="6">
        <f>'2_Costos_fijos'!C82</f>
        <v>0</v>
      </c>
      <c r="E82" s="11">
        <f t="shared" si="45"/>
        <v>5</v>
      </c>
      <c r="F82" s="11">
        <f t="shared" si="45"/>
        <v>5</v>
      </c>
      <c r="G82" s="11">
        <f t="shared" si="46"/>
        <v>70.39</v>
      </c>
      <c r="H82" s="11">
        <f t="shared" si="47"/>
        <v>0</v>
      </c>
      <c r="I82" s="11">
        <f t="shared" si="48"/>
        <v>5</v>
      </c>
      <c r="J82" s="11">
        <f t="shared" si="49"/>
        <v>7.0390000000000001E-3</v>
      </c>
      <c r="K82" s="10">
        <f t="shared" si="50"/>
        <v>7.1032817161528622E-2</v>
      </c>
      <c r="L82" s="6">
        <f t="shared" si="51"/>
        <v>0</v>
      </c>
      <c r="M82" s="11">
        <f t="shared" si="52"/>
        <v>0</v>
      </c>
      <c r="N82" s="6">
        <f t="shared" si="53"/>
        <v>0</v>
      </c>
      <c r="O82" s="11">
        <f t="shared" si="54"/>
        <v>0</v>
      </c>
      <c r="P82" s="6">
        <f t="shared" si="55"/>
        <v>0</v>
      </c>
      <c r="Q82" s="11">
        <f t="shared" si="56"/>
        <v>0</v>
      </c>
      <c r="R82" s="6" t="str">
        <f t="shared" si="57"/>
        <v>TN</v>
      </c>
      <c r="S82" s="6"/>
      <c r="T82" s="10">
        <f t="shared" si="44"/>
        <v>0.38500000000000023</v>
      </c>
      <c r="U82" s="11">
        <f t="shared" si="39"/>
        <v>1500</v>
      </c>
      <c r="V82" s="9">
        <f t="shared" si="40"/>
        <v>0</v>
      </c>
      <c r="W82" s="9">
        <f t="shared" si="41"/>
        <v>0</v>
      </c>
      <c r="X82" s="9">
        <f t="shared" si="42"/>
        <v>1</v>
      </c>
      <c r="Y82" s="9">
        <f t="shared" si="43"/>
        <v>99</v>
      </c>
      <c r="Z82" s="6"/>
      <c r="AA82" s="6"/>
      <c r="AB82" s="6"/>
      <c r="AC82" s="6"/>
      <c r="AD82" s="6"/>
      <c r="AE82" s="6"/>
      <c r="AF82" s="6"/>
      <c r="AG82" s="6"/>
      <c r="AH82" s="6"/>
    </row>
    <row r="83" spans="1:34">
      <c r="A83" s="6" t="str">
        <f>'2_Costos_fijos'!A83</f>
        <v>T067</v>
      </c>
      <c r="B83" s="11">
        <v>299.81</v>
      </c>
      <c r="C83" s="39">
        <f>'2_Costos_fijos'!B83</f>
        <v>3.0600000000000001E-4</v>
      </c>
      <c r="D83" s="6">
        <f>'2_Costos_fijos'!C83</f>
        <v>0</v>
      </c>
      <c r="E83" s="11">
        <f t="shared" si="45"/>
        <v>5</v>
      </c>
      <c r="F83" s="11">
        <f t="shared" si="45"/>
        <v>5</v>
      </c>
      <c r="G83" s="11">
        <f t="shared" si="46"/>
        <v>299.81</v>
      </c>
      <c r="H83" s="11">
        <f t="shared" si="47"/>
        <v>0</v>
      </c>
      <c r="I83" s="11">
        <f t="shared" si="48"/>
        <v>5</v>
      </c>
      <c r="J83" s="11">
        <f t="shared" si="49"/>
        <v>9.1741860000000008E-2</v>
      </c>
      <c r="K83" s="10">
        <f t="shared" si="50"/>
        <v>1.667722891164404E-2</v>
      </c>
      <c r="L83" s="6">
        <f t="shared" si="51"/>
        <v>0</v>
      </c>
      <c r="M83" s="11">
        <f t="shared" si="52"/>
        <v>0</v>
      </c>
      <c r="N83" s="6">
        <f t="shared" si="53"/>
        <v>0</v>
      </c>
      <c r="O83" s="11">
        <f t="shared" si="54"/>
        <v>0</v>
      </c>
      <c r="P83" s="6">
        <f t="shared" si="55"/>
        <v>0</v>
      </c>
      <c r="Q83" s="11">
        <f t="shared" si="56"/>
        <v>0</v>
      </c>
      <c r="R83" s="6" t="str">
        <f t="shared" si="57"/>
        <v>TN</v>
      </c>
      <c r="S83" s="6"/>
      <c r="T83" s="10">
        <f t="shared" si="44"/>
        <v>0.39000000000000024</v>
      </c>
      <c r="U83" s="11">
        <f t="shared" si="39"/>
        <v>1500</v>
      </c>
      <c r="V83" s="9">
        <f t="shared" si="40"/>
        <v>0</v>
      </c>
      <c r="W83" s="9">
        <f t="shared" si="41"/>
        <v>0</v>
      </c>
      <c r="X83" s="9">
        <f t="shared" si="42"/>
        <v>1</v>
      </c>
      <c r="Y83" s="9">
        <f t="shared" si="43"/>
        <v>99</v>
      </c>
      <c r="Z83" s="6"/>
      <c r="AA83" s="6"/>
      <c r="AB83" s="6"/>
      <c r="AC83" s="6"/>
      <c r="AD83" s="6"/>
      <c r="AE83" s="6"/>
      <c r="AF83" s="6"/>
      <c r="AG83" s="6"/>
      <c r="AH83" s="6"/>
    </row>
    <row r="84" spans="1:34">
      <c r="A84" s="6" t="str">
        <f>'2_Costos_fijos'!A84</f>
        <v>T068</v>
      </c>
      <c r="B84" s="11">
        <v>69.91</v>
      </c>
      <c r="C84" s="39">
        <f>'2_Costos_fijos'!B84</f>
        <v>4.9529999999999999E-3</v>
      </c>
      <c r="D84" s="6">
        <f>'2_Costos_fijos'!C84</f>
        <v>0</v>
      </c>
      <c r="E84" s="11">
        <f t="shared" si="45"/>
        <v>5</v>
      </c>
      <c r="F84" s="11">
        <f t="shared" si="45"/>
        <v>5</v>
      </c>
      <c r="G84" s="11">
        <f t="shared" si="46"/>
        <v>69.91</v>
      </c>
      <c r="H84" s="11">
        <f t="shared" si="47"/>
        <v>0</v>
      </c>
      <c r="I84" s="11">
        <f t="shared" si="48"/>
        <v>5</v>
      </c>
      <c r="J84" s="11">
        <f t="shared" si="49"/>
        <v>0.34626423000000001</v>
      </c>
      <c r="K84" s="10">
        <f t="shared" si="50"/>
        <v>7.1520526391074243E-2</v>
      </c>
      <c r="L84" s="6">
        <f t="shared" si="51"/>
        <v>0</v>
      </c>
      <c r="M84" s="11">
        <f t="shared" si="52"/>
        <v>0</v>
      </c>
      <c r="N84" s="6">
        <f t="shared" si="53"/>
        <v>0</v>
      </c>
      <c r="O84" s="11">
        <f t="shared" si="54"/>
        <v>0</v>
      </c>
      <c r="P84" s="6">
        <f t="shared" si="55"/>
        <v>0</v>
      </c>
      <c r="Q84" s="11">
        <f t="shared" si="56"/>
        <v>0</v>
      </c>
      <c r="R84" s="6" t="str">
        <f t="shared" si="57"/>
        <v>TN</v>
      </c>
      <c r="S84" s="6"/>
      <c r="T84" s="10">
        <f t="shared" si="44"/>
        <v>0.39500000000000024</v>
      </c>
      <c r="U84" s="11">
        <f t="shared" si="39"/>
        <v>1500</v>
      </c>
      <c r="V84" s="9">
        <f t="shared" si="40"/>
        <v>0</v>
      </c>
      <c r="W84" s="9">
        <f t="shared" si="41"/>
        <v>0</v>
      </c>
      <c r="X84" s="9">
        <f t="shared" si="42"/>
        <v>1</v>
      </c>
      <c r="Y84" s="9">
        <f t="shared" si="43"/>
        <v>99</v>
      </c>
      <c r="Z84" s="6"/>
      <c r="AA84" s="6"/>
      <c r="AB84" s="6"/>
      <c r="AC84" s="6"/>
      <c r="AD84" s="6"/>
      <c r="AE84" s="6"/>
      <c r="AF84" s="6"/>
      <c r="AG84" s="6"/>
      <c r="AH84" s="6"/>
    </row>
    <row r="85" spans="1:34">
      <c r="A85" s="6" t="str">
        <f>'2_Costos_fijos'!A85</f>
        <v>T069</v>
      </c>
      <c r="B85" s="11">
        <v>205.57</v>
      </c>
      <c r="C85" s="39">
        <f>'2_Costos_fijos'!B85</f>
        <v>1.7999999999999999E-2</v>
      </c>
      <c r="D85" s="6">
        <f>'2_Costos_fijos'!C85</f>
        <v>0</v>
      </c>
      <c r="E85" s="11">
        <f t="shared" si="45"/>
        <v>5</v>
      </c>
      <c r="F85" s="11">
        <f t="shared" si="45"/>
        <v>5</v>
      </c>
      <c r="G85" s="11">
        <f t="shared" si="46"/>
        <v>205.57</v>
      </c>
      <c r="H85" s="11">
        <f t="shared" si="47"/>
        <v>0</v>
      </c>
      <c r="I85" s="11">
        <f t="shared" si="48"/>
        <v>5</v>
      </c>
      <c r="J85" s="11">
        <f t="shared" si="49"/>
        <v>3.7002599999999997</v>
      </c>
      <c r="K85" s="10">
        <f t="shared" si="50"/>
        <v>2.4322615167582818E-2</v>
      </c>
      <c r="L85" s="6">
        <f t="shared" si="51"/>
        <v>0</v>
      </c>
      <c r="M85" s="11">
        <f t="shared" si="52"/>
        <v>0</v>
      </c>
      <c r="N85" s="6">
        <f t="shared" si="53"/>
        <v>0</v>
      </c>
      <c r="O85" s="11">
        <f t="shared" si="54"/>
        <v>0</v>
      </c>
      <c r="P85" s="6">
        <f t="shared" si="55"/>
        <v>1</v>
      </c>
      <c r="Q85" s="11">
        <f t="shared" si="56"/>
        <v>5</v>
      </c>
      <c r="R85" s="6" t="str">
        <f t="shared" si="57"/>
        <v>TN</v>
      </c>
      <c r="S85" s="6"/>
      <c r="T85" s="10">
        <f t="shared" si="44"/>
        <v>0.40000000000000024</v>
      </c>
      <c r="U85" s="11">
        <f t="shared" si="39"/>
        <v>1500</v>
      </c>
      <c r="V85" s="9">
        <f t="shared" si="40"/>
        <v>0</v>
      </c>
      <c r="W85" s="9">
        <f t="shared" si="41"/>
        <v>0</v>
      </c>
      <c r="X85" s="9">
        <f t="shared" si="42"/>
        <v>1</v>
      </c>
      <c r="Y85" s="9">
        <f t="shared" si="43"/>
        <v>99</v>
      </c>
      <c r="Z85" s="6"/>
      <c r="AA85" s="6"/>
      <c r="AB85" s="6"/>
      <c r="AC85" s="6"/>
      <c r="AD85" s="6"/>
      <c r="AE85" s="6"/>
      <c r="AF85" s="6"/>
      <c r="AG85" s="6"/>
      <c r="AH85" s="6"/>
    </row>
    <row r="86" spans="1:34">
      <c r="A86" s="6" t="str">
        <f>'2_Costos_fijos'!A86</f>
        <v>T070</v>
      </c>
      <c r="B86" s="11">
        <v>34.33</v>
      </c>
      <c r="C86" s="39">
        <f>'2_Costos_fijos'!B86</f>
        <v>7.6000000000000004E-4</v>
      </c>
      <c r="D86" s="6">
        <f>'2_Costos_fijos'!C86</f>
        <v>0</v>
      </c>
      <c r="E86" s="11">
        <f t="shared" si="45"/>
        <v>5</v>
      </c>
      <c r="F86" s="11">
        <f t="shared" si="45"/>
        <v>5</v>
      </c>
      <c r="G86" s="11">
        <f t="shared" si="46"/>
        <v>34.33</v>
      </c>
      <c r="H86" s="11">
        <f t="shared" si="47"/>
        <v>0</v>
      </c>
      <c r="I86" s="11">
        <f t="shared" si="48"/>
        <v>5</v>
      </c>
      <c r="J86" s="11">
        <f t="shared" si="49"/>
        <v>2.6090800000000001E-2</v>
      </c>
      <c r="K86" s="10">
        <f t="shared" si="50"/>
        <v>0.14564520827264785</v>
      </c>
      <c r="L86" s="6">
        <f t="shared" si="51"/>
        <v>0</v>
      </c>
      <c r="M86" s="11">
        <f t="shared" si="52"/>
        <v>0</v>
      </c>
      <c r="N86" s="6">
        <f t="shared" si="53"/>
        <v>0</v>
      </c>
      <c r="O86" s="11">
        <f t="shared" si="54"/>
        <v>0</v>
      </c>
      <c r="P86" s="6">
        <f t="shared" si="55"/>
        <v>0</v>
      </c>
      <c r="Q86" s="11">
        <f t="shared" si="56"/>
        <v>0</v>
      </c>
      <c r="R86" s="6" t="str">
        <f t="shared" si="57"/>
        <v>TN</v>
      </c>
      <c r="S86" s="6"/>
      <c r="T86" s="10">
        <f t="shared" si="44"/>
        <v>0.40500000000000025</v>
      </c>
      <c r="U86" s="11">
        <f t="shared" si="39"/>
        <v>1500</v>
      </c>
      <c r="V86" s="9">
        <f t="shared" si="40"/>
        <v>0</v>
      </c>
      <c r="W86" s="9">
        <f t="shared" si="41"/>
        <v>0</v>
      </c>
      <c r="X86" s="9">
        <f t="shared" si="42"/>
        <v>1</v>
      </c>
      <c r="Y86" s="9">
        <f t="shared" si="43"/>
        <v>99</v>
      </c>
      <c r="Z86" s="6"/>
      <c r="AA86" s="6"/>
      <c r="AB86" s="6"/>
      <c r="AC86" s="6"/>
      <c r="AD86" s="6"/>
      <c r="AE86" s="6"/>
      <c r="AF86" s="6"/>
      <c r="AG86" s="6"/>
      <c r="AH86" s="6"/>
    </row>
    <row r="87" spans="1:34">
      <c r="A87" s="6" t="str">
        <f>'2_Costos_fijos'!A87</f>
        <v>T071</v>
      </c>
      <c r="B87" s="11">
        <v>74.760000000000005</v>
      </c>
      <c r="C87" s="39">
        <f>'2_Costos_fijos'!B87</f>
        <v>9.4140000000000005E-3</v>
      </c>
      <c r="D87" s="6">
        <f>'2_Costos_fijos'!C87</f>
        <v>0</v>
      </c>
      <c r="E87" s="11">
        <f t="shared" si="45"/>
        <v>5</v>
      </c>
      <c r="F87" s="11">
        <f t="shared" si="45"/>
        <v>5</v>
      </c>
      <c r="G87" s="11">
        <f t="shared" si="46"/>
        <v>74.760000000000005</v>
      </c>
      <c r="H87" s="11">
        <f t="shared" si="47"/>
        <v>0</v>
      </c>
      <c r="I87" s="11">
        <f t="shared" si="48"/>
        <v>5</v>
      </c>
      <c r="J87" s="11">
        <f t="shared" si="49"/>
        <v>0.70379064000000013</v>
      </c>
      <c r="K87" s="10">
        <f t="shared" si="50"/>
        <v>6.6880684858212941E-2</v>
      </c>
      <c r="L87" s="6">
        <f t="shared" si="51"/>
        <v>0</v>
      </c>
      <c r="M87" s="11">
        <f t="shared" si="52"/>
        <v>0</v>
      </c>
      <c r="N87" s="6">
        <f t="shared" si="53"/>
        <v>0</v>
      </c>
      <c r="O87" s="11">
        <f t="shared" si="54"/>
        <v>0</v>
      </c>
      <c r="P87" s="6">
        <f t="shared" si="55"/>
        <v>0</v>
      </c>
      <c r="Q87" s="11">
        <f t="shared" si="56"/>
        <v>0</v>
      </c>
      <c r="R87" s="6" t="str">
        <f t="shared" si="57"/>
        <v>TN</v>
      </c>
      <c r="S87" s="6"/>
      <c r="T87" s="10">
        <f t="shared" si="44"/>
        <v>0.41000000000000025</v>
      </c>
      <c r="U87" s="11">
        <f t="shared" si="39"/>
        <v>1500</v>
      </c>
      <c r="V87" s="9">
        <f t="shared" si="40"/>
        <v>0</v>
      </c>
      <c r="W87" s="9">
        <f t="shared" si="41"/>
        <v>0</v>
      </c>
      <c r="X87" s="9">
        <f t="shared" si="42"/>
        <v>1</v>
      </c>
      <c r="Y87" s="9">
        <f t="shared" si="43"/>
        <v>99</v>
      </c>
      <c r="Z87" s="6"/>
      <c r="AA87" s="6"/>
      <c r="AB87" s="6"/>
      <c r="AC87" s="6"/>
      <c r="AD87" s="6"/>
      <c r="AE87" s="6"/>
      <c r="AF87" s="6"/>
      <c r="AG87" s="6"/>
      <c r="AH87" s="6"/>
    </row>
    <row r="88" spans="1:34">
      <c r="A88" s="6" t="str">
        <f>'2_Costos_fijos'!A88</f>
        <v>T072</v>
      </c>
      <c r="B88" s="11">
        <v>44.54</v>
      </c>
      <c r="C88" s="39">
        <f>'2_Costos_fijos'!B88</f>
        <v>1.2300000000000001E-4</v>
      </c>
      <c r="D88" s="6">
        <f>'2_Costos_fijos'!C88</f>
        <v>0</v>
      </c>
      <c r="E88" s="11">
        <f t="shared" si="45"/>
        <v>5</v>
      </c>
      <c r="F88" s="11">
        <f t="shared" si="45"/>
        <v>5</v>
      </c>
      <c r="G88" s="11">
        <f t="shared" si="46"/>
        <v>44.54</v>
      </c>
      <c r="H88" s="11">
        <f t="shared" si="47"/>
        <v>0</v>
      </c>
      <c r="I88" s="11">
        <f t="shared" si="48"/>
        <v>5</v>
      </c>
      <c r="J88" s="11">
        <f t="shared" si="49"/>
        <v>5.4784200000000003E-3</v>
      </c>
      <c r="K88" s="10">
        <f t="shared" si="50"/>
        <v>0.1122586439155815</v>
      </c>
      <c r="L88" s="6">
        <f t="shared" si="51"/>
        <v>0</v>
      </c>
      <c r="M88" s="11">
        <f t="shared" si="52"/>
        <v>0</v>
      </c>
      <c r="N88" s="6">
        <f t="shared" si="53"/>
        <v>0</v>
      </c>
      <c r="O88" s="11">
        <f t="shared" si="54"/>
        <v>0</v>
      </c>
      <c r="P88" s="6">
        <f t="shared" si="55"/>
        <v>0</v>
      </c>
      <c r="Q88" s="11">
        <f t="shared" si="56"/>
        <v>0</v>
      </c>
      <c r="R88" s="6" t="str">
        <f t="shared" si="57"/>
        <v>TN</v>
      </c>
      <c r="S88" s="6"/>
      <c r="T88" s="10">
        <f t="shared" si="44"/>
        <v>0.41500000000000026</v>
      </c>
      <c r="U88" s="11">
        <f t="shared" si="39"/>
        <v>1500</v>
      </c>
      <c r="V88" s="9">
        <f t="shared" si="40"/>
        <v>0</v>
      </c>
      <c r="W88" s="9">
        <f t="shared" si="41"/>
        <v>0</v>
      </c>
      <c r="X88" s="9">
        <f t="shared" si="42"/>
        <v>1</v>
      </c>
      <c r="Y88" s="9">
        <f t="shared" si="43"/>
        <v>99</v>
      </c>
      <c r="Z88" s="6"/>
      <c r="AA88" s="6"/>
      <c r="AB88" s="6"/>
      <c r="AC88" s="6"/>
      <c r="AD88" s="6"/>
      <c r="AE88" s="6"/>
      <c r="AF88" s="6"/>
      <c r="AG88" s="6"/>
      <c r="AH88" s="6"/>
    </row>
    <row r="89" spans="1:34">
      <c r="A89" s="6" t="str">
        <f>'2_Costos_fijos'!A89</f>
        <v>T073</v>
      </c>
      <c r="B89" s="11">
        <v>98.59</v>
      </c>
      <c r="C89" s="39">
        <f>'2_Costos_fijos'!B89</f>
        <v>1.794E-3</v>
      </c>
      <c r="D89" s="6">
        <f>'2_Costos_fijos'!C89</f>
        <v>0</v>
      </c>
      <c r="E89" s="11">
        <f t="shared" si="45"/>
        <v>5</v>
      </c>
      <c r="F89" s="11">
        <f t="shared" si="45"/>
        <v>5</v>
      </c>
      <c r="G89" s="11">
        <f t="shared" si="46"/>
        <v>98.59</v>
      </c>
      <c r="H89" s="11">
        <f t="shared" si="47"/>
        <v>0</v>
      </c>
      <c r="I89" s="11">
        <f t="shared" si="48"/>
        <v>5</v>
      </c>
      <c r="J89" s="11">
        <f t="shared" si="49"/>
        <v>0.17687046000000001</v>
      </c>
      <c r="K89" s="10">
        <f t="shared" si="50"/>
        <v>5.0715082665584742E-2</v>
      </c>
      <c r="L89" s="6">
        <f t="shared" si="51"/>
        <v>0</v>
      </c>
      <c r="M89" s="11">
        <f t="shared" si="52"/>
        <v>0</v>
      </c>
      <c r="N89" s="6">
        <f t="shared" si="53"/>
        <v>0</v>
      </c>
      <c r="O89" s="11">
        <f t="shared" si="54"/>
        <v>0</v>
      </c>
      <c r="P89" s="6">
        <f t="shared" si="55"/>
        <v>0</v>
      </c>
      <c r="Q89" s="11">
        <f t="shared" si="56"/>
        <v>0</v>
      </c>
      <c r="R89" s="6" t="str">
        <f t="shared" si="57"/>
        <v>TN</v>
      </c>
      <c r="S89" s="6"/>
      <c r="T89" s="10">
        <f t="shared" si="44"/>
        <v>0.42000000000000026</v>
      </c>
      <c r="U89" s="11">
        <f t="shared" si="39"/>
        <v>1500</v>
      </c>
      <c r="V89" s="9">
        <f t="shared" si="40"/>
        <v>0</v>
      </c>
      <c r="W89" s="9">
        <f t="shared" si="41"/>
        <v>0</v>
      </c>
      <c r="X89" s="9">
        <f t="shared" si="42"/>
        <v>1</v>
      </c>
      <c r="Y89" s="9">
        <f t="shared" si="43"/>
        <v>99</v>
      </c>
      <c r="Z89" s="6"/>
      <c r="AA89" s="6"/>
      <c r="AB89" s="6"/>
      <c r="AC89" s="6"/>
      <c r="AD89" s="6"/>
      <c r="AE89" s="6"/>
      <c r="AF89" s="6"/>
      <c r="AG89" s="6"/>
      <c r="AH89" s="6"/>
    </row>
    <row r="90" spans="1:34">
      <c r="A90" s="6" t="str">
        <f>'2_Costos_fijos'!A90</f>
        <v>T074</v>
      </c>
      <c r="B90" s="11">
        <v>184.48</v>
      </c>
      <c r="C90" s="39">
        <f>'2_Costos_fijos'!B90</f>
        <v>1E-4</v>
      </c>
      <c r="D90" s="6">
        <f>'2_Costos_fijos'!C90</f>
        <v>0</v>
      </c>
      <c r="E90" s="11">
        <f t="shared" si="45"/>
        <v>5</v>
      </c>
      <c r="F90" s="11">
        <f t="shared" si="45"/>
        <v>5</v>
      </c>
      <c r="G90" s="11">
        <f t="shared" si="46"/>
        <v>184.48</v>
      </c>
      <c r="H90" s="11">
        <f t="shared" si="47"/>
        <v>0</v>
      </c>
      <c r="I90" s="11">
        <f t="shared" si="48"/>
        <v>5</v>
      </c>
      <c r="J90" s="11">
        <f t="shared" si="49"/>
        <v>1.8447999999999999E-2</v>
      </c>
      <c r="K90" s="10">
        <f t="shared" si="50"/>
        <v>2.7103209019947963E-2</v>
      </c>
      <c r="L90" s="6">
        <f t="shared" si="51"/>
        <v>0</v>
      </c>
      <c r="M90" s="11">
        <f t="shared" si="52"/>
        <v>0</v>
      </c>
      <c r="N90" s="6">
        <f t="shared" si="53"/>
        <v>0</v>
      </c>
      <c r="O90" s="11">
        <f t="shared" si="54"/>
        <v>0</v>
      </c>
      <c r="P90" s="6">
        <f t="shared" si="55"/>
        <v>0</v>
      </c>
      <c r="Q90" s="11">
        <f t="shared" si="56"/>
        <v>0</v>
      </c>
      <c r="R90" s="6" t="str">
        <f t="shared" si="57"/>
        <v>TN</v>
      </c>
      <c r="S90" s="6"/>
      <c r="T90" s="10">
        <f t="shared" si="44"/>
        <v>0.42500000000000027</v>
      </c>
      <c r="U90" s="11">
        <f t="shared" si="39"/>
        <v>1500</v>
      </c>
      <c r="V90" s="9">
        <f t="shared" si="40"/>
        <v>0</v>
      </c>
      <c r="W90" s="9">
        <f t="shared" si="41"/>
        <v>0</v>
      </c>
      <c r="X90" s="9">
        <f t="shared" si="42"/>
        <v>1</v>
      </c>
      <c r="Y90" s="9">
        <f t="shared" si="43"/>
        <v>99</v>
      </c>
      <c r="Z90" s="6"/>
      <c r="AA90" s="6"/>
      <c r="AB90" s="6"/>
      <c r="AC90" s="6"/>
      <c r="AD90" s="6"/>
      <c r="AE90" s="6"/>
      <c r="AF90" s="6"/>
      <c r="AG90" s="6"/>
      <c r="AH90" s="6"/>
    </row>
    <row r="91" spans="1:34">
      <c r="A91" s="6" t="str">
        <f>'2_Costos_fijos'!A91</f>
        <v>T075</v>
      </c>
      <c r="B91" s="11">
        <v>87.24</v>
      </c>
      <c r="C91" s="39">
        <f>'2_Costos_fijos'!B91</f>
        <v>2.2499999999999999E-4</v>
      </c>
      <c r="D91" s="6">
        <f>'2_Costos_fijos'!C91</f>
        <v>0</v>
      </c>
      <c r="E91" s="11">
        <f t="shared" si="45"/>
        <v>5</v>
      </c>
      <c r="F91" s="11">
        <f t="shared" si="45"/>
        <v>5</v>
      </c>
      <c r="G91" s="11">
        <f t="shared" si="46"/>
        <v>87.24</v>
      </c>
      <c r="H91" s="11">
        <f t="shared" si="47"/>
        <v>0</v>
      </c>
      <c r="I91" s="11">
        <f t="shared" si="48"/>
        <v>5</v>
      </c>
      <c r="J91" s="11">
        <f t="shared" si="49"/>
        <v>1.9628999999999997E-2</v>
      </c>
      <c r="K91" s="10">
        <f t="shared" si="50"/>
        <v>5.7313159101329669E-2</v>
      </c>
      <c r="L91" s="6">
        <f t="shared" si="51"/>
        <v>0</v>
      </c>
      <c r="M91" s="11">
        <f t="shared" si="52"/>
        <v>0</v>
      </c>
      <c r="N91" s="6">
        <f t="shared" si="53"/>
        <v>0</v>
      </c>
      <c r="O91" s="11">
        <f t="shared" si="54"/>
        <v>0</v>
      </c>
      <c r="P91" s="6">
        <f t="shared" si="55"/>
        <v>0</v>
      </c>
      <c r="Q91" s="11">
        <f t="shared" si="56"/>
        <v>0</v>
      </c>
      <c r="R91" s="6" t="str">
        <f t="shared" si="57"/>
        <v>TN</v>
      </c>
      <c r="S91" s="6"/>
      <c r="T91" s="10">
        <f t="shared" si="44"/>
        <v>0.43000000000000027</v>
      </c>
      <c r="U91" s="11">
        <f t="shared" si="39"/>
        <v>1500</v>
      </c>
      <c r="V91" s="9">
        <f t="shared" si="40"/>
        <v>0</v>
      </c>
      <c r="W91" s="9">
        <f t="shared" si="41"/>
        <v>0</v>
      </c>
      <c r="X91" s="9">
        <f t="shared" si="42"/>
        <v>1</v>
      </c>
      <c r="Y91" s="9">
        <f t="shared" si="43"/>
        <v>99</v>
      </c>
      <c r="Z91" s="6"/>
      <c r="AA91" s="6"/>
      <c r="AB91" s="6"/>
      <c r="AC91" s="6"/>
      <c r="AD91" s="6"/>
      <c r="AE91" s="6"/>
      <c r="AF91" s="6"/>
      <c r="AG91" s="6"/>
      <c r="AH91" s="6"/>
    </row>
    <row r="92" spans="1:34">
      <c r="A92" s="6" t="str">
        <f>'2_Costos_fijos'!A92</f>
        <v>T076</v>
      </c>
      <c r="B92" s="11">
        <v>75.16</v>
      </c>
      <c r="C92" s="39">
        <f>'2_Costos_fijos'!B92</f>
        <v>3.8430000000000001E-3</v>
      </c>
      <c r="D92" s="6">
        <f>'2_Costos_fijos'!C92</f>
        <v>0</v>
      </c>
      <c r="E92" s="11">
        <f t="shared" si="45"/>
        <v>5</v>
      </c>
      <c r="F92" s="11">
        <f t="shared" si="45"/>
        <v>5</v>
      </c>
      <c r="G92" s="11">
        <f t="shared" si="46"/>
        <v>75.16</v>
      </c>
      <c r="H92" s="11">
        <f t="shared" si="47"/>
        <v>0</v>
      </c>
      <c r="I92" s="11">
        <f t="shared" si="48"/>
        <v>5</v>
      </c>
      <c r="J92" s="11">
        <f t="shared" si="49"/>
        <v>0.28883987999999999</v>
      </c>
      <c r="K92" s="10">
        <f t="shared" si="50"/>
        <v>6.6524747205960619E-2</v>
      </c>
      <c r="L92" s="6">
        <f t="shared" si="51"/>
        <v>0</v>
      </c>
      <c r="M92" s="11">
        <f t="shared" si="52"/>
        <v>0</v>
      </c>
      <c r="N92" s="6">
        <f t="shared" si="53"/>
        <v>0</v>
      </c>
      <c r="O92" s="11">
        <f t="shared" si="54"/>
        <v>0</v>
      </c>
      <c r="P92" s="6">
        <f t="shared" si="55"/>
        <v>0</v>
      </c>
      <c r="Q92" s="11">
        <f t="shared" si="56"/>
        <v>0</v>
      </c>
      <c r="R92" s="6" t="str">
        <f t="shared" si="57"/>
        <v>TN</v>
      </c>
      <c r="S92" s="6"/>
      <c r="T92" s="10">
        <f t="shared" si="44"/>
        <v>0.43500000000000028</v>
      </c>
      <c r="U92" s="11">
        <f t="shared" si="39"/>
        <v>1500</v>
      </c>
      <c r="V92" s="9">
        <f t="shared" si="40"/>
        <v>0</v>
      </c>
      <c r="W92" s="9">
        <f t="shared" si="41"/>
        <v>0</v>
      </c>
      <c r="X92" s="9">
        <f t="shared" si="42"/>
        <v>1</v>
      </c>
      <c r="Y92" s="9">
        <f t="shared" si="43"/>
        <v>99</v>
      </c>
      <c r="Z92" s="6"/>
      <c r="AA92" s="6"/>
      <c r="AB92" s="6"/>
      <c r="AC92" s="6"/>
      <c r="AD92" s="6"/>
      <c r="AE92" s="6"/>
      <c r="AF92" s="6"/>
      <c r="AG92" s="6"/>
      <c r="AH92" s="6"/>
    </row>
    <row r="93" spans="1:34">
      <c r="A93" s="6" t="str">
        <f>'2_Costos_fijos'!A93</f>
        <v>T077</v>
      </c>
      <c r="B93" s="11">
        <v>13.94</v>
      </c>
      <c r="C93" s="39">
        <f>'2_Costos_fijos'!B93</f>
        <v>1E-4</v>
      </c>
      <c r="D93" s="6">
        <f>'2_Costos_fijos'!C93</f>
        <v>0</v>
      </c>
      <c r="E93" s="11">
        <f t="shared" si="45"/>
        <v>5</v>
      </c>
      <c r="F93" s="11">
        <f t="shared" si="45"/>
        <v>5</v>
      </c>
      <c r="G93" s="11">
        <f t="shared" si="46"/>
        <v>13.94</v>
      </c>
      <c r="H93" s="11">
        <f t="shared" si="47"/>
        <v>0</v>
      </c>
      <c r="I93" s="11">
        <f t="shared" si="48"/>
        <v>5</v>
      </c>
      <c r="J93" s="11">
        <f t="shared" si="49"/>
        <v>1.3940000000000001E-3</v>
      </c>
      <c r="K93" s="10">
        <f t="shared" si="50"/>
        <v>0.3586800573888092</v>
      </c>
      <c r="L93" s="6">
        <f t="shared" si="51"/>
        <v>0</v>
      </c>
      <c r="M93" s="11">
        <f t="shared" si="52"/>
        <v>0</v>
      </c>
      <c r="N93" s="6">
        <f t="shared" si="53"/>
        <v>0</v>
      </c>
      <c r="O93" s="11">
        <f t="shared" si="54"/>
        <v>0</v>
      </c>
      <c r="P93" s="6">
        <f t="shared" si="55"/>
        <v>0</v>
      </c>
      <c r="Q93" s="11">
        <f t="shared" si="56"/>
        <v>0</v>
      </c>
      <c r="R93" s="6" t="str">
        <f t="shared" si="57"/>
        <v>TN</v>
      </c>
      <c r="S93" s="6"/>
      <c r="T93" s="10">
        <f t="shared" si="44"/>
        <v>0.44000000000000028</v>
      </c>
      <c r="U93" s="11">
        <f t="shared" si="39"/>
        <v>1500</v>
      </c>
      <c r="V93" s="9">
        <f t="shared" si="40"/>
        <v>0</v>
      </c>
      <c r="W93" s="9">
        <f t="shared" si="41"/>
        <v>0</v>
      </c>
      <c r="X93" s="9">
        <f t="shared" si="42"/>
        <v>1</v>
      </c>
      <c r="Y93" s="9">
        <f t="shared" si="43"/>
        <v>99</v>
      </c>
      <c r="Z93" s="6"/>
      <c r="AA93" s="6"/>
      <c r="AB93" s="6"/>
      <c r="AC93" s="6"/>
      <c r="AD93" s="6"/>
      <c r="AE93" s="6"/>
      <c r="AF93" s="6"/>
      <c r="AG93" s="6"/>
      <c r="AH93" s="6"/>
    </row>
    <row r="94" spans="1:34">
      <c r="A94" s="6" t="str">
        <f>'2_Costos_fijos'!A94</f>
        <v>T078</v>
      </c>
      <c r="B94" s="11">
        <v>78.75</v>
      </c>
      <c r="C94" s="39">
        <f>'2_Costos_fijos'!B94</f>
        <v>5.4600000000000004E-4</v>
      </c>
      <c r="D94" s="6">
        <f>'2_Costos_fijos'!C94</f>
        <v>0</v>
      </c>
      <c r="E94" s="11">
        <f t="shared" si="45"/>
        <v>5</v>
      </c>
      <c r="F94" s="11">
        <f t="shared" si="45"/>
        <v>5</v>
      </c>
      <c r="G94" s="11">
        <f t="shared" si="46"/>
        <v>78.75</v>
      </c>
      <c r="H94" s="11">
        <f t="shared" si="47"/>
        <v>0</v>
      </c>
      <c r="I94" s="11">
        <f t="shared" si="48"/>
        <v>4.9999999999999991</v>
      </c>
      <c r="J94" s="11">
        <f t="shared" si="49"/>
        <v>4.2997500000000001E-2</v>
      </c>
      <c r="K94" s="10">
        <f t="shared" si="50"/>
        <v>6.3492063492063489E-2</v>
      </c>
      <c r="L94" s="6">
        <f t="shared" si="51"/>
        <v>0</v>
      </c>
      <c r="M94" s="11">
        <f t="shared" si="52"/>
        <v>0</v>
      </c>
      <c r="N94" s="6">
        <f t="shared" si="53"/>
        <v>0</v>
      </c>
      <c r="O94" s="11">
        <f t="shared" si="54"/>
        <v>0</v>
      </c>
      <c r="P94" s="6">
        <f t="shared" si="55"/>
        <v>0</v>
      </c>
      <c r="Q94" s="11">
        <f t="shared" si="56"/>
        <v>0</v>
      </c>
      <c r="R94" s="6" t="str">
        <f t="shared" si="57"/>
        <v>TN</v>
      </c>
      <c r="S94" s="6"/>
      <c r="T94" s="10">
        <f t="shared" si="44"/>
        <v>0.44500000000000028</v>
      </c>
      <c r="U94" s="11">
        <f t="shared" si="39"/>
        <v>1500</v>
      </c>
      <c r="V94" s="9">
        <f t="shared" si="40"/>
        <v>0</v>
      </c>
      <c r="W94" s="9">
        <f t="shared" si="41"/>
        <v>0</v>
      </c>
      <c r="X94" s="9">
        <f t="shared" si="42"/>
        <v>1</v>
      </c>
      <c r="Y94" s="9">
        <f t="shared" si="43"/>
        <v>99</v>
      </c>
      <c r="Z94" s="6"/>
      <c r="AA94" s="6"/>
      <c r="AB94" s="6"/>
      <c r="AC94" s="6"/>
      <c r="AD94" s="6"/>
      <c r="AE94" s="6"/>
      <c r="AF94" s="6"/>
      <c r="AG94" s="6"/>
      <c r="AH94" s="6"/>
    </row>
    <row r="95" spans="1:34">
      <c r="A95" s="6" t="str">
        <f>'2_Costos_fijos'!A95</f>
        <v>T079</v>
      </c>
      <c r="B95" s="11">
        <v>126.44</v>
      </c>
      <c r="C95" s="39">
        <f>'2_Costos_fijos'!B95</f>
        <v>7.5199999999999998E-3</v>
      </c>
      <c r="D95" s="6">
        <f>'2_Costos_fijos'!C95</f>
        <v>0</v>
      </c>
      <c r="E95" s="11">
        <f t="shared" si="45"/>
        <v>5</v>
      </c>
      <c r="F95" s="11">
        <f t="shared" si="45"/>
        <v>5</v>
      </c>
      <c r="G95" s="11">
        <f t="shared" si="46"/>
        <v>126.44</v>
      </c>
      <c r="H95" s="11">
        <f t="shared" si="47"/>
        <v>0</v>
      </c>
      <c r="I95" s="11">
        <f t="shared" si="48"/>
        <v>5.0000000000000009</v>
      </c>
      <c r="J95" s="11">
        <f t="shared" si="49"/>
        <v>0.95082879999999992</v>
      </c>
      <c r="K95" s="10">
        <f t="shared" si="50"/>
        <v>3.9544447959506485E-2</v>
      </c>
      <c r="L95" s="6">
        <f t="shared" si="51"/>
        <v>0</v>
      </c>
      <c r="M95" s="11">
        <f t="shared" si="52"/>
        <v>0</v>
      </c>
      <c r="N95" s="6">
        <f t="shared" si="53"/>
        <v>0</v>
      </c>
      <c r="O95" s="11">
        <f t="shared" si="54"/>
        <v>0</v>
      </c>
      <c r="P95" s="6">
        <f t="shared" si="55"/>
        <v>0</v>
      </c>
      <c r="Q95" s="11">
        <f t="shared" si="56"/>
        <v>0</v>
      </c>
      <c r="R95" s="6" t="str">
        <f t="shared" si="57"/>
        <v>TN</v>
      </c>
      <c r="S95" s="6"/>
      <c r="T95" s="10">
        <f t="shared" si="44"/>
        <v>0.45000000000000029</v>
      </c>
      <c r="U95" s="11">
        <f t="shared" si="39"/>
        <v>1500</v>
      </c>
      <c r="V95" s="9">
        <f t="shared" si="40"/>
        <v>0</v>
      </c>
      <c r="W95" s="9">
        <f t="shared" si="41"/>
        <v>0</v>
      </c>
      <c r="X95" s="9">
        <f t="shared" si="42"/>
        <v>1</v>
      </c>
      <c r="Y95" s="9">
        <f t="shared" si="43"/>
        <v>99</v>
      </c>
      <c r="Z95" s="6"/>
      <c r="AA95" s="6"/>
      <c r="AB95" s="6"/>
      <c r="AC95" s="6"/>
      <c r="AD95" s="6"/>
      <c r="AE95" s="6"/>
      <c r="AF95" s="6"/>
      <c r="AG95" s="6"/>
      <c r="AH95" s="6"/>
    </row>
    <row r="96" spans="1:34">
      <c r="A96" s="6" t="str">
        <f>'2_Costos_fijos'!A96</f>
        <v>T080</v>
      </c>
      <c r="B96" s="11">
        <v>38.78</v>
      </c>
      <c r="C96" s="39">
        <f>'2_Costos_fijos'!B96</f>
        <v>1.1E-4</v>
      </c>
      <c r="D96" s="6">
        <f>'2_Costos_fijos'!C96</f>
        <v>0</v>
      </c>
      <c r="E96" s="11">
        <f t="shared" si="45"/>
        <v>5</v>
      </c>
      <c r="F96" s="11">
        <f t="shared" si="45"/>
        <v>5</v>
      </c>
      <c r="G96" s="11">
        <f t="shared" si="46"/>
        <v>38.78</v>
      </c>
      <c r="H96" s="11">
        <f t="shared" si="47"/>
        <v>0</v>
      </c>
      <c r="I96" s="11">
        <f t="shared" si="48"/>
        <v>4.9999999999999991</v>
      </c>
      <c r="J96" s="11">
        <f t="shared" si="49"/>
        <v>4.2658000000000001E-3</v>
      </c>
      <c r="K96" s="10">
        <f t="shared" si="50"/>
        <v>0.12893243940175347</v>
      </c>
      <c r="L96" s="6">
        <f t="shared" si="51"/>
        <v>0</v>
      </c>
      <c r="M96" s="11">
        <f t="shared" si="52"/>
        <v>0</v>
      </c>
      <c r="N96" s="6">
        <f t="shared" si="53"/>
        <v>0</v>
      </c>
      <c r="O96" s="11">
        <f t="shared" si="54"/>
        <v>0</v>
      </c>
      <c r="P96" s="6">
        <f t="shared" si="55"/>
        <v>0</v>
      </c>
      <c r="Q96" s="11">
        <f t="shared" si="56"/>
        <v>0</v>
      </c>
      <c r="R96" s="6" t="str">
        <f t="shared" si="57"/>
        <v>TN</v>
      </c>
      <c r="S96" s="6"/>
      <c r="T96" s="10">
        <f t="shared" si="44"/>
        <v>0.45500000000000029</v>
      </c>
      <c r="U96" s="11">
        <f t="shared" si="39"/>
        <v>1500</v>
      </c>
      <c r="V96" s="9">
        <f t="shared" si="40"/>
        <v>0</v>
      </c>
      <c r="W96" s="9">
        <f t="shared" si="41"/>
        <v>0</v>
      </c>
      <c r="X96" s="9">
        <f t="shared" si="42"/>
        <v>1</v>
      </c>
      <c r="Y96" s="9">
        <f t="shared" si="43"/>
        <v>99</v>
      </c>
      <c r="Z96" s="6"/>
      <c r="AA96" s="6"/>
      <c r="AB96" s="6"/>
      <c r="AC96" s="6"/>
      <c r="AD96" s="6"/>
      <c r="AE96" s="6"/>
      <c r="AF96" s="6"/>
      <c r="AG96" s="6"/>
      <c r="AH96" s="6"/>
    </row>
    <row r="97" spans="1:34">
      <c r="A97" s="6" t="str">
        <f>'2_Costos_fijos'!A97</f>
        <v>T081</v>
      </c>
      <c r="B97" s="11">
        <v>119.97</v>
      </c>
      <c r="C97" s="39">
        <f>'2_Costos_fijos'!B97</f>
        <v>1.3270000000000001E-3</v>
      </c>
      <c r="D97" s="6">
        <f>'2_Costos_fijos'!C97</f>
        <v>0</v>
      </c>
      <c r="E97" s="11">
        <f t="shared" ref="E97:F116" si="58">$B$5</f>
        <v>5</v>
      </c>
      <c r="F97" s="11">
        <f t="shared" si="58"/>
        <v>5</v>
      </c>
      <c r="G97" s="11">
        <f t="shared" si="46"/>
        <v>119.97</v>
      </c>
      <c r="H97" s="11">
        <f t="shared" si="47"/>
        <v>0</v>
      </c>
      <c r="I97" s="11">
        <f t="shared" si="48"/>
        <v>5</v>
      </c>
      <c r="J97" s="11">
        <f t="shared" si="49"/>
        <v>0.15920018999999999</v>
      </c>
      <c r="K97" s="10">
        <f t="shared" si="50"/>
        <v>4.1677085938151205E-2</v>
      </c>
      <c r="L97" s="6">
        <f t="shared" si="51"/>
        <v>0</v>
      </c>
      <c r="M97" s="11">
        <f t="shared" si="52"/>
        <v>0</v>
      </c>
      <c r="N97" s="6">
        <f t="shared" si="53"/>
        <v>0</v>
      </c>
      <c r="O97" s="11">
        <f t="shared" si="54"/>
        <v>0</v>
      </c>
      <c r="P97" s="6">
        <f t="shared" si="55"/>
        <v>0</v>
      </c>
      <c r="Q97" s="11">
        <f t="shared" si="56"/>
        <v>0</v>
      </c>
      <c r="R97" s="6" t="str">
        <f t="shared" si="57"/>
        <v>TN</v>
      </c>
      <c r="S97" s="6"/>
      <c r="T97" s="10">
        <f t="shared" si="44"/>
        <v>0.4600000000000003</v>
      </c>
      <c r="U97" s="11">
        <f t="shared" si="39"/>
        <v>1500</v>
      </c>
      <c r="V97" s="9">
        <f t="shared" si="40"/>
        <v>0</v>
      </c>
      <c r="W97" s="9">
        <f t="shared" si="41"/>
        <v>0</v>
      </c>
      <c r="X97" s="9">
        <f t="shared" si="42"/>
        <v>1</v>
      </c>
      <c r="Y97" s="9">
        <f t="shared" si="43"/>
        <v>99</v>
      </c>
      <c r="Z97" s="6"/>
      <c r="AA97" s="6"/>
      <c r="AB97" s="6"/>
      <c r="AC97" s="6"/>
      <c r="AD97" s="6"/>
      <c r="AE97" s="6"/>
      <c r="AF97" s="6"/>
      <c r="AG97" s="6"/>
      <c r="AH97" s="6"/>
    </row>
    <row r="98" spans="1:34">
      <c r="A98" s="6" t="str">
        <f>'2_Costos_fijos'!A98</f>
        <v>T082</v>
      </c>
      <c r="B98" s="11">
        <v>14.48</v>
      </c>
      <c r="C98" s="39">
        <f>'2_Costos_fijos'!B98</f>
        <v>1.3644999999999999E-2</v>
      </c>
      <c r="D98" s="6">
        <f>'2_Costos_fijos'!C98</f>
        <v>0</v>
      </c>
      <c r="E98" s="11">
        <f t="shared" si="58"/>
        <v>5</v>
      </c>
      <c r="F98" s="11">
        <f t="shared" si="58"/>
        <v>5</v>
      </c>
      <c r="G98" s="11">
        <f t="shared" si="46"/>
        <v>14.48</v>
      </c>
      <c r="H98" s="11">
        <f t="shared" si="47"/>
        <v>0</v>
      </c>
      <c r="I98" s="11">
        <f t="shared" si="48"/>
        <v>5</v>
      </c>
      <c r="J98" s="11">
        <f t="shared" si="49"/>
        <v>0.19757959999999999</v>
      </c>
      <c r="K98" s="10">
        <f t="shared" si="50"/>
        <v>0.34530386740331492</v>
      </c>
      <c r="L98" s="6">
        <f t="shared" si="51"/>
        <v>0</v>
      </c>
      <c r="M98" s="11">
        <f t="shared" si="52"/>
        <v>0</v>
      </c>
      <c r="N98" s="6">
        <f t="shared" si="53"/>
        <v>0</v>
      </c>
      <c r="O98" s="11">
        <f t="shared" si="54"/>
        <v>0</v>
      </c>
      <c r="P98" s="6">
        <f t="shared" si="55"/>
        <v>1</v>
      </c>
      <c r="Q98" s="11">
        <f t="shared" si="56"/>
        <v>5</v>
      </c>
      <c r="R98" s="6" t="str">
        <f t="shared" si="57"/>
        <v>TN</v>
      </c>
      <c r="S98" s="6"/>
      <c r="T98" s="10">
        <f t="shared" si="44"/>
        <v>0.4650000000000003</v>
      </c>
      <c r="U98" s="11">
        <f t="shared" si="39"/>
        <v>1500</v>
      </c>
      <c r="V98" s="9">
        <f t="shared" si="40"/>
        <v>0</v>
      </c>
      <c r="W98" s="9">
        <f t="shared" si="41"/>
        <v>0</v>
      </c>
      <c r="X98" s="9">
        <f t="shared" si="42"/>
        <v>1</v>
      </c>
      <c r="Y98" s="9">
        <f t="shared" si="43"/>
        <v>99</v>
      </c>
      <c r="Z98" s="6"/>
      <c r="AA98" s="6"/>
      <c r="AB98" s="6"/>
      <c r="AC98" s="6"/>
      <c r="AD98" s="6"/>
      <c r="AE98" s="6"/>
      <c r="AF98" s="6"/>
      <c r="AG98" s="6"/>
      <c r="AH98" s="6"/>
    </row>
    <row r="99" spans="1:34">
      <c r="A99" s="6" t="str">
        <f>'2_Costos_fijos'!A99</f>
        <v>T083</v>
      </c>
      <c r="B99" s="11">
        <v>1500</v>
      </c>
      <c r="C99" s="39">
        <f>'2_Costos_fijos'!B99</f>
        <v>1.2E-2</v>
      </c>
      <c r="D99" s="6">
        <f>'2_Costos_fijos'!C99</f>
        <v>1</v>
      </c>
      <c r="E99" s="11">
        <f t="shared" si="58"/>
        <v>5</v>
      </c>
      <c r="F99" s="11">
        <f t="shared" si="58"/>
        <v>5</v>
      </c>
      <c r="G99" s="11">
        <f t="shared" si="46"/>
        <v>1500</v>
      </c>
      <c r="H99" s="11">
        <f t="shared" si="47"/>
        <v>0</v>
      </c>
      <c r="I99" s="11">
        <f t="shared" si="48"/>
        <v>4.9999999999999991</v>
      </c>
      <c r="J99" s="11">
        <f t="shared" si="49"/>
        <v>18</v>
      </c>
      <c r="K99" s="10">
        <f t="shared" si="50"/>
        <v>3.3333333333333335E-3</v>
      </c>
      <c r="L99" s="6">
        <f t="shared" si="51"/>
        <v>1</v>
      </c>
      <c r="M99" s="11">
        <f t="shared" si="52"/>
        <v>5</v>
      </c>
      <c r="N99" s="6">
        <f t="shared" si="53"/>
        <v>0</v>
      </c>
      <c r="O99" s="11">
        <f t="shared" si="54"/>
        <v>1500</v>
      </c>
      <c r="P99" s="6">
        <f t="shared" si="55"/>
        <v>1</v>
      </c>
      <c r="Q99" s="11">
        <f t="shared" si="56"/>
        <v>5</v>
      </c>
      <c r="R99" s="6" t="str">
        <f t="shared" si="57"/>
        <v>TP</v>
      </c>
      <c r="S99" s="6"/>
      <c r="T99" s="10">
        <f t="shared" si="44"/>
        <v>0.47000000000000031</v>
      </c>
      <c r="U99" s="11">
        <f t="shared" si="39"/>
        <v>1500</v>
      </c>
      <c r="V99" s="9">
        <f t="shared" si="40"/>
        <v>0</v>
      </c>
      <c r="W99" s="9">
        <f t="shared" si="41"/>
        <v>0</v>
      </c>
      <c r="X99" s="9">
        <f t="shared" si="42"/>
        <v>1</v>
      </c>
      <c r="Y99" s="9">
        <f t="shared" si="43"/>
        <v>99</v>
      </c>
      <c r="Z99" s="6"/>
      <c r="AA99" s="6"/>
      <c r="AB99" s="6"/>
      <c r="AC99" s="6"/>
      <c r="AD99" s="6"/>
      <c r="AE99" s="6"/>
      <c r="AF99" s="6"/>
      <c r="AG99" s="6"/>
      <c r="AH99" s="6"/>
    </row>
    <row r="100" spans="1:34">
      <c r="A100" s="6" t="str">
        <f>'2_Costos_fijos'!A100</f>
        <v>T084</v>
      </c>
      <c r="B100" s="11">
        <v>37.159999999999997</v>
      </c>
      <c r="C100" s="39">
        <f>'2_Costos_fijos'!B100</f>
        <v>2.9459999999999998E-3</v>
      </c>
      <c r="D100" s="6">
        <f>'2_Costos_fijos'!C100</f>
        <v>0</v>
      </c>
      <c r="E100" s="11">
        <f t="shared" si="58"/>
        <v>5</v>
      </c>
      <c r="F100" s="11">
        <f t="shared" si="58"/>
        <v>5</v>
      </c>
      <c r="G100" s="11">
        <f t="shared" si="46"/>
        <v>37.159999999999997</v>
      </c>
      <c r="H100" s="11">
        <f t="shared" si="47"/>
        <v>0</v>
      </c>
      <c r="I100" s="11">
        <f t="shared" si="48"/>
        <v>5</v>
      </c>
      <c r="J100" s="11">
        <f t="shared" si="49"/>
        <v>0.10947335999999998</v>
      </c>
      <c r="K100" s="10">
        <f t="shared" si="50"/>
        <v>0.13455328310010767</v>
      </c>
      <c r="L100" s="6">
        <f t="shared" si="51"/>
        <v>0</v>
      </c>
      <c r="M100" s="11">
        <f t="shared" si="52"/>
        <v>0</v>
      </c>
      <c r="N100" s="6">
        <f t="shared" si="53"/>
        <v>0</v>
      </c>
      <c r="O100" s="11">
        <f t="shared" si="54"/>
        <v>0</v>
      </c>
      <c r="P100" s="6">
        <f t="shared" si="55"/>
        <v>0</v>
      </c>
      <c r="Q100" s="11">
        <f t="shared" si="56"/>
        <v>0</v>
      </c>
      <c r="R100" s="6" t="str">
        <f t="shared" si="57"/>
        <v>TN</v>
      </c>
      <c r="S100" s="6"/>
      <c r="T100" s="10">
        <f t="shared" si="44"/>
        <v>0.47500000000000031</v>
      </c>
      <c r="U100" s="11">
        <f t="shared" si="39"/>
        <v>1500</v>
      </c>
      <c r="V100" s="9">
        <f t="shared" si="40"/>
        <v>0</v>
      </c>
      <c r="W100" s="9">
        <f t="shared" si="41"/>
        <v>0</v>
      </c>
      <c r="X100" s="9">
        <f t="shared" si="42"/>
        <v>1</v>
      </c>
      <c r="Y100" s="9">
        <f t="shared" si="43"/>
        <v>99</v>
      </c>
      <c r="Z100" s="6"/>
      <c r="AA100" s="6"/>
      <c r="AB100" s="6"/>
      <c r="AC100" s="6"/>
      <c r="AD100" s="6"/>
      <c r="AE100" s="6"/>
      <c r="AF100" s="6"/>
      <c r="AG100" s="6"/>
      <c r="AH100" s="6"/>
    </row>
    <row r="101" spans="1:34">
      <c r="A101" s="6" t="str">
        <f>'2_Costos_fijos'!A101</f>
        <v>T085</v>
      </c>
      <c r="B101" s="11">
        <v>148.71</v>
      </c>
      <c r="C101" s="39">
        <f>'2_Costos_fijos'!B101</f>
        <v>1E-4</v>
      </c>
      <c r="D101" s="6">
        <f>'2_Costos_fijos'!C101</f>
        <v>0</v>
      </c>
      <c r="E101" s="11">
        <f t="shared" si="58"/>
        <v>5</v>
      </c>
      <c r="F101" s="11">
        <f t="shared" si="58"/>
        <v>5</v>
      </c>
      <c r="G101" s="11">
        <f t="shared" si="46"/>
        <v>148.71</v>
      </c>
      <c r="H101" s="11">
        <f t="shared" si="47"/>
        <v>0</v>
      </c>
      <c r="I101" s="11">
        <f t="shared" si="48"/>
        <v>5</v>
      </c>
      <c r="J101" s="11">
        <f t="shared" si="49"/>
        <v>1.4871000000000002E-2</v>
      </c>
      <c r="K101" s="10">
        <f t="shared" si="50"/>
        <v>3.3622486719117745E-2</v>
      </c>
      <c r="L101" s="6">
        <f t="shared" si="51"/>
        <v>0</v>
      </c>
      <c r="M101" s="11">
        <f t="shared" si="52"/>
        <v>0</v>
      </c>
      <c r="N101" s="6">
        <f t="shared" si="53"/>
        <v>0</v>
      </c>
      <c r="O101" s="11">
        <f t="shared" si="54"/>
        <v>0</v>
      </c>
      <c r="P101" s="6">
        <f t="shared" si="55"/>
        <v>0</v>
      </c>
      <c r="Q101" s="11">
        <f t="shared" si="56"/>
        <v>0</v>
      </c>
      <c r="R101" s="6" t="str">
        <f t="shared" si="57"/>
        <v>TN</v>
      </c>
      <c r="S101" s="6"/>
      <c r="T101" s="10">
        <f t="shared" si="44"/>
        <v>0.48000000000000032</v>
      </c>
      <c r="U101" s="11">
        <f t="shared" ref="U101:U105" si="59">SUMPRODUCT(--($C$17:$C$116&gt;=T101),--($D$17:$D$116=1),$E$17:$E$116)+SUMPRODUCT(--($C$17:$C$116&gt;=T101),--($D$17:$D$116=0),$F$17:$F$116)+SUMPRODUCT(--($C$17:$C$116&lt;T101),--($D$17:$D$116=1),$G$17:$G$116)+SUMPRODUCT(--($C$17:$C$116&lt;T101),--($D$17:$D$116=0),$H$17:$H$116)</f>
        <v>1500</v>
      </c>
      <c r="V101" s="9">
        <f t="shared" si="40"/>
        <v>0</v>
      </c>
      <c r="W101" s="9">
        <f t="shared" si="41"/>
        <v>0</v>
      </c>
      <c r="X101" s="9">
        <f t="shared" si="42"/>
        <v>1</v>
      </c>
      <c r="Y101" s="9">
        <f t="shared" si="43"/>
        <v>99</v>
      </c>
      <c r="Z101" s="6"/>
      <c r="AA101" s="6"/>
      <c r="AB101" s="6"/>
      <c r="AC101" s="6"/>
      <c r="AD101" s="6"/>
      <c r="AE101" s="6"/>
      <c r="AF101" s="6"/>
      <c r="AG101" s="6"/>
      <c r="AH101" s="6"/>
    </row>
    <row r="102" spans="1:34">
      <c r="A102" s="6" t="str">
        <f>'2_Costos_fijos'!A102</f>
        <v>T086</v>
      </c>
      <c r="B102" s="11">
        <v>53.72</v>
      </c>
      <c r="C102" s="39">
        <f>'2_Costos_fijos'!B102</f>
        <v>3.9100000000000002E-4</v>
      </c>
      <c r="D102" s="6">
        <f>'2_Costos_fijos'!C102</f>
        <v>0</v>
      </c>
      <c r="E102" s="11">
        <f t="shared" si="58"/>
        <v>5</v>
      </c>
      <c r="F102" s="11">
        <f t="shared" si="58"/>
        <v>5</v>
      </c>
      <c r="G102" s="11">
        <f t="shared" si="46"/>
        <v>53.72</v>
      </c>
      <c r="H102" s="11">
        <f t="shared" si="47"/>
        <v>0</v>
      </c>
      <c r="I102" s="11">
        <f t="shared" si="48"/>
        <v>4.9999999999999991</v>
      </c>
      <c r="J102" s="11">
        <f t="shared" si="49"/>
        <v>2.1004519999999999E-2</v>
      </c>
      <c r="K102" s="10">
        <f t="shared" si="50"/>
        <v>9.3075204765450489E-2</v>
      </c>
      <c r="L102" s="6">
        <f t="shared" si="51"/>
        <v>0</v>
      </c>
      <c r="M102" s="11">
        <f t="shared" si="52"/>
        <v>0</v>
      </c>
      <c r="N102" s="6">
        <f t="shared" si="53"/>
        <v>0</v>
      </c>
      <c r="O102" s="11">
        <f t="shared" si="54"/>
        <v>0</v>
      </c>
      <c r="P102" s="6">
        <f t="shared" si="55"/>
        <v>0</v>
      </c>
      <c r="Q102" s="11">
        <f t="shared" si="56"/>
        <v>0</v>
      </c>
      <c r="R102" s="6" t="str">
        <f t="shared" si="57"/>
        <v>TN</v>
      </c>
      <c r="S102" s="6"/>
      <c r="T102" s="10">
        <f t="shared" si="44"/>
        <v>0.48500000000000032</v>
      </c>
      <c r="U102" s="11">
        <f t="shared" si="59"/>
        <v>1500</v>
      </c>
      <c r="V102" s="9">
        <f t="shared" si="40"/>
        <v>0</v>
      </c>
      <c r="W102" s="9">
        <f t="shared" si="41"/>
        <v>0</v>
      </c>
      <c r="X102" s="9">
        <f t="shared" si="42"/>
        <v>1</v>
      </c>
      <c r="Y102" s="9">
        <f t="shared" si="43"/>
        <v>99</v>
      </c>
      <c r="Z102" s="6"/>
      <c r="AA102" s="6"/>
      <c r="AB102" s="6"/>
      <c r="AC102" s="6"/>
      <c r="AD102" s="6"/>
      <c r="AE102" s="6"/>
      <c r="AF102" s="6"/>
      <c r="AG102" s="6"/>
      <c r="AH102" s="6"/>
    </row>
    <row r="103" spans="1:34">
      <c r="A103" s="6" t="str">
        <f>'2_Costos_fijos'!A103</f>
        <v>T087</v>
      </c>
      <c r="B103" s="11">
        <v>218.82</v>
      </c>
      <c r="C103" s="39">
        <f>'2_Costos_fijos'!B103</f>
        <v>5.9480000000000002E-3</v>
      </c>
      <c r="D103" s="6">
        <f>'2_Costos_fijos'!C103</f>
        <v>0</v>
      </c>
      <c r="E103" s="11">
        <f t="shared" si="58"/>
        <v>5</v>
      </c>
      <c r="F103" s="11">
        <f t="shared" si="58"/>
        <v>5</v>
      </c>
      <c r="G103" s="11">
        <f t="shared" si="46"/>
        <v>218.82</v>
      </c>
      <c r="H103" s="11">
        <f t="shared" si="47"/>
        <v>0</v>
      </c>
      <c r="I103" s="11">
        <f t="shared" si="48"/>
        <v>5.0000000000000009</v>
      </c>
      <c r="J103" s="11">
        <f t="shared" si="49"/>
        <v>1.3015413600000001</v>
      </c>
      <c r="K103" s="10">
        <f t="shared" si="50"/>
        <v>2.2849830911251257E-2</v>
      </c>
      <c r="L103" s="6">
        <f t="shared" si="51"/>
        <v>0</v>
      </c>
      <c r="M103" s="11">
        <f t="shared" si="52"/>
        <v>0</v>
      </c>
      <c r="N103" s="6">
        <f t="shared" si="53"/>
        <v>0</v>
      </c>
      <c r="O103" s="11">
        <f t="shared" si="54"/>
        <v>0</v>
      </c>
      <c r="P103" s="6">
        <f t="shared" si="55"/>
        <v>0</v>
      </c>
      <c r="Q103" s="11">
        <f t="shared" si="56"/>
        <v>0</v>
      </c>
      <c r="R103" s="6" t="str">
        <f t="shared" si="57"/>
        <v>TN</v>
      </c>
      <c r="S103" s="6"/>
      <c r="T103" s="10">
        <f t="shared" si="44"/>
        <v>0.49000000000000032</v>
      </c>
      <c r="U103" s="11">
        <f t="shared" si="59"/>
        <v>1500</v>
      </c>
      <c r="V103" s="9">
        <f t="shared" si="40"/>
        <v>0</v>
      </c>
      <c r="W103" s="9">
        <f t="shared" si="41"/>
        <v>0</v>
      </c>
      <c r="X103" s="9">
        <f t="shared" si="42"/>
        <v>1</v>
      </c>
      <c r="Y103" s="9">
        <f t="shared" si="43"/>
        <v>99</v>
      </c>
      <c r="Z103" s="6"/>
      <c r="AA103" s="6"/>
      <c r="AB103" s="6"/>
      <c r="AC103" s="6"/>
      <c r="AD103" s="6"/>
      <c r="AE103" s="6"/>
      <c r="AF103" s="6"/>
      <c r="AG103" s="6"/>
      <c r="AH103" s="6"/>
    </row>
    <row r="104" spans="1:34">
      <c r="A104" s="6" t="str">
        <f>'2_Costos_fijos'!A104</f>
        <v>T088</v>
      </c>
      <c r="B104" s="11">
        <v>137.83000000000001</v>
      </c>
      <c r="C104" s="39">
        <f>'2_Costos_fijos'!B104</f>
        <v>1.0399999999999999E-4</v>
      </c>
      <c r="D104" s="6">
        <f>'2_Costos_fijos'!C104</f>
        <v>0</v>
      </c>
      <c r="E104" s="11">
        <f t="shared" si="58"/>
        <v>5</v>
      </c>
      <c r="F104" s="11">
        <f t="shared" si="58"/>
        <v>5</v>
      </c>
      <c r="G104" s="11">
        <f t="shared" si="46"/>
        <v>137.83000000000001</v>
      </c>
      <c r="H104" s="11">
        <f t="shared" si="47"/>
        <v>0</v>
      </c>
      <c r="I104" s="11">
        <f t="shared" si="48"/>
        <v>5</v>
      </c>
      <c r="J104" s="11">
        <f t="shared" si="49"/>
        <v>1.4334320000000001E-2</v>
      </c>
      <c r="K104" s="10">
        <f t="shared" si="50"/>
        <v>3.6276572589421748E-2</v>
      </c>
      <c r="L104" s="6">
        <f t="shared" si="51"/>
        <v>0</v>
      </c>
      <c r="M104" s="11">
        <f t="shared" si="52"/>
        <v>0</v>
      </c>
      <c r="N104" s="6">
        <f t="shared" si="53"/>
        <v>0</v>
      </c>
      <c r="O104" s="11">
        <f t="shared" si="54"/>
        <v>0</v>
      </c>
      <c r="P104" s="6">
        <f t="shared" si="55"/>
        <v>0</v>
      </c>
      <c r="Q104" s="11">
        <f t="shared" si="56"/>
        <v>0</v>
      </c>
      <c r="R104" s="6" t="str">
        <f t="shared" si="57"/>
        <v>TN</v>
      </c>
      <c r="S104" s="6"/>
      <c r="T104" s="10">
        <f t="shared" si="44"/>
        <v>0.49500000000000033</v>
      </c>
      <c r="U104" s="11">
        <f t="shared" si="59"/>
        <v>1500</v>
      </c>
      <c r="V104" s="9">
        <f t="shared" si="40"/>
        <v>0</v>
      </c>
      <c r="W104" s="9">
        <f t="shared" si="41"/>
        <v>0</v>
      </c>
      <c r="X104" s="9">
        <f t="shared" si="42"/>
        <v>1</v>
      </c>
      <c r="Y104" s="9">
        <f t="shared" si="43"/>
        <v>99</v>
      </c>
      <c r="Z104" s="6"/>
      <c r="AA104" s="6"/>
      <c r="AB104" s="6"/>
      <c r="AC104" s="6"/>
      <c r="AD104" s="6"/>
      <c r="AE104" s="6"/>
      <c r="AF104" s="6"/>
      <c r="AG104" s="6"/>
      <c r="AH104" s="6"/>
    </row>
    <row r="105" spans="1:34">
      <c r="A105" s="6" t="str">
        <f>'2_Costos_fijos'!A105</f>
        <v>T089</v>
      </c>
      <c r="B105" s="11">
        <v>64.53</v>
      </c>
      <c r="C105" s="39">
        <f>'2_Costos_fijos'!B105</f>
        <v>9.6900000000000003E-4</v>
      </c>
      <c r="D105" s="6">
        <f>'2_Costos_fijos'!C105</f>
        <v>0</v>
      </c>
      <c r="E105" s="11">
        <f t="shared" si="58"/>
        <v>5</v>
      </c>
      <c r="F105" s="11">
        <f t="shared" si="58"/>
        <v>5</v>
      </c>
      <c r="G105" s="11">
        <f t="shared" si="46"/>
        <v>64.53</v>
      </c>
      <c r="H105" s="11">
        <f t="shared" si="47"/>
        <v>0</v>
      </c>
      <c r="I105" s="11">
        <f t="shared" si="48"/>
        <v>5.0000000000000009</v>
      </c>
      <c r="J105" s="11">
        <f t="shared" si="49"/>
        <v>6.2529570000000007E-2</v>
      </c>
      <c r="K105" s="10">
        <f t="shared" si="50"/>
        <v>7.7483341081667434E-2</v>
      </c>
      <c r="L105" s="6">
        <f t="shared" si="51"/>
        <v>0</v>
      </c>
      <c r="M105" s="11">
        <f t="shared" si="52"/>
        <v>0</v>
      </c>
      <c r="N105" s="6">
        <f t="shared" si="53"/>
        <v>0</v>
      </c>
      <c r="O105" s="11">
        <f t="shared" si="54"/>
        <v>0</v>
      </c>
      <c r="P105" s="6">
        <f t="shared" si="55"/>
        <v>0</v>
      </c>
      <c r="Q105" s="11">
        <f t="shared" si="56"/>
        <v>0</v>
      </c>
      <c r="R105" s="6" t="str">
        <f t="shared" si="57"/>
        <v>TN</v>
      </c>
      <c r="S105" s="6"/>
      <c r="T105" s="10">
        <f t="shared" si="44"/>
        <v>0.50000000000000033</v>
      </c>
      <c r="U105" s="11">
        <f t="shared" si="59"/>
        <v>1500</v>
      </c>
      <c r="V105" s="9">
        <f t="shared" si="40"/>
        <v>0</v>
      </c>
      <c r="W105" s="9">
        <f t="shared" si="41"/>
        <v>0</v>
      </c>
      <c r="X105" s="9">
        <f t="shared" si="42"/>
        <v>1</v>
      </c>
      <c r="Y105" s="9">
        <f t="shared" si="43"/>
        <v>99</v>
      </c>
      <c r="Z105" s="6"/>
      <c r="AA105" s="6"/>
      <c r="AB105" s="6"/>
      <c r="AC105" s="6"/>
      <c r="AD105" s="6"/>
      <c r="AE105" s="6"/>
      <c r="AF105" s="6"/>
      <c r="AG105" s="6"/>
      <c r="AH105" s="6"/>
    </row>
    <row r="106" spans="1:34">
      <c r="A106" s="6" t="str">
        <f>'2_Costos_fijos'!A106</f>
        <v>T090</v>
      </c>
      <c r="B106" s="11">
        <v>163.79</v>
      </c>
      <c r="C106" s="39">
        <f>'2_Costos_fijos'!B106</f>
        <v>1.1073E-2</v>
      </c>
      <c r="D106" s="6">
        <f>'2_Costos_fijos'!C106</f>
        <v>0</v>
      </c>
      <c r="E106" s="11">
        <f t="shared" si="58"/>
        <v>5</v>
      </c>
      <c r="F106" s="11">
        <f t="shared" si="58"/>
        <v>5</v>
      </c>
      <c r="G106" s="11">
        <f t="shared" si="46"/>
        <v>163.79</v>
      </c>
      <c r="H106" s="11">
        <f t="shared" si="47"/>
        <v>0</v>
      </c>
      <c r="I106" s="11">
        <f t="shared" si="48"/>
        <v>5</v>
      </c>
      <c r="J106" s="11">
        <f t="shared" si="49"/>
        <v>1.8136466699999998</v>
      </c>
      <c r="K106" s="10">
        <f t="shared" si="50"/>
        <v>3.0526894193784727E-2</v>
      </c>
      <c r="L106" s="6">
        <f t="shared" si="51"/>
        <v>0</v>
      </c>
      <c r="M106" s="11">
        <f t="shared" si="52"/>
        <v>0</v>
      </c>
      <c r="N106" s="6">
        <f t="shared" si="53"/>
        <v>0</v>
      </c>
      <c r="O106" s="11">
        <f t="shared" si="54"/>
        <v>0</v>
      </c>
      <c r="P106" s="6">
        <f t="shared" si="55"/>
        <v>1</v>
      </c>
      <c r="Q106" s="11">
        <f t="shared" si="56"/>
        <v>5</v>
      </c>
      <c r="R106" s="6" t="str">
        <f t="shared" si="57"/>
        <v>TN</v>
      </c>
      <c r="S106" s="6"/>
      <c r="T106" s="6"/>
      <c r="U106" s="6"/>
      <c r="V106" s="6"/>
      <c r="W106" s="6"/>
      <c r="X106" s="6"/>
      <c r="Y106" s="6"/>
      <c r="Z106" s="6"/>
      <c r="AA106" s="6"/>
      <c r="AB106" s="6"/>
      <c r="AC106" s="6"/>
      <c r="AD106" s="6"/>
      <c r="AE106" s="6"/>
      <c r="AF106" s="6"/>
      <c r="AG106" s="6"/>
      <c r="AH106" s="6"/>
    </row>
    <row r="107" spans="1:34">
      <c r="A107" s="6" t="str">
        <f>'2_Costos_fijos'!A107</f>
        <v>T091</v>
      </c>
      <c r="B107" s="11">
        <v>15.06</v>
      </c>
      <c r="C107" s="39">
        <f>'2_Costos_fijos'!B107</f>
        <v>2.5000000000000001E-2</v>
      </c>
      <c r="D107" s="6">
        <f>'2_Costos_fijos'!C107</f>
        <v>0</v>
      </c>
      <c r="E107" s="11">
        <f t="shared" si="58"/>
        <v>5</v>
      </c>
      <c r="F107" s="11">
        <f t="shared" si="58"/>
        <v>5</v>
      </c>
      <c r="G107" s="11">
        <f t="shared" si="46"/>
        <v>15.06</v>
      </c>
      <c r="H107" s="11">
        <f t="shared" si="47"/>
        <v>0</v>
      </c>
      <c r="I107" s="11">
        <f t="shared" si="48"/>
        <v>5</v>
      </c>
      <c r="J107" s="11">
        <f t="shared" si="49"/>
        <v>0.37650000000000006</v>
      </c>
      <c r="K107" s="10">
        <f t="shared" si="50"/>
        <v>0.33200531208499334</v>
      </c>
      <c r="L107" s="6">
        <f t="shared" si="51"/>
        <v>0</v>
      </c>
      <c r="M107" s="11">
        <f t="shared" si="52"/>
        <v>0</v>
      </c>
      <c r="N107" s="6">
        <f t="shared" si="53"/>
        <v>0</v>
      </c>
      <c r="O107" s="11">
        <f t="shared" si="54"/>
        <v>0</v>
      </c>
      <c r="P107" s="6">
        <f t="shared" si="55"/>
        <v>1</v>
      </c>
      <c r="Q107" s="11">
        <f t="shared" si="56"/>
        <v>5</v>
      </c>
      <c r="R107" s="6" t="str">
        <f t="shared" si="57"/>
        <v>TN</v>
      </c>
      <c r="S107" s="6"/>
      <c r="T107" s="6"/>
      <c r="U107" s="6"/>
      <c r="V107" s="6"/>
      <c r="W107" s="6"/>
      <c r="X107" s="6"/>
      <c r="Y107" s="6"/>
      <c r="Z107" s="6"/>
      <c r="AA107" s="6"/>
      <c r="AB107" s="6"/>
      <c r="AC107" s="6"/>
      <c r="AD107" s="6"/>
      <c r="AE107" s="6"/>
      <c r="AF107" s="6"/>
      <c r="AG107" s="6"/>
      <c r="AH107" s="6"/>
    </row>
    <row r="108" spans="1:34" ht="15">
      <c r="A108" s="6" t="str">
        <f>'2_Costos_fijos'!A108</f>
        <v>T092</v>
      </c>
      <c r="B108" s="11">
        <v>42.87</v>
      </c>
      <c r="C108" s="39">
        <f>'2_Costos_fijos'!B108</f>
        <v>2.2300000000000002E-3</v>
      </c>
      <c r="D108" s="6">
        <f>'2_Costos_fijos'!C108</f>
        <v>0</v>
      </c>
      <c r="E108" s="11">
        <f t="shared" si="58"/>
        <v>5</v>
      </c>
      <c r="F108" s="11">
        <f t="shared" si="58"/>
        <v>5</v>
      </c>
      <c r="G108" s="11">
        <f t="shared" si="46"/>
        <v>42.87</v>
      </c>
      <c r="H108" s="11">
        <f t="shared" si="47"/>
        <v>0</v>
      </c>
      <c r="I108" s="11">
        <f t="shared" si="48"/>
        <v>5</v>
      </c>
      <c r="J108" s="11">
        <f t="shared" si="49"/>
        <v>9.5600100000000007E-2</v>
      </c>
      <c r="K108" s="10">
        <f t="shared" si="50"/>
        <v>0.11663167716351762</v>
      </c>
      <c r="L108" s="6">
        <f t="shared" si="51"/>
        <v>0</v>
      </c>
      <c r="M108" s="11">
        <f t="shared" si="52"/>
        <v>0</v>
      </c>
      <c r="N108" s="6">
        <f t="shared" si="53"/>
        <v>0</v>
      </c>
      <c r="O108" s="11">
        <f t="shared" si="54"/>
        <v>0</v>
      </c>
      <c r="P108" s="6">
        <f t="shared" si="55"/>
        <v>0</v>
      </c>
      <c r="Q108" s="11">
        <f t="shared" si="56"/>
        <v>0</v>
      </c>
      <c r="R108" s="6" t="str">
        <f t="shared" si="57"/>
        <v>TN</v>
      </c>
      <c r="S108" s="6"/>
      <c r="T108" s="5" t="s">
        <v>4</v>
      </c>
      <c r="U108" s="5" t="s">
        <v>5</v>
      </c>
      <c r="V108" s="6"/>
      <c r="W108" s="6"/>
      <c r="X108" s="6"/>
      <c r="Y108" s="6"/>
      <c r="Z108" s="6"/>
      <c r="AA108" s="6"/>
      <c r="AB108" s="6"/>
      <c r="AC108" s="6"/>
      <c r="AD108" s="6"/>
      <c r="AE108" s="6"/>
      <c r="AF108" s="6"/>
      <c r="AG108" s="6"/>
      <c r="AH108" s="6"/>
    </row>
    <row r="109" spans="1:34">
      <c r="A109" s="6" t="str">
        <f>'2_Costos_fijos'!A109</f>
        <v>T093</v>
      </c>
      <c r="B109" s="11">
        <v>137.11000000000001</v>
      </c>
      <c r="C109" s="39">
        <f>'2_Costos_fijos'!B109</f>
        <v>1E-4</v>
      </c>
      <c r="D109" s="6">
        <f>'2_Costos_fijos'!C109</f>
        <v>0</v>
      </c>
      <c r="E109" s="11">
        <f t="shared" si="58"/>
        <v>5</v>
      </c>
      <c r="F109" s="11">
        <f t="shared" si="58"/>
        <v>5</v>
      </c>
      <c r="G109" s="11">
        <f t="shared" si="46"/>
        <v>137.11000000000001</v>
      </c>
      <c r="H109" s="11">
        <f t="shared" si="47"/>
        <v>0</v>
      </c>
      <c r="I109" s="11">
        <f t="shared" si="48"/>
        <v>5</v>
      </c>
      <c r="J109" s="11">
        <f t="shared" si="49"/>
        <v>1.3711000000000003E-2</v>
      </c>
      <c r="K109" s="10">
        <f t="shared" si="50"/>
        <v>3.646707023557727E-2</v>
      </c>
      <c r="L109" s="6">
        <f t="shared" si="51"/>
        <v>0</v>
      </c>
      <c r="M109" s="11">
        <f t="shared" si="52"/>
        <v>0</v>
      </c>
      <c r="N109" s="6">
        <f t="shared" si="53"/>
        <v>0</v>
      </c>
      <c r="O109" s="11">
        <f t="shared" si="54"/>
        <v>0</v>
      </c>
      <c r="P109" s="6">
        <f t="shared" si="55"/>
        <v>0</v>
      </c>
      <c r="Q109" s="11">
        <f t="shared" si="56"/>
        <v>0</v>
      </c>
      <c r="R109" s="6" t="str">
        <f t="shared" si="57"/>
        <v>TN</v>
      </c>
      <c r="S109" s="6"/>
      <c r="T109" s="6" t="str">
        <f>TEXT(T5,"0%")</f>
        <v>0%</v>
      </c>
      <c r="U109" s="11">
        <f>U5</f>
        <v>500</v>
      </c>
      <c r="V109" s="6"/>
      <c r="W109" s="6"/>
      <c r="X109" s="6"/>
      <c r="Y109" s="6"/>
      <c r="Z109" s="6"/>
      <c r="AA109" s="6"/>
      <c r="AB109" s="6"/>
      <c r="AC109" s="6"/>
      <c r="AD109" s="6"/>
      <c r="AE109" s="6"/>
      <c r="AF109" s="6"/>
      <c r="AG109" s="6"/>
      <c r="AH109" s="6"/>
    </row>
    <row r="110" spans="1:34">
      <c r="A110" s="6" t="str">
        <f>'2_Costos_fijos'!A110</f>
        <v>T094</v>
      </c>
      <c r="B110" s="11">
        <v>25.26</v>
      </c>
      <c r="C110" s="39">
        <f>'2_Costos_fijos'!B110</f>
        <v>2.8299999999999999E-4</v>
      </c>
      <c r="D110" s="6">
        <f>'2_Costos_fijos'!C110</f>
        <v>0</v>
      </c>
      <c r="E110" s="11">
        <f t="shared" si="58"/>
        <v>5</v>
      </c>
      <c r="F110" s="11">
        <f t="shared" si="58"/>
        <v>5</v>
      </c>
      <c r="G110" s="11">
        <f t="shared" si="46"/>
        <v>25.26</v>
      </c>
      <c r="H110" s="11">
        <f t="shared" si="47"/>
        <v>0</v>
      </c>
      <c r="I110" s="11">
        <f t="shared" si="48"/>
        <v>5</v>
      </c>
      <c r="J110" s="11">
        <f t="shared" si="49"/>
        <v>7.1485799999999999E-3</v>
      </c>
      <c r="K110" s="10">
        <f t="shared" si="50"/>
        <v>0.1979414093428345</v>
      </c>
      <c r="L110" s="6">
        <f t="shared" si="51"/>
        <v>0</v>
      </c>
      <c r="M110" s="11">
        <f t="shared" si="52"/>
        <v>0</v>
      </c>
      <c r="N110" s="6">
        <f t="shared" si="53"/>
        <v>0</v>
      </c>
      <c r="O110" s="11">
        <f t="shared" si="54"/>
        <v>0</v>
      </c>
      <c r="P110" s="6">
        <f t="shared" si="55"/>
        <v>0</v>
      </c>
      <c r="Q110" s="11">
        <f t="shared" si="56"/>
        <v>0</v>
      </c>
      <c r="R110" s="6" t="str">
        <f t="shared" si="57"/>
        <v>TN</v>
      </c>
      <c r="S110" s="6"/>
      <c r="T110" s="6" t="str">
        <f>TEXT(T15,"0%")</f>
        <v>5%</v>
      </c>
      <c r="U110" s="11">
        <f>U15</f>
        <v>1505</v>
      </c>
      <c r="V110" s="6"/>
      <c r="W110" s="6"/>
      <c r="X110" s="6"/>
      <c r="Y110" s="6"/>
      <c r="Z110" s="6"/>
      <c r="AA110" s="6"/>
      <c r="AB110" s="6"/>
      <c r="AC110" s="6"/>
      <c r="AD110" s="6"/>
      <c r="AE110" s="6"/>
      <c r="AF110" s="6"/>
      <c r="AG110" s="6"/>
      <c r="AH110" s="6"/>
    </row>
    <row r="111" spans="1:34">
      <c r="A111" s="6" t="str">
        <f>'2_Costos_fijos'!A111</f>
        <v>T095</v>
      </c>
      <c r="B111" s="11">
        <v>23.25</v>
      </c>
      <c r="C111" s="39">
        <f>'2_Costos_fijos'!B111</f>
        <v>4.6540000000000002E-3</v>
      </c>
      <c r="D111" s="6">
        <f>'2_Costos_fijos'!C111</f>
        <v>0</v>
      </c>
      <c r="E111" s="11">
        <f t="shared" si="58"/>
        <v>5</v>
      </c>
      <c r="F111" s="11">
        <f t="shared" si="58"/>
        <v>5</v>
      </c>
      <c r="G111" s="11">
        <f t="shared" si="46"/>
        <v>23.25</v>
      </c>
      <c r="H111" s="11">
        <f t="shared" si="47"/>
        <v>0</v>
      </c>
      <c r="I111" s="11">
        <f t="shared" si="48"/>
        <v>5</v>
      </c>
      <c r="J111" s="11">
        <f t="shared" si="49"/>
        <v>0.10820550000000001</v>
      </c>
      <c r="K111" s="10">
        <f t="shared" si="50"/>
        <v>0.21505376344086022</v>
      </c>
      <c r="L111" s="6">
        <f t="shared" si="51"/>
        <v>0</v>
      </c>
      <c r="M111" s="11">
        <f t="shared" si="52"/>
        <v>0</v>
      </c>
      <c r="N111" s="6">
        <f t="shared" si="53"/>
        <v>0</v>
      </c>
      <c r="O111" s="11">
        <f t="shared" si="54"/>
        <v>0</v>
      </c>
      <c r="P111" s="6">
        <f t="shared" si="55"/>
        <v>0</v>
      </c>
      <c r="Q111" s="11">
        <f t="shared" si="56"/>
        <v>0</v>
      </c>
      <c r="R111" s="6" t="str">
        <f t="shared" si="57"/>
        <v>TN</v>
      </c>
      <c r="S111" s="6"/>
      <c r="T111" s="6" t="str">
        <f>TEXT(T25,"0%")</f>
        <v>10%</v>
      </c>
      <c r="U111" s="11">
        <f>U25</f>
        <v>1500</v>
      </c>
      <c r="V111" s="6"/>
      <c r="W111" s="6"/>
      <c r="X111" s="6"/>
      <c r="Y111" s="6"/>
      <c r="Z111" s="6"/>
      <c r="AA111" s="6"/>
      <c r="AB111" s="6"/>
      <c r="AC111" s="6"/>
      <c r="AD111" s="6"/>
      <c r="AE111" s="6"/>
      <c r="AF111" s="6"/>
      <c r="AG111" s="6"/>
      <c r="AH111" s="6"/>
    </row>
    <row r="112" spans="1:34">
      <c r="A112" s="6" t="str">
        <f>'2_Costos_fijos'!A112</f>
        <v>T096</v>
      </c>
      <c r="B112" s="11">
        <v>35.5</v>
      </c>
      <c r="C112" s="39">
        <f>'2_Costos_fijos'!B112</f>
        <v>1.01E-4</v>
      </c>
      <c r="D112" s="6">
        <f>'2_Costos_fijos'!C112</f>
        <v>0</v>
      </c>
      <c r="E112" s="11">
        <f t="shared" si="58"/>
        <v>5</v>
      </c>
      <c r="F112" s="11">
        <f t="shared" si="58"/>
        <v>5</v>
      </c>
      <c r="G112" s="11">
        <f t="shared" si="46"/>
        <v>35.5</v>
      </c>
      <c r="H112" s="11">
        <f t="shared" si="47"/>
        <v>0</v>
      </c>
      <c r="I112" s="11">
        <f t="shared" si="48"/>
        <v>5</v>
      </c>
      <c r="J112" s="11">
        <f t="shared" si="49"/>
        <v>3.5855000000000001E-3</v>
      </c>
      <c r="K112" s="10">
        <f t="shared" si="50"/>
        <v>0.14084507042253522</v>
      </c>
      <c r="L112" s="6">
        <f t="shared" si="51"/>
        <v>0</v>
      </c>
      <c r="M112" s="11">
        <f t="shared" si="52"/>
        <v>0</v>
      </c>
      <c r="N112" s="6">
        <f t="shared" si="53"/>
        <v>0</v>
      </c>
      <c r="O112" s="11">
        <f t="shared" si="54"/>
        <v>0</v>
      </c>
      <c r="P112" s="6">
        <f t="shared" si="55"/>
        <v>0</v>
      </c>
      <c r="Q112" s="11">
        <f t="shared" si="56"/>
        <v>0</v>
      </c>
      <c r="R112" s="6" t="str">
        <f t="shared" si="57"/>
        <v>TN</v>
      </c>
      <c r="S112" s="6"/>
      <c r="T112" s="6" t="str">
        <f>TEXT(T35,"0%")</f>
        <v>15%</v>
      </c>
      <c r="U112" s="11">
        <f>U35</f>
        <v>1500</v>
      </c>
      <c r="V112" s="6"/>
      <c r="W112" s="6"/>
      <c r="X112" s="6"/>
      <c r="Y112" s="6"/>
      <c r="Z112" s="6"/>
      <c r="AA112" s="6"/>
      <c r="AB112" s="6"/>
      <c r="AC112" s="6"/>
      <c r="AD112" s="6"/>
      <c r="AE112" s="6"/>
      <c r="AF112" s="6"/>
      <c r="AG112" s="6"/>
      <c r="AH112" s="6"/>
    </row>
    <row r="113" spans="1:34">
      <c r="A113" s="6" t="str">
        <f>'2_Costos_fijos'!A113</f>
        <v>T097</v>
      </c>
      <c r="B113" s="11">
        <v>69.010000000000005</v>
      </c>
      <c r="C113" s="39">
        <f>'2_Costos_fijos'!B113</f>
        <v>6.9999999999999999E-4</v>
      </c>
      <c r="D113" s="6">
        <f>'2_Costos_fijos'!C113</f>
        <v>0</v>
      </c>
      <c r="E113" s="11">
        <f t="shared" si="58"/>
        <v>5</v>
      </c>
      <c r="F113" s="11">
        <f t="shared" si="58"/>
        <v>5</v>
      </c>
      <c r="G113" s="11">
        <f t="shared" si="46"/>
        <v>69.010000000000005</v>
      </c>
      <c r="H113" s="11">
        <f t="shared" si="47"/>
        <v>0</v>
      </c>
      <c r="I113" s="11">
        <f t="shared" si="48"/>
        <v>5</v>
      </c>
      <c r="J113" s="11">
        <f t="shared" si="49"/>
        <v>4.8307000000000003E-2</v>
      </c>
      <c r="K113" s="10">
        <f t="shared" si="50"/>
        <v>7.2453267642370672E-2</v>
      </c>
      <c r="L113" s="6">
        <f t="shared" si="51"/>
        <v>0</v>
      </c>
      <c r="M113" s="11">
        <f t="shared" ref="M113:M116" si="60">IF(D113=1,IF(L113=1,E113,G113),IF(L113=1,F113,H113))</f>
        <v>0</v>
      </c>
      <c r="N113" s="6">
        <f t="shared" si="53"/>
        <v>0</v>
      </c>
      <c r="O113" s="11">
        <f t="shared" ref="O113:O116" si="61">IF(D113=1,IF(N113=1,E113,G113),IF(N113=1,F113,H113))</f>
        <v>0</v>
      </c>
      <c r="P113" s="6">
        <f t="shared" si="55"/>
        <v>0</v>
      </c>
      <c r="Q113" s="11">
        <f t="shared" ref="Q113:Q116" si="62">IF(D113=1,IF(P113=1,E113,G113),IF(P113=1,F113,H113))</f>
        <v>0</v>
      </c>
      <c r="R113" s="6" t="str">
        <f t="shared" si="57"/>
        <v>TN</v>
      </c>
      <c r="S113" s="6"/>
      <c r="T113" s="6" t="str">
        <f>TEXT(T45,"0%")</f>
        <v>20%</v>
      </c>
      <c r="U113" s="11">
        <f>U45</f>
        <v>1500</v>
      </c>
      <c r="V113" s="6"/>
      <c r="W113" s="6"/>
      <c r="X113" s="6"/>
      <c r="Y113" s="6"/>
      <c r="Z113" s="6"/>
      <c r="AA113" s="6"/>
      <c r="AB113" s="6"/>
      <c r="AC113" s="6"/>
      <c r="AD113" s="6"/>
      <c r="AE113" s="6"/>
      <c r="AF113" s="6"/>
      <c r="AG113" s="6"/>
      <c r="AH113" s="6"/>
    </row>
    <row r="114" spans="1:34">
      <c r="A114" s="6" t="str">
        <f>'2_Costos_fijos'!A114</f>
        <v>T098</v>
      </c>
      <c r="B114" s="11">
        <v>620.97</v>
      </c>
      <c r="C114" s="39">
        <f>'2_Costos_fijos'!B114</f>
        <v>8.9079999999999993E-3</v>
      </c>
      <c r="D114" s="6">
        <f>'2_Costos_fijos'!C114</f>
        <v>0</v>
      </c>
      <c r="E114" s="11">
        <f t="shared" si="58"/>
        <v>5</v>
      </c>
      <c r="F114" s="11">
        <f t="shared" si="58"/>
        <v>5</v>
      </c>
      <c r="G114" s="11">
        <f t="shared" si="46"/>
        <v>620.97</v>
      </c>
      <c r="H114" s="11">
        <f t="shared" si="47"/>
        <v>0</v>
      </c>
      <c r="I114" s="11">
        <f t="shared" si="48"/>
        <v>4.9999999999999991</v>
      </c>
      <c r="J114" s="11">
        <f t="shared" si="49"/>
        <v>5.5316007599999999</v>
      </c>
      <c r="K114" s="10">
        <f t="shared" si="50"/>
        <v>8.0519187722434254E-3</v>
      </c>
      <c r="L114" s="6">
        <f t="shared" si="51"/>
        <v>1</v>
      </c>
      <c r="M114" s="11">
        <f t="shared" si="60"/>
        <v>5</v>
      </c>
      <c r="N114" s="6">
        <f t="shared" si="53"/>
        <v>0</v>
      </c>
      <c r="O114" s="11">
        <f t="shared" si="61"/>
        <v>0</v>
      </c>
      <c r="P114" s="6">
        <f t="shared" si="55"/>
        <v>0</v>
      </c>
      <c r="Q114" s="11">
        <f t="shared" si="62"/>
        <v>0</v>
      </c>
      <c r="R114" s="6" t="str">
        <f t="shared" si="57"/>
        <v>FP</v>
      </c>
      <c r="S114" s="6"/>
      <c r="T114" s="6" t="str">
        <f>TEXT(T55,"0%")</f>
        <v>25%</v>
      </c>
      <c r="U114" s="11">
        <f>U55</f>
        <v>1500</v>
      </c>
      <c r="V114" s="6"/>
      <c r="W114" s="6"/>
      <c r="X114" s="6"/>
      <c r="Y114" s="6"/>
      <c r="Z114" s="6"/>
      <c r="AA114" s="6"/>
      <c r="AB114" s="6"/>
      <c r="AC114" s="6"/>
      <c r="AD114" s="6"/>
      <c r="AE114" s="6"/>
      <c r="AF114" s="6"/>
      <c r="AG114" s="6"/>
      <c r="AH114" s="6"/>
    </row>
    <row r="115" spans="1:34">
      <c r="A115" s="6" t="str">
        <f>'2_Costos_fijos'!A115</f>
        <v>T099</v>
      </c>
      <c r="B115" s="11">
        <v>195.67</v>
      </c>
      <c r="C115" s="39">
        <f>'2_Costos_fijos'!B115</f>
        <v>1.1900000000000001E-4</v>
      </c>
      <c r="D115" s="6">
        <f>'2_Costos_fijos'!C115</f>
        <v>0</v>
      </c>
      <c r="E115" s="11">
        <f t="shared" si="58"/>
        <v>5</v>
      </c>
      <c r="F115" s="11">
        <f t="shared" si="58"/>
        <v>5</v>
      </c>
      <c r="G115" s="11">
        <f t="shared" si="46"/>
        <v>195.67</v>
      </c>
      <c r="H115" s="11">
        <f t="shared" si="47"/>
        <v>0</v>
      </c>
      <c r="I115" s="11">
        <f t="shared" si="48"/>
        <v>5</v>
      </c>
      <c r="J115" s="11">
        <f t="shared" si="49"/>
        <v>2.328473E-2</v>
      </c>
      <c r="K115" s="10">
        <f t="shared" si="50"/>
        <v>2.5553227372617164E-2</v>
      </c>
      <c r="L115" s="6">
        <f t="shared" si="51"/>
        <v>0</v>
      </c>
      <c r="M115" s="11">
        <f t="shared" si="60"/>
        <v>0</v>
      </c>
      <c r="N115" s="6">
        <f t="shared" si="53"/>
        <v>0</v>
      </c>
      <c r="O115" s="11">
        <f t="shared" si="61"/>
        <v>0</v>
      </c>
      <c r="P115" s="6">
        <f t="shared" si="55"/>
        <v>0</v>
      </c>
      <c r="Q115" s="11">
        <f t="shared" si="62"/>
        <v>0</v>
      </c>
      <c r="R115" s="6" t="str">
        <f t="shared" si="57"/>
        <v>TN</v>
      </c>
      <c r="S115" s="6"/>
      <c r="T115" s="6" t="str">
        <f>TEXT(T65,"0%")</f>
        <v>30%</v>
      </c>
      <c r="U115" s="11">
        <f>U65</f>
        <v>1500</v>
      </c>
      <c r="V115" s="6"/>
      <c r="W115" s="6"/>
      <c r="X115" s="6"/>
      <c r="Y115" s="6"/>
      <c r="Z115" s="6"/>
      <c r="AA115" s="6"/>
      <c r="AB115" s="6"/>
      <c r="AC115" s="6"/>
      <c r="AD115" s="6"/>
      <c r="AE115" s="6"/>
      <c r="AF115" s="6"/>
      <c r="AG115" s="6"/>
      <c r="AH115" s="6"/>
    </row>
    <row r="116" spans="1:34">
      <c r="A116" s="6" t="str">
        <f>'2_Costos_fijos'!A116</f>
        <v>T100</v>
      </c>
      <c r="B116" s="11">
        <v>19.91</v>
      </c>
      <c r="C116" s="39">
        <f>'2_Costos_fijos'!B116</f>
        <v>1.665E-3</v>
      </c>
      <c r="D116" s="6">
        <f>'2_Costos_fijos'!C116</f>
        <v>0</v>
      </c>
      <c r="E116" s="11">
        <f t="shared" si="58"/>
        <v>5</v>
      </c>
      <c r="F116" s="11">
        <f t="shared" si="58"/>
        <v>5</v>
      </c>
      <c r="G116" s="11">
        <f t="shared" si="46"/>
        <v>19.91</v>
      </c>
      <c r="H116" s="11">
        <f t="shared" si="47"/>
        <v>0</v>
      </c>
      <c r="I116" s="11">
        <f t="shared" si="48"/>
        <v>5</v>
      </c>
      <c r="J116" s="11">
        <f t="shared" si="49"/>
        <v>3.3150150000000003E-2</v>
      </c>
      <c r="K116" s="10">
        <f t="shared" si="50"/>
        <v>0.25113008538422904</v>
      </c>
      <c r="L116" s="6">
        <f t="shared" si="51"/>
        <v>0</v>
      </c>
      <c r="M116" s="11">
        <f t="shared" si="60"/>
        <v>0</v>
      </c>
      <c r="N116" s="6">
        <f t="shared" si="53"/>
        <v>0</v>
      </c>
      <c r="O116" s="11">
        <f t="shared" si="61"/>
        <v>0</v>
      </c>
      <c r="P116" s="6">
        <f t="shared" si="55"/>
        <v>0</v>
      </c>
      <c r="Q116" s="11">
        <f t="shared" si="62"/>
        <v>0</v>
      </c>
      <c r="R116" s="6" t="str">
        <f t="shared" si="57"/>
        <v>TN</v>
      </c>
      <c r="S116" s="6"/>
      <c r="T116" s="6" t="str">
        <f>TEXT(T75,"0%")</f>
        <v>35%</v>
      </c>
      <c r="U116" s="11">
        <f>U75</f>
        <v>1500</v>
      </c>
      <c r="V116" s="6"/>
      <c r="W116" s="6"/>
      <c r="X116" s="6"/>
      <c r="Y116" s="6"/>
      <c r="Z116" s="6"/>
      <c r="AA116" s="6"/>
      <c r="AB116" s="6"/>
      <c r="AC116" s="6"/>
      <c r="AD116" s="6"/>
      <c r="AE116" s="6"/>
      <c r="AF116" s="6"/>
      <c r="AG116" s="6"/>
      <c r="AH116" s="6"/>
    </row>
    <row r="117" spans="1:34">
      <c r="A117" s="6"/>
      <c r="B117" s="6"/>
      <c r="C117" s="6"/>
      <c r="D117" s="6"/>
      <c r="E117" s="6"/>
      <c r="F117" s="6"/>
      <c r="G117" s="6"/>
      <c r="H117" s="6"/>
      <c r="I117" s="6"/>
      <c r="J117" s="6"/>
      <c r="K117" s="6"/>
      <c r="L117" s="6"/>
      <c r="M117" s="6"/>
      <c r="N117" s="6"/>
      <c r="O117" s="6"/>
      <c r="P117" s="6"/>
      <c r="Q117" s="6"/>
      <c r="R117" s="6"/>
      <c r="S117" s="6"/>
      <c r="T117" s="6" t="str">
        <f>TEXT(T85,"0%")</f>
        <v>40%</v>
      </c>
      <c r="U117" s="11">
        <f>U85</f>
        <v>1500</v>
      </c>
      <c r="V117" s="6"/>
      <c r="W117" s="6"/>
      <c r="X117" s="6"/>
      <c r="Y117" s="6"/>
      <c r="Z117" s="6"/>
      <c r="AA117" s="6"/>
      <c r="AB117" s="6"/>
      <c r="AC117" s="6"/>
      <c r="AD117" s="6"/>
      <c r="AE117" s="6"/>
      <c r="AF117" s="6"/>
      <c r="AG117" s="6"/>
      <c r="AH117" s="6"/>
    </row>
    <row r="118" spans="1:34">
      <c r="A118" s="6"/>
      <c r="B118" s="6"/>
      <c r="C118" s="6"/>
      <c r="D118" s="6"/>
      <c r="E118" s="6"/>
      <c r="F118" s="6"/>
      <c r="G118" s="6"/>
      <c r="H118" s="6"/>
      <c r="I118" s="6"/>
      <c r="J118" s="6"/>
      <c r="K118" s="6"/>
      <c r="L118" s="6"/>
      <c r="M118" s="6"/>
      <c r="N118" s="6"/>
      <c r="O118" s="6"/>
      <c r="P118" s="6"/>
      <c r="Q118" s="6"/>
      <c r="R118" s="6"/>
      <c r="S118" s="6"/>
      <c r="T118" s="6" t="str">
        <f>TEXT(T95,"0%")</f>
        <v>45%</v>
      </c>
      <c r="U118" s="11">
        <f>U95</f>
        <v>1500</v>
      </c>
      <c r="V118" s="6"/>
      <c r="W118" s="6"/>
      <c r="X118" s="6"/>
      <c r="Y118" s="6"/>
      <c r="Z118" s="6"/>
      <c r="AA118" s="6"/>
      <c r="AB118" s="6"/>
      <c r="AC118" s="6"/>
      <c r="AD118" s="6"/>
      <c r="AE118" s="6"/>
      <c r="AF118" s="6"/>
      <c r="AG118" s="6"/>
      <c r="AH118" s="6"/>
    </row>
    <row r="119" spans="1:34">
      <c r="A119" s="56" t="s">
        <v>292</v>
      </c>
      <c r="B119" s="56"/>
      <c r="C119" s="56"/>
      <c r="D119" s="56"/>
      <c r="E119" s="56"/>
      <c r="F119" s="56"/>
      <c r="G119" s="56"/>
      <c r="H119" s="56"/>
      <c r="I119" s="56"/>
      <c r="J119" s="56"/>
      <c r="K119" s="56"/>
      <c r="L119" s="56"/>
      <c r="M119" s="56"/>
      <c r="N119" s="56"/>
      <c r="O119" s="56"/>
      <c r="P119" s="56"/>
      <c r="Q119" s="56"/>
      <c r="R119" s="56"/>
      <c r="S119" s="6"/>
      <c r="T119" s="6" t="str">
        <f>TEXT(T105,"0%")</f>
        <v>50%</v>
      </c>
      <c r="U119" s="11">
        <f>U105</f>
        <v>1500</v>
      </c>
      <c r="V119" s="6"/>
      <c r="W119" s="6"/>
      <c r="X119" s="6"/>
      <c r="Y119" s="6"/>
      <c r="Z119" s="6"/>
      <c r="AA119" s="6"/>
      <c r="AB119" s="6"/>
      <c r="AC119" s="6"/>
      <c r="AD119" s="6"/>
      <c r="AE119" s="6"/>
      <c r="AF119" s="6"/>
      <c r="AG119" s="6"/>
      <c r="AH119" s="6"/>
    </row>
    <row r="120" spans="1:34">
      <c r="A120" s="56"/>
      <c r="B120" s="56"/>
      <c r="C120" s="56"/>
      <c r="D120" s="56"/>
      <c r="E120" s="56"/>
      <c r="F120" s="56"/>
      <c r="G120" s="56"/>
      <c r="H120" s="56"/>
      <c r="I120" s="56"/>
      <c r="J120" s="56"/>
      <c r="K120" s="56"/>
      <c r="L120" s="56"/>
      <c r="M120" s="56"/>
      <c r="N120" s="56"/>
      <c r="O120" s="56"/>
      <c r="P120" s="56"/>
      <c r="Q120" s="56"/>
      <c r="R120" s="56"/>
      <c r="S120" s="6"/>
      <c r="T120" s="6"/>
      <c r="U120" s="6"/>
      <c r="V120" s="6"/>
      <c r="W120" s="6"/>
      <c r="X120" s="6"/>
      <c r="Y120" s="6"/>
      <c r="Z120" s="6"/>
      <c r="AA120" s="6"/>
      <c r="AB120" s="6"/>
      <c r="AC120" s="6"/>
      <c r="AD120" s="6"/>
      <c r="AE120" s="6"/>
      <c r="AF120" s="6"/>
      <c r="AG120" s="6"/>
      <c r="AH120" s="6"/>
    </row>
    <row r="121" spans="1:34">
      <c r="A121" s="56"/>
      <c r="B121" s="56"/>
      <c r="C121" s="56"/>
      <c r="D121" s="56"/>
      <c r="E121" s="56"/>
      <c r="F121" s="56"/>
      <c r="G121" s="56"/>
      <c r="H121" s="56"/>
      <c r="I121" s="56"/>
      <c r="J121" s="56"/>
      <c r="K121" s="56"/>
      <c r="L121" s="56"/>
      <c r="M121" s="56"/>
      <c r="N121" s="56"/>
      <c r="O121" s="56"/>
      <c r="P121" s="56"/>
      <c r="Q121" s="56"/>
      <c r="R121" s="56"/>
    </row>
    <row r="122" spans="1:34">
      <c r="A122" s="56"/>
      <c r="B122" s="56"/>
      <c r="C122" s="56"/>
      <c r="D122" s="56"/>
      <c r="E122" s="56"/>
      <c r="F122" s="56"/>
      <c r="G122" s="56"/>
      <c r="H122" s="56"/>
      <c r="I122" s="56"/>
      <c r="J122" s="56"/>
      <c r="K122" s="56"/>
      <c r="L122" s="56"/>
      <c r="M122" s="56"/>
      <c r="N122" s="56"/>
      <c r="O122" s="56"/>
      <c r="P122" s="56"/>
      <c r="Q122" s="56"/>
      <c r="R122" s="56"/>
    </row>
    <row r="123" spans="1:34">
      <c r="A123" s="56"/>
      <c r="B123" s="56"/>
      <c r="C123" s="56"/>
      <c r="D123" s="56"/>
      <c r="E123" s="56"/>
      <c r="F123" s="56"/>
      <c r="G123" s="56"/>
      <c r="H123" s="56"/>
      <c r="I123" s="56"/>
      <c r="J123" s="56"/>
      <c r="K123" s="56"/>
      <c r="L123" s="56"/>
      <c r="M123" s="56"/>
      <c r="N123" s="56"/>
      <c r="O123" s="56"/>
      <c r="P123" s="56"/>
      <c r="Q123" s="56"/>
      <c r="R123" s="56"/>
    </row>
  </sheetData>
  <mergeCells count="5">
    <mergeCell ref="A1:AH1"/>
    <mergeCell ref="A2:AH2"/>
    <mergeCell ref="A4:C4"/>
    <mergeCell ref="E4:G4"/>
    <mergeCell ref="A119:R123"/>
  </mergeCells>
  <conditionalFormatting sqref="K17:K46">
    <cfRule type="colorScale" priority="1">
      <colorScale>
        <cfvo type="min"/>
        <cfvo type="percentile" val="50"/>
        <cfvo type="max"/>
        <color rgb="FF63BE7B"/>
        <color rgb="FFFFEB84"/>
        <color rgb="FFF8696B"/>
      </colorScale>
    </cfRule>
  </conditionalFormatting>
  <conditionalFormatting sqref="R17:R46">
    <cfRule type="expression" dxfId="5" priority="2">
      <formula>R17="FN"</formula>
    </cfRule>
    <cfRule type="expression" dxfId="4" priority="3">
      <formula>R17="FP"</formula>
    </cfRule>
    <cfRule type="expression" dxfId="3" priority="4">
      <formula>OR(R17="TP",R17="TN")</formula>
    </cfRule>
  </conditionalFormatting>
  <conditionalFormatting sqref="R17:R116">
    <cfRule type="expression" dxfId="2" priority="5">
      <formula>R17="FN"</formula>
    </cfRule>
    <cfRule type="expression" dxfId="1" priority="6">
      <formula>R17="FP"</formula>
    </cfRule>
    <cfRule type="expression" dxfId="0" priority="7">
      <formula>OR(R17="TP",R17="TN")</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0"/>
  <sheetViews>
    <sheetView tabSelected="1" topLeftCell="A23" workbookViewId="0">
      <selection activeCell="B29" sqref="B29"/>
    </sheetView>
  </sheetViews>
  <sheetFormatPr defaultRowHeight="14.25"/>
  <cols>
    <col min="1" max="1" width="29" customWidth="1"/>
    <col min="2" max="2" width="72" customWidth="1"/>
    <col min="3" max="3" width="52" customWidth="1"/>
    <col min="4" max="8" width="12" customWidth="1"/>
  </cols>
  <sheetData>
    <row r="1" spans="1:34" ht="27.95" customHeight="1">
      <c r="A1" s="53" t="s">
        <v>184</v>
      </c>
      <c r="B1" s="53"/>
      <c r="C1" s="53"/>
      <c r="D1" s="53"/>
      <c r="E1" s="53"/>
      <c r="F1" s="53"/>
      <c r="G1" s="53"/>
      <c r="H1" s="53"/>
      <c r="I1" s="6"/>
      <c r="J1" s="6"/>
      <c r="K1" s="6"/>
      <c r="L1" s="6"/>
      <c r="M1" s="6"/>
      <c r="N1" s="6"/>
      <c r="O1" s="6"/>
      <c r="P1" s="6"/>
      <c r="Q1" s="6"/>
      <c r="R1" s="6"/>
      <c r="S1" s="6"/>
      <c r="T1" s="6"/>
      <c r="U1" s="6"/>
      <c r="V1" s="6"/>
      <c r="W1" s="6"/>
      <c r="X1" s="6"/>
      <c r="Y1" s="6"/>
      <c r="Z1" s="6"/>
      <c r="AA1" s="6"/>
      <c r="AB1" s="6"/>
      <c r="AC1" s="6"/>
      <c r="AD1" s="6"/>
      <c r="AE1" s="6"/>
      <c r="AF1" s="6"/>
      <c r="AG1" s="6"/>
      <c r="AH1" s="6"/>
    </row>
    <row r="2" spans="1:3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row>
    <row r="3" spans="1:34" ht="15">
      <c r="A3" s="55" t="s">
        <v>294</v>
      </c>
      <c r="B3" s="55"/>
      <c r="C3" s="55"/>
      <c r="D3" s="55"/>
      <c r="E3" s="55"/>
      <c r="F3" s="55"/>
      <c r="G3" s="55"/>
      <c r="H3" s="55"/>
      <c r="I3" s="6"/>
      <c r="J3" s="6"/>
      <c r="K3" s="6"/>
      <c r="L3" s="6"/>
      <c r="M3" s="6"/>
      <c r="N3" s="6"/>
      <c r="O3" s="6"/>
      <c r="P3" s="6"/>
      <c r="Q3" s="6"/>
      <c r="R3" s="6"/>
      <c r="S3" s="6"/>
      <c r="T3" s="6"/>
      <c r="U3" s="6"/>
      <c r="V3" s="6"/>
      <c r="W3" s="6"/>
      <c r="X3" s="6"/>
      <c r="Y3" s="6"/>
      <c r="Z3" s="6"/>
      <c r="AA3" s="6"/>
      <c r="AB3" s="6"/>
      <c r="AC3" s="6"/>
      <c r="AD3" s="6"/>
      <c r="AE3" s="6"/>
      <c r="AF3" s="6"/>
      <c r="AG3" s="6"/>
      <c r="AH3" s="6"/>
    </row>
    <row r="4" spans="1:34" ht="15">
      <c r="A4" s="24" t="s">
        <v>185</v>
      </c>
      <c r="B4" s="7" t="s">
        <v>186</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row>
    <row r="5" spans="1:34" ht="15">
      <c r="A5" s="24" t="s">
        <v>187</v>
      </c>
      <c r="B5" s="7" t="s">
        <v>188</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row>
    <row r="6" spans="1:34" ht="15">
      <c r="A6" s="24" t="s">
        <v>189</v>
      </c>
      <c r="B6" s="7" t="s">
        <v>190</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row>
    <row r="7" spans="1:34" ht="15">
      <c r="A7" s="24" t="s">
        <v>191</v>
      </c>
      <c r="B7" s="7" t="s">
        <v>192</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row>
    <row r="8" spans="1:34" ht="15">
      <c r="A8" s="24" t="s">
        <v>193</v>
      </c>
      <c r="B8" s="7" t="s">
        <v>194</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1:34" ht="28.5">
      <c r="A9" s="24" t="s">
        <v>195</v>
      </c>
      <c r="B9" s="7" t="s">
        <v>196</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ht="15">
      <c r="A10" s="24" t="s">
        <v>197</v>
      </c>
      <c r="B10" s="7" t="s">
        <v>198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ht="15">
      <c r="A12" s="55" t="s">
        <v>199</v>
      </c>
      <c r="B12" s="55"/>
      <c r="C12" s="55"/>
      <c r="D12" s="55"/>
      <c r="E12" s="55"/>
      <c r="F12" s="55"/>
      <c r="G12" s="55"/>
      <c r="H12" s="55"/>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ht="15">
      <c r="A13" s="25" t="s">
        <v>200</v>
      </c>
      <c r="B13" s="7" t="s">
        <v>201</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ht="15">
      <c r="A14" s="25" t="s">
        <v>202</v>
      </c>
      <c r="B14" s="7" t="s">
        <v>203</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ht="15">
      <c r="A15" s="25" t="s">
        <v>177</v>
      </c>
      <c r="B15" s="7" t="s">
        <v>204</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ht="15">
      <c r="A16" s="25" t="s">
        <v>205</v>
      </c>
      <c r="B16" s="7" t="s">
        <v>206</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ht="15">
      <c r="A17" s="25" t="s">
        <v>207</v>
      </c>
      <c r="B17" s="7" t="s">
        <v>208</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ht="15">
      <c r="A18" s="25" t="s">
        <v>209</v>
      </c>
      <c r="B18" s="7" t="s">
        <v>210</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ht="15">
      <c r="A19" s="25" t="s">
        <v>211</v>
      </c>
      <c r="B19" s="7" t="s">
        <v>212</v>
      </c>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ht="15">
      <c r="A21" s="55" t="s">
        <v>213</v>
      </c>
      <c r="B21" s="55"/>
      <c r="C21" s="55"/>
      <c r="D21" s="55"/>
      <c r="E21" s="55"/>
      <c r="F21" s="55"/>
      <c r="G21" s="55"/>
      <c r="H21" s="55"/>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ht="28.5">
      <c r="A22" s="26" t="s">
        <v>214</v>
      </c>
      <c r="B22" s="27" t="s">
        <v>215</v>
      </c>
      <c r="C22" s="7" t="s">
        <v>216</v>
      </c>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ht="28.5">
      <c r="A23" s="26" t="s">
        <v>217</v>
      </c>
      <c r="B23" s="27" t="s">
        <v>218</v>
      </c>
      <c r="C23" s="7" t="s">
        <v>219</v>
      </c>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ht="28.5">
      <c r="A24" s="26" t="s">
        <v>220</v>
      </c>
      <c r="B24" s="27" t="s">
        <v>221</v>
      </c>
      <c r="C24" s="7" t="s">
        <v>222</v>
      </c>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ht="28.5">
      <c r="A25" s="26" t="s">
        <v>223</v>
      </c>
      <c r="B25" s="27" t="s">
        <v>224</v>
      </c>
      <c r="C25" s="7" t="s">
        <v>225</v>
      </c>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ht="15">
      <c r="A27" s="55" t="s">
        <v>226</v>
      </c>
      <c r="B27" s="55"/>
      <c r="C27" s="55"/>
      <c r="D27" s="55"/>
      <c r="E27" s="55"/>
      <c r="F27" s="55"/>
      <c r="G27" s="55"/>
      <c r="H27" s="55"/>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ht="57">
      <c r="A28" s="28" t="s">
        <v>227</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ht="71.25">
      <c r="A29" s="28" t="s">
        <v>228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ht="57">
      <c r="A30" s="28" t="s">
        <v>229</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ht="57">
      <c r="A31" s="28" t="s">
        <v>230</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ht="42.75">
      <c r="A32" s="28" t="s">
        <v>231</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spans="1:3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3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row>
    <row r="39" spans="1:3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spans="1:3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spans="1:3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row r="42" spans="1:3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row>
    <row r="43" spans="1:3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row>
    <row r="44" spans="1:3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row>
    <row r="45" spans="1:3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row>
    <row r="46" spans="1:3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spans="1:3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row>
    <row r="48" spans="1:3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row>
    <row r="49" spans="1:3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row>
    <row r="50" spans="1:3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row>
    <row r="51" spans="1:3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row>
    <row r="52" spans="1:3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row>
    <row r="53" spans="1:3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row>
    <row r="54" spans="1:3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row>
    <row r="55" spans="1:3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row>
    <row r="56" spans="1:3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row>
    <row r="57" spans="1:3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row>
    <row r="58" spans="1:3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row>
    <row r="59" spans="1:3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row>
    <row r="60" spans="1:3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row>
    <row r="61" spans="1:3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row>
    <row r="62" spans="1:3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row>
    <row r="63" spans="1:3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row>
    <row r="64" spans="1:3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row>
    <row r="65" spans="1:3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row>
    <row r="66" spans="1:3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row>
    <row r="67" spans="1:3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row>
    <row r="68" spans="1:3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row>
    <row r="69" spans="1:3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row>
    <row r="70" spans="1:3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row>
    <row r="71" spans="1:3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row>
    <row r="72" spans="1:3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row>
    <row r="73" spans="1:3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row>
    <row r="74" spans="1:3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row>
    <row r="75" spans="1:3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row>
    <row r="76" spans="1:3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row>
    <row r="77" spans="1:3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row>
    <row r="78" spans="1:3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row>
    <row r="79" spans="1:3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row>
    <row r="80" spans="1:3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row>
    <row r="81" spans="1:3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row>
    <row r="82" spans="1:3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row>
    <row r="83" spans="1:3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spans="1:3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row>
    <row r="85" spans="1:3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row>
    <row r="86" spans="1:3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row>
    <row r="87" spans="1:3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row>
    <row r="88" spans="1:3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row>
    <row r="89" spans="1:3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row>
    <row r="90" spans="1:3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row>
    <row r="91" spans="1:3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spans="1:3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row>
    <row r="93" spans="1:3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row>
    <row r="94" spans="1:3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row>
    <row r="95" spans="1:3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row>
    <row r="96" spans="1:3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row>
    <row r="97" spans="1:3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row>
    <row r="98" spans="1:3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row>
    <row r="99" spans="1:3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row>
    <row r="100" spans="1:3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spans="1:3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spans="1:3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spans="1:3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spans="1:3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spans="1:3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spans="1:3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spans="1:3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spans="1:3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spans="1:3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spans="1:3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spans="1:3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spans="1:3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spans="1:3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spans="1:3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spans="1:3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spans="1:3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spans="1:3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spans="1:3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spans="1:3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spans="1:3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sheetData>
  <mergeCells count="5">
    <mergeCell ref="A1:H1"/>
    <mergeCell ref="A3:H3"/>
    <mergeCell ref="A12:H12"/>
    <mergeCell ref="A21:H21"/>
    <mergeCell ref="A27:H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AD7D1-E90E-43EF-9551-A58D57E7DA29}">
  <dimension ref="A42"/>
  <sheetViews>
    <sheetView topLeftCell="A10" workbookViewId="0">
      <selection activeCell="U21" sqref="U21"/>
    </sheetView>
  </sheetViews>
  <sheetFormatPr defaultRowHeight="14.25"/>
  <sheetData>
    <row r="42" spans="1:1">
      <c r="A42" t="s">
        <v>293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1_Matriz_confusion_vs_costo</vt:lpstr>
      <vt:lpstr>2_Costos_fijos</vt:lpstr>
      <vt:lpstr>3_Costo_por_monto</vt:lpstr>
      <vt:lpstr>4_Guia_y_fuentes</vt:lpstr>
      <vt:lpstr>5. Otro diseño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 ceo</cp:lastModifiedBy>
  <dcterms:modified xsi:type="dcterms:W3CDTF">2026-07-13T19:19:27Z</dcterms:modified>
</cp:coreProperties>
</file>