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6\Dropbox (ASU)\2_Research\2_Projects\CCdecision\economics-sources\"/>
    </mc:Choice>
  </mc:AlternateContent>
  <xr:revisionPtr revIDLastSave="0" documentId="8_{22B69FB2-A732-4C7D-8195-B1F35881A56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ntroduction" sheetId="10" r:id="rId1"/>
    <sheet name="Cover Crops Budget" sheetId="9" r:id="rId2"/>
    <sheet name="Grazing Cover Crops Budget" sheetId="8" r:id="rId3"/>
    <sheet name="Grazing Cover Crops Results" sheetId="2" r:id="rId4"/>
  </sheets>
  <definedNames>
    <definedName name="_xlnm.Print_Area" localSheetId="1">'Cover Crops Budget'!$A$1:$I$76</definedName>
    <definedName name="_xlnm.Print_Area" localSheetId="2">'Grazing Cover Crops Budget'!$A$1:$I$140</definedName>
    <definedName name="_xlnm.Print_Area" localSheetId="3">'Grazing Cover Crops Results'!$A$1:$I$154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2" l="1"/>
  <c r="E119" i="2"/>
  <c r="D119" i="2"/>
  <c r="C119" i="2"/>
  <c r="G119" i="2"/>
  <c r="G101" i="8"/>
  <c r="G103" i="8" s="1"/>
  <c r="H111" i="8"/>
  <c r="H106" i="8"/>
  <c r="H105" i="8"/>
  <c r="H98" i="8"/>
  <c r="H118" i="2"/>
  <c r="H113" i="2"/>
  <c r="H112" i="2"/>
  <c r="H117" i="2"/>
  <c r="H115" i="2"/>
  <c r="H116" i="2"/>
  <c r="C84" i="8"/>
  <c r="G79" i="2"/>
  <c r="F79" i="2"/>
  <c r="E79" i="2"/>
  <c r="E82" i="2" s="1"/>
  <c r="D79" i="2"/>
  <c r="D82" i="2" s="1"/>
  <c r="H75" i="2"/>
  <c r="G122" i="2"/>
  <c r="F122" i="2"/>
  <c r="E122" i="2"/>
  <c r="D122" i="2"/>
  <c r="C122" i="2"/>
  <c r="G115" i="8"/>
  <c r="F115" i="8"/>
  <c r="E115" i="8"/>
  <c r="D115" i="8"/>
  <c r="C115" i="8"/>
  <c r="G113" i="8" l="1"/>
  <c r="G131" i="8" s="1"/>
  <c r="G112" i="8"/>
  <c r="F82" i="2"/>
  <c r="G82" i="2"/>
  <c r="D65" i="8"/>
  <c r="G58" i="2" l="1"/>
  <c r="F58" i="2"/>
  <c r="E58" i="2"/>
  <c r="D58" i="2"/>
  <c r="G128" i="8"/>
  <c r="F128" i="8"/>
  <c r="E128" i="8"/>
  <c r="D128" i="8"/>
  <c r="C128" i="8"/>
  <c r="G58" i="8"/>
  <c r="F58" i="8"/>
  <c r="E58" i="8"/>
  <c r="D58" i="8"/>
  <c r="C58" i="8"/>
  <c r="H46" i="8" l="1"/>
  <c r="H45" i="8"/>
  <c r="H44" i="8"/>
  <c r="H39" i="8"/>
  <c r="H40" i="8"/>
  <c r="H16" i="8"/>
  <c r="C136" i="2"/>
  <c r="H40" i="2"/>
  <c r="H39" i="2"/>
  <c r="H126" i="2" s="1"/>
  <c r="J126" i="2" s="1"/>
  <c r="C127" i="2"/>
  <c r="C126" i="2"/>
  <c r="C120" i="8" l="1"/>
  <c r="H107" i="2"/>
  <c r="C139" i="2"/>
  <c r="C110" i="2"/>
  <c r="H83" i="8"/>
  <c r="G84" i="8"/>
  <c r="E74" i="8"/>
  <c r="C74" i="8"/>
  <c r="D65" i="2"/>
  <c r="E65" i="2"/>
  <c r="F65" i="2"/>
  <c r="G65" i="2"/>
  <c r="C65" i="2"/>
  <c r="D62" i="8"/>
  <c r="D63" i="8" s="1"/>
  <c r="E62" i="8"/>
  <c r="F62" i="8"/>
  <c r="F63" i="8" s="1"/>
  <c r="G62" i="8"/>
  <c r="C62" i="8"/>
  <c r="D62" i="2"/>
  <c r="C62" i="2"/>
  <c r="H58" i="8"/>
  <c r="C58" i="2"/>
  <c r="E65" i="8"/>
  <c r="F65" i="8"/>
  <c r="G65" i="8"/>
  <c r="H26" i="2"/>
  <c r="H27" i="2"/>
  <c r="H23" i="2"/>
  <c r="H22" i="2"/>
  <c r="H18" i="2"/>
  <c r="H16" i="2"/>
  <c r="H15" i="2"/>
  <c r="H14" i="2"/>
  <c r="H13" i="2"/>
  <c r="H12" i="2"/>
  <c r="H122" i="2" s="1"/>
  <c r="H121" i="2"/>
  <c r="G121" i="2"/>
  <c r="F121" i="2"/>
  <c r="E121" i="2"/>
  <c r="D121" i="2"/>
  <c r="C121" i="2"/>
  <c r="H106" i="2"/>
  <c r="G106" i="2"/>
  <c r="F106" i="2"/>
  <c r="E106" i="2"/>
  <c r="D106" i="2"/>
  <c r="C106" i="2"/>
  <c r="H43" i="2"/>
  <c r="G43" i="2"/>
  <c r="F43" i="2"/>
  <c r="E43" i="2"/>
  <c r="D43" i="2"/>
  <c r="C43" i="2"/>
  <c r="H55" i="2"/>
  <c r="G55" i="2"/>
  <c r="F55" i="2"/>
  <c r="E55" i="2"/>
  <c r="D55" i="2"/>
  <c r="C55" i="2"/>
  <c r="H31" i="2"/>
  <c r="G31" i="2"/>
  <c r="F31" i="2"/>
  <c r="E31" i="2"/>
  <c r="D31" i="2"/>
  <c r="C31" i="2"/>
  <c r="D21" i="2"/>
  <c r="E21" i="2"/>
  <c r="F21" i="2"/>
  <c r="G21" i="2"/>
  <c r="H21" i="2"/>
  <c r="C21" i="2"/>
  <c r="H18" i="8"/>
  <c r="H62" i="8" l="1"/>
  <c r="C63" i="8"/>
  <c r="G63" i="8"/>
  <c r="G66" i="8" s="1"/>
  <c r="G130" i="8" s="1"/>
  <c r="E63" i="8"/>
  <c r="E66" i="8" s="1"/>
  <c r="E130" i="8" s="1"/>
  <c r="H19" i="2"/>
  <c r="D66" i="8"/>
  <c r="D130" i="8" s="1"/>
  <c r="F66" i="8"/>
  <c r="F130" i="8" s="1"/>
  <c r="C65" i="8"/>
  <c r="H65" i="8" s="1"/>
  <c r="H63" i="8" l="1"/>
  <c r="H66" i="8" s="1"/>
  <c r="H130" i="8" s="1"/>
  <c r="D110" i="2"/>
  <c r="E28" i="2"/>
  <c r="C28" i="2"/>
  <c r="C135" i="2" s="1"/>
  <c r="E19" i="2"/>
  <c r="C19" i="2"/>
  <c r="C134" i="2" s="1"/>
  <c r="E19" i="8"/>
  <c r="C77" i="8"/>
  <c r="H27" i="8"/>
  <c r="I130" i="8" l="1"/>
  <c r="J130" i="8"/>
  <c r="C78" i="8"/>
  <c r="G27" i="9" l="1"/>
  <c r="D27" i="9"/>
  <c r="E27" i="9"/>
  <c r="F27" i="9"/>
  <c r="C27" i="9"/>
  <c r="G18" i="9"/>
  <c r="D18" i="9"/>
  <c r="E18" i="9"/>
  <c r="F18" i="9"/>
  <c r="C18" i="9"/>
  <c r="E28" i="8"/>
  <c r="G28" i="8"/>
  <c r="D28" i="8"/>
  <c r="G19" i="8"/>
  <c r="F19" i="8"/>
  <c r="D19" i="8"/>
  <c r="C19" i="8"/>
  <c r="H51" i="8"/>
  <c r="H119" i="8" s="1"/>
  <c r="J119" i="8" s="1"/>
  <c r="D36" i="8"/>
  <c r="E36" i="8"/>
  <c r="F36" i="8"/>
  <c r="G36" i="8"/>
  <c r="C36" i="8"/>
  <c r="H36" i="8" l="1"/>
  <c r="H25" i="8"/>
  <c r="H26" i="8"/>
  <c r="H23" i="8"/>
  <c r="H22" i="8"/>
  <c r="F28" i="8"/>
  <c r="C28" i="8"/>
  <c r="C127" i="8" s="1"/>
  <c r="D47" i="9" l="1"/>
  <c r="E47" i="9"/>
  <c r="F47" i="9"/>
  <c r="G47" i="9"/>
  <c r="C47" i="9"/>
  <c r="H39" i="9" l="1"/>
  <c r="H44" i="9"/>
  <c r="H17" i="9"/>
  <c r="G139" i="2"/>
  <c r="F139" i="2"/>
  <c r="E139" i="2"/>
  <c r="D139" i="2"/>
  <c r="G136" i="2"/>
  <c r="F136" i="2"/>
  <c r="E136" i="2"/>
  <c r="D136" i="2"/>
  <c r="G28" i="2"/>
  <c r="G135" i="2" s="1"/>
  <c r="F28" i="2"/>
  <c r="F135" i="2" s="1"/>
  <c r="E135" i="2"/>
  <c r="D28" i="2"/>
  <c r="D135" i="2" s="1"/>
  <c r="G19" i="2"/>
  <c r="G134" i="2" s="1"/>
  <c r="F19" i="2"/>
  <c r="F134" i="2" s="1"/>
  <c r="E134" i="2"/>
  <c r="D19" i="2"/>
  <c r="D134" i="2" s="1"/>
  <c r="G127" i="2"/>
  <c r="F127" i="2"/>
  <c r="E127" i="2"/>
  <c r="D127" i="2"/>
  <c r="G126" i="2"/>
  <c r="F126" i="2"/>
  <c r="E126" i="2"/>
  <c r="D126" i="2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3" i="9"/>
  <c r="F53" i="9"/>
  <c r="E53" i="9"/>
  <c r="D53" i="9"/>
  <c r="G52" i="9"/>
  <c r="F52" i="9"/>
  <c r="E52" i="9"/>
  <c r="D52" i="9"/>
  <c r="G51" i="9"/>
  <c r="F51" i="9"/>
  <c r="E51" i="9"/>
  <c r="D51" i="9"/>
  <c r="C53" i="9"/>
  <c r="C52" i="9"/>
  <c r="C51" i="9"/>
  <c r="F60" i="9" l="1"/>
  <c r="D54" i="9"/>
  <c r="E54" i="9"/>
  <c r="C54" i="9"/>
  <c r="G54" i="9"/>
  <c r="G60" i="9"/>
  <c r="F54" i="9"/>
  <c r="D60" i="9"/>
  <c r="C60" i="9"/>
  <c r="E60" i="9"/>
  <c r="G126" i="8"/>
  <c r="F126" i="8"/>
  <c r="E126" i="8"/>
  <c r="D126" i="8"/>
  <c r="C126" i="8"/>
  <c r="G127" i="8"/>
  <c r="F127" i="8"/>
  <c r="E127" i="8"/>
  <c r="D127" i="8"/>
  <c r="G120" i="8"/>
  <c r="F120" i="8"/>
  <c r="E120" i="8"/>
  <c r="D120" i="8"/>
  <c r="G114" i="8"/>
  <c r="F114" i="8"/>
  <c r="E114" i="8"/>
  <c r="D114" i="8"/>
  <c r="C114" i="8"/>
  <c r="H21" i="8"/>
  <c r="G97" i="8"/>
  <c r="F97" i="8"/>
  <c r="E97" i="8"/>
  <c r="D97" i="8"/>
  <c r="C97" i="8"/>
  <c r="G31" i="8"/>
  <c r="F31" i="8"/>
  <c r="E31" i="8"/>
  <c r="D31" i="8"/>
  <c r="C31" i="8"/>
  <c r="G21" i="8"/>
  <c r="F21" i="8"/>
  <c r="E21" i="8"/>
  <c r="D21" i="8"/>
  <c r="C21" i="8"/>
  <c r="C36" i="2" l="1"/>
  <c r="C123" i="2" s="1"/>
  <c r="H24" i="2"/>
  <c r="B89" i="8"/>
  <c r="H50" i="8"/>
  <c r="H129" i="8" s="1"/>
  <c r="J129" i="8" s="1"/>
  <c r="G116" i="8"/>
  <c r="C116" i="8"/>
  <c r="H24" i="8"/>
  <c r="H28" i="8" s="1"/>
  <c r="H13" i="8"/>
  <c r="H12" i="8"/>
  <c r="H115" i="8" s="1"/>
  <c r="H38" i="9"/>
  <c r="F129" i="8" l="1"/>
  <c r="D119" i="8"/>
  <c r="E129" i="8"/>
  <c r="C119" i="8"/>
  <c r="D129" i="8"/>
  <c r="E119" i="8"/>
  <c r="C129" i="8"/>
  <c r="G119" i="8"/>
  <c r="F119" i="8"/>
  <c r="G129" i="8"/>
  <c r="H128" i="8"/>
  <c r="J128" i="8" s="1"/>
  <c r="H43" i="9"/>
  <c r="H53" i="9" l="1"/>
  <c r="H59" i="9"/>
  <c r="I59" i="9" s="1"/>
  <c r="H26" i="9"/>
  <c r="H25" i="9"/>
  <c r="H24" i="9"/>
  <c r="H23" i="9"/>
  <c r="H22" i="9"/>
  <c r="H21" i="9"/>
  <c r="H15" i="9"/>
  <c r="H14" i="9"/>
  <c r="H13" i="9"/>
  <c r="H12" i="9"/>
  <c r="H11" i="9"/>
  <c r="H27" i="9" l="1"/>
  <c r="H58" i="9" s="1"/>
  <c r="I58" i="9" s="1"/>
  <c r="H18" i="9"/>
  <c r="H46" i="2" l="1"/>
  <c r="I119" i="8"/>
  <c r="I53" i="9"/>
  <c r="G89" i="2" l="1"/>
  <c r="F89" i="2"/>
  <c r="E89" i="2"/>
  <c r="D89" i="2"/>
  <c r="C89" i="2"/>
  <c r="G76" i="2"/>
  <c r="G81" i="2" s="1"/>
  <c r="G83" i="2" s="1"/>
  <c r="F76" i="2"/>
  <c r="F81" i="2" s="1"/>
  <c r="F83" i="2" s="1"/>
  <c r="E76" i="2"/>
  <c r="E81" i="2" s="1"/>
  <c r="E83" i="2" s="1"/>
  <c r="D76" i="2"/>
  <c r="D81" i="2" s="1"/>
  <c r="D83" i="2" s="1"/>
  <c r="C76" i="2"/>
  <c r="G74" i="8"/>
  <c r="F74" i="8"/>
  <c r="D74" i="8"/>
  <c r="G77" i="8"/>
  <c r="F77" i="8"/>
  <c r="E77" i="8"/>
  <c r="D77" i="8"/>
  <c r="F101" i="8"/>
  <c r="E101" i="8"/>
  <c r="D101" i="8"/>
  <c r="C101" i="8"/>
  <c r="C113" i="8" l="1"/>
  <c r="C131" i="8" s="1"/>
  <c r="C112" i="8"/>
  <c r="H109" i="8"/>
  <c r="H108" i="8"/>
  <c r="H110" i="8"/>
  <c r="D113" i="8"/>
  <c r="D131" i="8" s="1"/>
  <c r="D112" i="8"/>
  <c r="E113" i="8"/>
  <c r="E131" i="8" s="1"/>
  <c r="E112" i="8"/>
  <c r="F113" i="8"/>
  <c r="F131" i="8" s="1"/>
  <c r="F112" i="8"/>
  <c r="H101" i="8"/>
  <c r="H74" i="8"/>
  <c r="C103" i="8"/>
  <c r="H77" i="8"/>
  <c r="F84" i="8"/>
  <c r="E84" i="8"/>
  <c r="D84" i="8"/>
  <c r="H112" i="8" l="1"/>
  <c r="H113" i="8"/>
  <c r="H131" i="8" s="1"/>
  <c r="H84" i="8"/>
  <c r="H45" i="2"/>
  <c r="H44" i="2"/>
  <c r="G122" i="8"/>
  <c r="G72" i="8"/>
  <c r="F72" i="8"/>
  <c r="E72" i="8"/>
  <c r="D72" i="8"/>
  <c r="C72" i="8"/>
  <c r="F116" i="8"/>
  <c r="E116" i="8"/>
  <c r="G35" i="9"/>
  <c r="G48" i="9" s="1"/>
  <c r="G62" i="9" s="1"/>
  <c r="G63" i="9" s="1"/>
  <c r="F35" i="9"/>
  <c r="F48" i="9" s="1"/>
  <c r="F62" i="9" s="1"/>
  <c r="F63" i="9" s="1"/>
  <c r="E35" i="9"/>
  <c r="E48" i="9" s="1"/>
  <c r="E62" i="9" s="1"/>
  <c r="D35" i="9"/>
  <c r="D48" i="9" s="1"/>
  <c r="D62" i="9" s="1"/>
  <c r="D63" i="9" s="1"/>
  <c r="H52" i="9"/>
  <c r="I52" i="9" s="1"/>
  <c r="H51" i="9"/>
  <c r="C35" i="9"/>
  <c r="F103" i="8"/>
  <c r="F122" i="8" s="1"/>
  <c r="E103" i="8"/>
  <c r="E122" i="8" s="1"/>
  <c r="D103" i="8"/>
  <c r="D122" i="8" s="1"/>
  <c r="C122" i="8"/>
  <c r="H15" i="8"/>
  <c r="H14" i="8"/>
  <c r="H127" i="2"/>
  <c r="I126" i="2"/>
  <c r="H25" i="2"/>
  <c r="G36" i="2"/>
  <c r="G123" i="2" s="1"/>
  <c r="F36" i="2"/>
  <c r="F123" i="2" s="1"/>
  <c r="E36" i="2"/>
  <c r="E123" i="2" s="1"/>
  <c r="D36" i="2"/>
  <c r="D123" i="2" s="1"/>
  <c r="G110" i="2"/>
  <c r="G130" i="2" s="1"/>
  <c r="C79" i="2"/>
  <c r="C82" i="2" s="1"/>
  <c r="E63" i="2"/>
  <c r="G62" i="2"/>
  <c r="G63" i="2"/>
  <c r="H51" i="2"/>
  <c r="H128" i="2" s="1"/>
  <c r="H50" i="2"/>
  <c r="H137" i="2" s="1"/>
  <c r="F62" i="2"/>
  <c r="F63" i="2" s="1"/>
  <c r="F66" i="2" s="1"/>
  <c r="F138" i="2" s="1"/>
  <c r="E62" i="2"/>
  <c r="D63" i="2"/>
  <c r="D66" i="2" s="1"/>
  <c r="D138" i="2" s="1"/>
  <c r="C63" i="2"/>
  <c r="C66" i="2" s="1"/>
  <c r="C138" i="2" s="1"/>
  <c r="C92" i="2"/>
  <c r="C95" i="2" s="1"/>
  <c r="G92" i="2"/>
  <c r="F92" i="2"/>
  <c r="E92" i="2"/>
  <c r="D92" i="2"/>
  <c r="F110" i="2"/>
  <c r="F130" i="2" s="1"/>
  <c r="E110" i="2"/>
  <c r="E130" i="2" s="1"/>
  <c r="D130" i="2"/>
  <c r="C130" i="2"/>
  <c r="F95" i="2" l="1"/>
  <c r="F94" i="2"/>
  <c r="F96" i="2" s="1"/>
  <c r="J128" i="2"/>
  <c r="E128" i="2"/>
  <c r="C128" i="2"/>
  <c r="D128" i="2"/>
  <c r="G128" i="2"/>
  <c r="F128" i="2"/>
  <c r="I128" i="2"/>
  <c r="C94" i="2"/>
  <c r="I127" i="2"/>
  <c r="J127" i="2"/>
  <c r="D95" i="2"/>
  <c r="D94" i="2"/>
  <c r="E95" i="2"/>
  <c r="E94" i="2"/>
  <c r="J137" i="2"/>
  <c r="G137" i="2"/>
  <c r="F137" i="2"/>
  <c r="D137" i="2"/>
  <c r="E137" i="2"/>
  <c r="C137" i="2"/>
  <c r="G95" i="2"/>
  <c r="G94" i="2"/>
  <c r="H82" i="2"/>
  <c r="C81" i="2"/>
  <c r="C83" i="2" s="1"/>
  <c r="H87" i="8"/>
  <c r="H103" i="8"/>
  <c r="G66" i="2"/>
  <c r="G138" i="2" s="1"/>
  <c r="H19" i="8"/>
  <c r="H126" i="8" s="1"/>
  <c r="J126" i="8" s="1"/>
  <c r="H58" i="2"/>
  <c r="H119" i="2"/>
  <c r="H139" i="2" s="1"/>
  <c r="E66" i="2"/>
  <c r="E138" i="2" s="1"/>
  <c r="H28" i="2"/>
  <c r="H135" i="2" s="1"/>
  <c r="H35" i="9"/>
  <c r="H48" i="9" s="1"/>
  <c r="I48" i="9" s="1"/>
  <c r="C48" i="9"/>
  <c r="C62" i="9" s="1"/>
  <c r="C63" i="9" s="1"/>
  <c r="H36" i="2"/>
  <c r="H123" i="2" s="1"/>
  <c r="J123" i="2" s="1"/>
  <c r="H136" i="2"/>
  <c r="J136" i="2" s="1"/>
  <c r="E63" i="9"/>
  <c r="H116" i="8"/>
  <c r="J116" i="8" s="1"/>
  <c r="D116" i="8"/>
  <c r="I51" i="9"/>
  <c r="I54" i="9" s="1"/>
  <c r="H54" i="9"/>
  <c r="H57" i="9"/>
  <c r="F98" i="2"/>
  <c r="H63" i="2"/>
  <c r="H65" i="2"/>
  <c r="H62" i="2"/>
  <c r="D101" i="2"/>
  <c r="H110" i="2"/>
  <c r="H130" i="2" s="1"/>
  <c r="H134" i="2"/>
  <c r="J134" i="2" s="1"/>
  <c r="I137" i="2"/>
  <c r="C101" i="2"/>
  <c r="I128" i="8"/>
  <c r="H120" i="8"/>
  <c r="D78" i="8"/>
  <c r="F78" i="8"/>
  <c r="E78" i="8"/>
  <c r="G78" i="8"/>
  <c r="H127" i="8"/>
  <c r="I129" i="8"/>
  <c r="H95" i="2" l="1"/>
  <c r="I136" i="2"/>
  <c r="I127" i="8"/>
  <c r="J127" i="8"/>
  <c r="I120" i="8"/>
  <c r="J120" i="8"/>
  <c r="I131" i="8"/>
  <c r="J131" i="8"/>
  <c r="D96" i="2"/>
  <c r="D98" i="2" s="1"/>
  <c r="I135" i="2"/>
  <c r="J135" i="2"/>
  <c r="C96" i="2"/>
  <c r="I130" i="2"/>
  <c r="J130" i="2"/>
  <c r="G96" i="2"/>
  <c r="G98" i="2" s="1"/>
  <c r="E96" i="2"/>
  <c r="E98" i="2" s="1"/>
  <c r="I139" i="2"/>
  <c r="J139" i="2"/>
  <c r="H81" i="2"/>
  <c r="H66" i="2"/>
  <c r="H138" i="2" s="1"/>
  <c r="H94" i="2"/>
  <c r="C98" i="2"/>
  <c r="D140" i="2"/>
  <c r="C140" i="2"/>
  <c r="E140" i="2"/>
  <c r="F140" i="2"/>
  <c r="G140" i="2"/>
  <c r="I116" i="8"/>
  <c r="C66" i="8"/>
  <c r="C130" i="8" s="1"/>
  <c r="H60" i="9"/>
  <c r="H65" i="9" s="1"/>
  <c r="I126" i="8"/>
  <c r="I123" i="2"/>
  <c r="I134" i="2"/>
  <c r="I57" i="9"/>
  <c r="H83" i="2"/>
  <c r="E101" i="2"/>
  <c r="H122" i="8"/>
  <c r="H78" i="8"/>
  <c r="I122" i="8" l="1"/>
  <c r="J122" i="8"/>
  <c r="H98" i="2"/>
  <c r="H96" i="2"/>
  <c r="D103" i="2" s="1"/>
  <c r="D102" i="2" s="1"/>
  <c r="I138" i="2"/>
  <c r="I140" i="2" s="1"/>
  <c r="J138" i="2"/>
  <c r="H92" i="8"/>
  <c r="H93" i="8" s="1"/>
  <c r="H88" i="8"/>
  <c r="H91" i="8"/>
  <c r="C103" i="2"/>
  <c r="H140" i="2"/>
  <c r="J140" i="2" s="1"/>
  <c r="E132" i="8"/>
  <c r="H132" i="8"/>
  <c r="J132" i="8" s="1"/>
  <c r="D132" i="8"/>
  <c r="G132" i="8"/>
  <c r="C132" i="8"/>
  <c r="F132" i="8"/>
  <c r="H62" i="9"/>
  <c r="H63" i="9" s="1"/>
  <c r="I60" i="9"/>
  <c r="I62" i="9" s="1"/>
  <c r="E103" i="2" l="1"/>
  <c r="E102" i="2" s="1"/>
  <c r="H89" i="8"/>
  <c r="H90" i="8" s="1"/>
  <c r="H94" i="8" s="1"/>
  <c r="H121" i="8" s="1"/>
  <c r="C102" i="2"/>
  <c r="I132" i="8"/>
  <c r="H129" i="2"/>
  <c r="I129" i="2"/>
  <c r="I131" i="2" s="1"/>
  <c r="C121" i="8" l="1"/>
  <c r="C123" i="8" s="1"/>
  <c r="C134" i="8" s="1"/>
  <c r="C135" i="8" s="1"/>
  <c r="J121" i="8"/>
  <c r="C129" i="2"/>
  <c r="C131" i="2" s="1"/>
  <c r="H131" i="2"/>
  <c r="J131" i="2" s="1"/>
  <c r="J129" i="2"/>
  <c r="F129" i="2"/>
  <c r="D129" i="2"/>
  <c r="E129" i="2"/>
  <c r="G129" i="2"/>
  <c r="H123" i="8"/>
  <c r="F121" i="8"/>
  <c r="F123" i="8" s="1"/>
  <c r="F134" i="8" s="1"/>
  <c r="F135" i="8" s="1"/>
  <c r="G121" i="8"/>
  <c r="G123" i="8" s="1"/>
  <c r="G134" i="8" s="1"/>
  <c r="G135" i="8" s="1"/>
  <c r="E121" i="8"/>
  <c r="E123" i="8" s="1"/>
  <c r="E134" i="8" s="1"/>
  <c r="E135" i="8" s="1"/>
  <c r="D121" i="8"/>
  <c r="D123" i="8" s="1"/>
  <c r="D134" i="8" s="1"/>
  <c r="D135" i="8" s="1"/>
  <c r="I142" i="2"/>
  <c r="I121" i="8"/>
  <c r="I123" i="8" s="1"/>
  <c r="I134" i="8" s="1"/>
  <c r="H142" i="2" l="1"/>
  <c r="J142" i="2" s="1"/>
  <c r="H134" i="8"/>
  <c r="J123" i="8"/>
  <c r="E131" i="2"/>
  <c r="E142" i="2" s="1"/>
  <c r="E143" i="2" s="1"/>
  <c r="G131" i="2"/>
  <c r="G142" i="2" s="1"/>
  <c r="G143" i="2" s="1"/>
  <c r="F131" i="2"/>
  <c r="F142" i="2" s="1"/>
  <c r="F143" i="2" s="1"/>
  <c r="D131" i="2"/>
  <c r="D142" i="2" s="1"/>
  <c r="D143" i="2" s="1"/>
  <c r="C142" i="2"/>
  <c r="C143" i="2" s="1"/>
  <c r="H143" i="2" l="1"/>
  <c r="H135" i="8"/>
  <c r="J1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Edwards, William M [AGLS]</author>
  </authors>
  <commentList>
    <comment ref="B107" authorId="0" shapeId="0" xr:uid="{00000000-0006-0000-0200-000001000000}">
      <text>
        <r>
          <rPr>
            <sz val="9"/>
            <color indexed="81"/>
            <rFont val="Tahoma"/>
            <family val="2"/>
          </rPr>
          <t>Enter 2000 if harvesting cost is per ton.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Edwards, William M [AGLS]</author>
  </authors>
  <commentList>
    <comment ref="B114" authorId="0" shapeId="0" xr:uid="{00000000-0006-0000-0300-000001000000}">
      <text>
        <r>
          <rPr>
            <sz val="9"/>
            <color indexed="81"/>
            <rFont val="Tahoma"/>
            <family val="2"/>
          </rPr>
          <t>Enter 2000 if harvesting cost is per ton.</t>
        </r>
      </text>
    </comment>
  </commentList>
</comments>
</file>

<file path=xl/sharedStrings.xml><?xml version="1.0" encoding="utf-8"?>
<sst xmlns="http://schemas.openxmlformats.org/spreadsheetml/2006/main" count="707" uniqueCount="325">
  <si>
    <t>Cells in yellow are for input values.</t>
  </si>
  <si>
    <t>Name of producer or farm</t>
  </si>
  <si>
    <t>Field 1</t>
  </si>
  <si>
    <t>Field 2</t>
  </si>
  <si>
    <t>Field 3</t>
  </si>
  <si>
    <t>Field 4</t>
  </si>
  <si>
    <t>Total acres of cover crop to be seeded</t>
  </si>
  <si>
    <t>Total</t>
  </si>
  <si>
    <t>Total value of harvested forage</t>
  </si>
  <si>
    <t>Crop following the cover crop</t>
  </si>
  <si>
    <t>Hours</t>
  </si>
  <si>
    <t>Fall</t>
  </si>
  <si>
    <t>Group 1</t>
  </si>
  <si>
    <t>Group 2</t>
  </si>
  <si>
    <t>Group 3</t>
  </si>
  <si>
    <t>Group 4</t>
  </si>
  <si>
    <t>Group 5</t>
  </si>
  <si>
    <t>Type of cattle or name of group grazing</t>
  </si>
  <si>
    <t>Number of animals being grazed</t>
  </si>
  <si>
    <t>Average weight - pounds per head</t>
  </si>
  <si>
    <t>Length of grazing period - days</t>
  </si>
  <si>
    <t>Spring</t>
  </si>
  <si>
    <t>Value of feed replaced by cover crop</t>
  </si>
  <si>
    <t>Whole Farm</t>
  </si>
  <si>
    <t>Per Acre</t>
  </si>
  <si>
    <t>Value of cost share payment received</t>
  </si>
  <si>
    <t xml:space="preserve">Total added income </t>
  </si>
  <si>
    <t>Total added costs</t>
  </si>
  <si>
    <t>Total net economic gain or loss per year</t>
  </si>
  <si>
    <t>Estimated percent dry matter of hay when fed</t>
  </si>
  <si>
    <t>Woven wire</t>
  </si>
  <si>
    <t>Barbed wire</t>
  </si>
  <si>
    <t>Hi tensile non-electric (8 strand)</t>
  </si>
  <si>
    <t>Hi tensile non-electric (5 strand)</t>
  </si>
  <si>
    <t>See fencing costs fact sheet.</t>
  </si>
  <si>
    <t>Expected Life - yrs</t>
  </si>
  <si>
    <t>Initial Cost / Ft.</t>
  </si>
  <si>
    <t xml:space="preserve">Estimated feet of exterior fencing </t>
  </si>
  <si>
    <t xml:space="preserve">Estimated feet of interior fencing </t>
  </si>
  <si>
    <t>Interior fencing - number of divisions within field</t>
  </si>
  <si>
    <t>corn</t>
  </si>
  <si>
    <t>Field 5</t>
  </si>
  <si>
    <t>Link to Iowa Farm Custom Rate Survey</t>
  </si>
  <si>
    <t>$ per hour</t>
  </si>
  <si>
    <t xml:space="preserve">Total </t>
  </si>
  <si>
    <t>Purchase price plus transportation costs, or cost of production for raised hay.</t>
  </si>
  <si>
    <t>Spring Grazing (leave blank if cover crops not grazed in spring)</t>
  </si>
  <si>
    <t>Summary of grazing value</t>
  </si>
  <si>
    <t xml:space="preserve">Enter variable costs or custom charge </t>
  </si>
  <si>
    <t>Other income or costs</t>
  </si>
  <si>
    <t>Yield impact on cash crop following cover crop</t>
  </si>
  <si>
    <t>Estimated value of feed replaced by grazing cover crops</t>
  </si>
  <si>
    <t>Value of forage harvested from cover crops</t>
  </si>
  <si>
    <t>Value of yield impact on cash crops following cover crops</t>
  </si>
  <si>
    <t>Value of feed replaced by grazing cover crops</t>
  </si>
  <si>
    <t xml:space="preserve">Value of crop insurance premium discount </t>
  </si>
  <si>
    <t>Added costs for establishing cover crops</t>
  </si>
  <si>
    <t>Added costs for terminating cover crops</t>
  </si>
  <si>
    <t>Added costs for mechanically harvesting cover crops</t>
  </si>
  <si>
    <t>Added income</t>
  </si>
  <si>
    <t>Added costs</t>
  </si>
  <si>
    <t>Year</t>
  </si>
  <si>
    <t>Example</t>
  </si>
  <si>
    <t>Cereal rye</t>
  </si>
  <si>
    <t>wheat</t>
  </si>
  <si>
    <t>rye</t>
  </si>
  <si>
    <t>Lactating Cows</t>
  </si>
  <si>
    <t>Value or price per ton</t>
  </si>
  <si>
    <t>soybeans</t>
  </si>
  <si>
    <t>Date fall grazing period began (mm/dd/yy)</t>
  </si>
  <si>
    <t>Date fall grazing period ended (mm/dd/yy)</t>
  </si>
  <si>
    <t xml:space="preserve">Added costs for labor for grazing cover crops </t>
  </si>
  <si>
    <t>Added costs for investment in fences, waterers</t>
  </si>
  <si>
    <t>Types of cover crops to be seeded</t>
  </si>
  <si>
    <t>Added costs for terminating the cover crop (beyond normal practices)</t>
  </si>
  <si>
    <t>Estimated annual depreciation and interest for added fencing</t>
  </si>
  <si>
    <t xml:space="preserve">Estimated annual depreciation and interest for added waterers </t>
  </si>
  <si>
    <t>Added labor for grazing cover crop acres</t>
  </si>
  <si>
    <t>Cereal rye, oats</t>
  </si>
  <si>
    <t>Cereal rye, turnips</t>
  </si>
  <si>
    <t>Types of cover crops seeded</t>
  </si>
  <si>
    <t>Total acres of cover crop seeded</t>
  </si>
  <si>
    <t>2017-18</t>
  </si>
  <si>
    <t>Triticale</t>
  </si>
  <si>
    <t>acres</t>
  </si>
  <si>
    <t>Estimated annual depreciation and interest for added waterers and equipment</t>
  </si>
  <si>
    <t>Winter wheat</t>
  </si>
  <si>
    <t>Type of cattle or other livestock grazing cover crops</t>
  </si>
  <si>
    <t>Dry cows</t>
  </si>
  <si>
    <t>Heifer calves</t>
  </si>
  <si>
    <t>Yearling heifers</t>
  </si>
  <si>
    <t>Bulls</t>
  </si>
  <si>
    <t>Livestock grazing cover crops</t>
  </si>
  <si>
    <t>Value of cost share payments and crop insurance discounts received</t>
  </si>
  <si>
    <t>Value of hay replaced by grazing cover crops</t>
  </si>
  <si>
    <t>Added costs for cash rent, other expenses</t>
  </si>
  <si>
    <t xml:space="preserve">Other added costs for cover crops (cash rent, irrigation, etc.) </t>
  </si>
  <si>
    <t>Link to cover crop survey results (Plastina, et al)</t>
  </si>
  <si>
    <t>Cost share payments and crop insurance discounts received</t>
  </si>
  <si>
    <t xml:space="preserve">Economics of Cover Crops: Projected Costs and Returns without Grazing </t>
  </si>
  <si>
    <t>Maximum days of grazing</t>
  </si>
  <si>
    <t>Animal-unit days of grazing (per 1,000-pound animal)</t>
  </si>
  <si>
    <t>Cost saved per animal-unit day by grazing cover crops</t>
  </si>
  <si>
    <t>Estimated pounds of dry matter available per acre</t>
  </si>
  <si>
    <t>Assumed percent loss (assume 25% for hay, 15% for silage)</t>
  </si>
  <si>
    <t>Dry matter needed per day - tons (allowing for 25-32% wastage)</t>
  </si>
  <si>
    <t>(based on NRCS recommendations of 4% of body weight for nutritional needs, waste and buffer)</t>
  </si>
  <si>
    <t>dry cows</t>
  </si>
  <si>
    <t>heifer calves</t>
  </si>
  <si>
    <t>yearling heifers</t>
  </si>
  <si>
    <t>bulls</t>
  </si>
  <si>
    <t>Estimated tons of feed needed for the grazing period (dry matter)</t>
  </si>
  <si>
    <t>Estimated % of feed needs provided by supplemental feeds</t>
  </si>
  <si>
    <t>Date spring grazing period began (mm/dd/yyyy)</t>
  </si>
  <si>
    <t>Date spring grazing period ended (mm/dd/yyyy)</t>
  </si>
  <si>
    <t>Earliest date livestock can graze cover crops (mm/dd/yyyy)</t>
  </si>
  <si>
    <t>Latest date livestock can graze cover crops (mm/dd/yyyy)</t>
  </si>
  <si>
    <t>Other added or reduced costs for cover crops</t>
  </si>
  <si>
    <t>Other added costs</t>
  </si>
  <si>
    <t>Value of other reduced costs</t>
  </si>
  <si>
    <t>tons dry matter</t>
  </si>
  <si>
    <t>Potential days of grazing provided by cover crops (current herd)</t>
  </si>
  <si>
    <t xml:space="preserve">Potential animal-unit days of grazing provided by cover crops </t>
  </si>
  <si>
    <t>Grazing summary</t>
  </si>
  <si>
    <t>animal units</t>
  </si>
  <si>
    <t xml:space="preserve">Costs for establishing the cover crop </t>
  </si>
  <si>
    <t>Iowa State University Extension and Outreach - Ag Decision Maker</t>
  </si>
  <si>
    <t>More information on the economics of cover crops can be found at:</t>
  </si>
  <si>
    <t>Link to estimated variable machinery costs, page 12</t>
  </si>
  <si>
    <t>Cover crop acres receiving state or federal cost share payments are not eligible for crop insurance premium discounts.</t>
  </si>
  <si>
    <t>Expected yield x % change x price per bushel</t>
  </si>
  <si>
    <t>Expected yield x % change x price per bushels</t>
  </si>
  <si>
    <t>Initial cost of new fencing needed in order to graze cover crops.</t>
  </si>
  <si>
    <t>Pounds per acre x number of acres seeded / 2,000 lb/ton</t>
  </si>
  <si>
    <t>Tons needed minus tons available from cover crops (not less than zero)</t>
  </si>
  <si>
    <t>Expected yield x % change x price per bushels x acres</t>
  </si>
  <si>
    <t>Assumes 10-year life, 5% interest rate.</t>
  </si>
  <si>
    <t>Assumes a 5% interest rate, 5% maintenance cost.</t>
  </si>
  <si>
    <t>Enter the percent of total feed needs met by supplemental feeds or residue other than cover crops, during the grazing period.</t>
  </si>
  <si>
    <t>Electrified polywire</t>
  </si>
  <si>
    <t>Percent of forage needs that can be met from cover crops</t>
  </si>
  <si>
    <t>Name or number of field</t>
  </si>
  <si>
    <t>Total net economic gain or loss per acre</t>
  </si>
  <si>
    <t>Summary of direct economic impact of cover crops</t>
  </si>
  <si>
    <t>Average yield increase needed for crops following cover crops to break even</t>
  </si>
  <si>
    <t>Note: If the cost of seed is included in custom seeding charge, enter the total charge per acre on the custom hire line.</t>
  </si>
  <si>
    <t>Value of yield impact on cash crops following cover crops (+ or -)</t>
  </si>
  <si>
    <t>Wheat</t>
  </si>
  <si>
    <t>Tons of dry matter available from cover crops in fall, entire field</t>
  </si>
  <si>
    <t>Tons of dry matter available from cover crops in spring, entire field</t>
  </si>
  <si>
    <t>Number of animals to be grazed</t>
  </si>
  <si>
    <t>Tons needed per day x maximum days of grazing</t>
  </si>
  <si>
    <t>Tons of dry matter available from cover crops divided by tons needed per day</t>
  </si>
  <si>
    <t>Days of grazing available x number of animal units grazing</t>
  </si>
  <si>
    <t>Tons provided by cover crops divided by total tons needed</t>
  </si>
  <si>
    <t xml:space="preserve">Economics of Cover Crops: Projected Costs and Returns with Grazing and/or Harvesting </t>
  </si>
  <si>
    <t>years</t>
  </si>
  <si>
    <t>divisions</t>
  </si>
  <si>
    <t>feet</t>
  </si>
  <si>
    <t>Estimated tons of feed provided by cover crops in spring grazing period</t>
  </si>
  <si>
    <t>Acres harvested</t>
  </si>
  <si>
    <t xml:space="preserve">Estimated costs and returns for harvesting forage </t>
  </si>
  <si>
    <t>Value of feed replaced by grazing is prorated over all non-harvested acres.</t>
  </si>
  <si>
    <t>Fall Grazing (leave blank if cover crops not grazed in fall)</t>
  </si>
  <si>
    <t xml:space="preserve">Economics of Cover Crops: Actual Costs and Returns with Grazing and/or Harvesting </t>
  </si>
  <si>
    <t>Economics of Cover Crops</t>
  </si>
  <si>
    <t>Cover Crops Budget</t>
  </si>
  <si>
    <t>Grazing Cover Crops Budget</t>
  </si>
  <si>
    <t>Grazing Cover Crops Results</t>
  </si>
  <si>
    <t>For analyzing the projected economic costs and benefits of cover crops, without grazing or harvesting.</t>
  </si>
  <si>
    <t>For analyzing the projected economic costs and benefits of cover crops, with grazing or harvesting.</t>
  </si>
  <si>
    <t>Include only the cost of additional herbicides that would be used with cover crops. Enter a negative value if costs are reduced.</t>
  </si>
  <si>
    <t>Include only the cost of applying additional herbicides that would be used with cover crops. Enter a negative value if costs are reduced.</t>
  </si>
  <si>
    <t>Include only the cost of additional tillage that would be used with cover crops. Enter a negative value if costs are reduced.</t>
  </si>
  <si>
    <t>Include only the cost of additional labor that would be used with cover crops. Enter a negative value if costs are reduced.</t>
  </si>
  <si>
    <t>See the PFI Grazing Cover Crops fact sheet for on-farm results.</t>
  </si>
  <si>
    <t>Acres</t>
  </si>
  <si>
    <t>$ per acre</t>
  </si>
  <si>
    <t>Cost for seed type 1</t>
  </si>
  <si>
    <t>Cost for seed type 2</t>
  </si>
  <si>
    <r>
      <t>Seeding or drilling, custom rate (</t>
    </r>
    <r>
      <rPr>
        <i/>
        <sz val="11"/>
        <color theme="1"/>
        <rFont val="Arial"/>
        <family val="2"/>
      </rPr>
      <t>if custom hired</t>
    </r>
    <r>
      <rPr>
        <sz val="11"/>
        <color theme="1"/>
        <rFont val="Arial"/>
        <family val="2"/>
      </rPr>
      <t>)</t>
    </r>
  </si>
  <si>
    <r>
      <t>Seeding or drilling, variable costs (</t>
    </r>
    <r>
      <rPr>
        <i/>
        <sz val="11"/>
        <color theme="1"/>
        <rFont val="Arial"/>
        <family val="2"/>
      </rPr>
      <t>if done by operator</t>
    </r>
    <r>
      <rPr>
        <sz val="11"/>
        <color theme="1"/>
        <rFont val="Arial"/>
        <family val="2"/>
      </rPr>
      <t>)</t>
    </r>
  </si>
  <si>
    <t>Total hours per field</t>
  </si>
  <si>
    <t>Operator labor for seeding or drilling</t>
  </si>
  <si>
    <t>/hour</t>
  </si>
  <si>
    <t>Value of operator labor</t>
  </si>
  <si>
    <t>Acres in field receiving cost share payment or crop insurance discount</t>
  </si>
  <si>
    <t>Additional herbicide applied for termination</t>
  </si>
  <si>
    <r>
      <t>Applying additional herbicide, custom rate (</t>
    </r>
    <r>
      <rPr>
        <i/>
        <sz val="11"/>
        <color theme="1"/>
        <rFont val="Arial"/>
        <family val="2"/>
      </rPr>
      <t>if not in line above</t>
    </r>
    <r>
      <rPr>
        <sz val="11"/>
        <color theme="1"/>
        <rFont val="Arial"/>
        <family val="2"/>
      </rPr>
      <t>)</t>
    </r>
  </si>
  <si>
    <r>
      <t>Applying additional herbicide, variable costs (</t>
    </r>
    <r>
      <rPr>
        <i/>
        <sz val="11"/>
        <color theme="1"/>
        <rFont val="Arial"/>
        <family val="2"/>
      </rPr>
      <t>if done by operator</t>
    </r>
    <r>
      <rPr>
        <sz val="11"/>
        <color theme="1"/>
        <rFont val="Arial"/>
        <family val="2"/>
      </rPr>
      <t>)</t>
    </r>
  </si>
  <si>
    <r>
      <t>Added tillage, custom rate (</t>
    </r>
    <r>
      <rPr>
        <i/>
        <sz val="11"/>
        <color theme="1"/>
        <rFont val="Arial"/>
        <family val="2"/>
      </rPr>
      <t>if custom hired</t>
    </r>
    <r>
      <rPr>
        <sz val="11"/>
        <color theme="1"/>
        <rFont val="Arial"/>
        <family val="2"/>
      </rPr>
      <t>)</t>
    </r>
  </si>
  <si>
    <t>Added operator labor for terminating cover crop</t>
  </si>
  <si>
    <t>Expected percentage yield change (+ or -)</t>
  </si>
  <si>
    <t>%</t>
  </si>
  <si>
    <t>$ per bushel</t>
  </si>
  <si>
    <t>Expected selling price of crop following cover crop</t>
  </si>
  <si>
    <t>Value of yield impact</t>
  </si>
  <si>
    <t>Expected yield of the crop when not following cover crop</t>
  </si>
  <si>
    <t>Value of cost share payment to be received</t>
  </si>
  <si>
    <t>Value of crop insurance premium discount to be received</t>
  </si>
  <si>
    <t>Other added costs for cover crops acres (irrigation fuel, etc.)</t>
  </si>
  <si>
    <t>Other reduced costs for cover crops acres (erosion control, etc.)</t>
  </si>
  <si>
    <t>Bushels per acre</t>
  </si>
  <si>
    <t xml:space="preserve">Cost for seed type 2 </t>
  </si>
  <si>
    <t xml:space="preserve">Net value of yield impact </t>
  </si>
  <si>
    <t>Net value of yield impact</t>
  </si>
  <si>
    <t xml:space="preserve">Value of crop insurance premium discount to be received </t>
  </si>
  <si>
    <t>See Iowa Farm Custom Rate Survey</t>
  </si>
  <si>
    <t>See Estimated Costs of Crop Production for estimated variable machinery costs, page 15</t>
  </si>
  <si>
    <t>$ initial cost per foot</t>
  </si>
  <si>
    <t>Exterior fencing - estimated life (see table at right)</t>
  </si>
  <si>
    <t>Interior fencing (see table at right)</t>
  </si>
  <si>
    <t>Exterior fencing (see table at right)</t>
  </si>
  <si>
    <t>Interior fencing - estimated life (see table at right)</t>
  </si>
  <si>
    <t>$ per ton</t>
  </si>
  <si>
    <t>Estimated farm value of equivalent quality hay</t>
  </si>
  <si>
    <t>% dry matter</t>
  </si>
  <si>
    <t>See the PFI Grazing Cover Crops fact sheet for on-farm results</t>
  </si>
  <si>
    <r>
      <t xml:space="preserve">Estimated dry matter provided by cover crop for </t>
    </r>
    <r>
      <rPr>
        <b/>
        <sz val="11"/>
        <color theme="1"/>
        <rFont val="Arial"/>
        <family val="2"/>
      </rPr>
      <t>fall</t>
    </r>
    <r>
      <rPr>
        <sz val="11"/>
        <color theme="1"/>
        <rFont val="Arial"/>
        <family val="2"/>
      </rPr>
      <t xml:space="preserve"> grazing</t>
    </r>
  </si>
  <si>
    <r>
      <t xml:space="preserve">Estimated dry matter provided by cover crop for </t>
    </r>
    <r>
      <rPr>
        <b/>
        <sz val="11"/>
        <color theme="1"/>
        <rFont val="Arial"/>
        <family val="2"/>
      </rPr>
      <t>spring</t>
    </r>
    <r>
      <rPr>
        <sz val="11"/>
        <color theme="1"/>
        <rFont val="Arial"/>
        <family val="2"/>
      </rPr>
      <t xml:space="preserve"> grazing</t>
    </r>
  </si>
  <si>
    <t>pounds per head</t>
  </si>
  <si>
    <t>Average weight</t>
  </si>
  <si>
    <t>Added labor for harvesting cover crop</t>
  </si>
  <si>
    <t xml:space="preserve">Windrowing or raking </t>
  </si>
  <si>
    <t>Mowing</t>
  </si>
  <si>
    <r>
      <t>Added tillage, variable costs (</t>
    </r>
    <r>
      <rPr>
        <i/>
        <sz val="11"/>
        <color theme="1"/>
        <rFont val="Arial"/>
        <family val="2"/>
      </rPr>
      <t>if done by operator</t>
    </r>
    <r>
      <rPr>
        <sz val="11"/>
        <color theme="1"/>
        <rFont val="Arial"/>
        <family val="2"/>
      </rPr>
      <t>)</t>
    </r>
  </si>
  <si>
    <t>Expected yield of the crop when not following a cover crop</t>
  </si>
  <si>
    <t>pounds per acre</t>
  </si>
  <si>
    <t>tons per acre</t>
  </si>
  <si>
    <t>For analyzing the actual economic costs and benefits resulting from cover crops, including grazing or harvesting.</t>
  </si>
  <si>
    <t>Number of animals x body weight x 4%  = dry matter pounds needed per day , including nutritional needs, waste and buffer.</t>
  </si>
  <si>
    <t>Number of animals x body weight x 4%  = dry matter pounds needed per day, including nutritional needs, waste and buffer.</t>
  </si>
  <si>
    <t>Tons of dry matter available from cover crops</t>
  </si>
  <si>
    <t>Tons of cover crop available as forage</t>
  </si>
  <si>
    <t>Cow-days (animal units) of grazing x cost saved per cow day by planting cover crops.</t>
  </si>
  <si>
    <t>tons</t>
  </si>
  <si>
    <t>Note: this analysis does not take into account the long-term impacts of cover crops on soil health, soil erosion, nutrient retention, or other benefits.</t>
  </si>
  <si>
    <t xml:space="preserve">Expected selling price of crop following cover crop </t>
  </si>
  <si>
    <t xml:space="preserve">Value of cost share payment received </t>
  </si>
  <si>
    <t>Value of crop insurance premium discount</t>
  </si>
  <si>
    <t xml:space="preserve">Exterior fencing - estimated life (see table at right) </t>
  </si>
  <si>
    <t>Total amount of forage harvested</t>
  </si>
  <si>
    <t>Windrowing or raking</t>
  </si>
  <si>
    <t xml:space="preserve">Harvesting (baling, chopping, etc.) </t>
  </si>
  <si>
    <t xml:space="preserve">Handling and hauling </t>
  </si>
  <si>
    <t>pounds</t>
  </si>
  <si>
    <t>days</t>
  </si>
  <si>
    <t>Length of grazing period</t>
  </si>
  <si>
    <r>
      <t xml:space="preserve">Grazing cover crops </t>
    </r>
    <r>
      <rPr>
        <b/>
        <i/>
        <sz val="12"/>
        <rFont val="Arial"/>
        <family val="2"/>
      </rPr>
      <t>(leave the following section blank if cover crops are not grazed)</t>
    </r>
  </si>
  <si>
    <r>
      <t xml:space="preserve">Harvesting cover crops </t>
    </r>
    <r>
      <rPr>
        <b/>
        <i/>
        <sz val="12"/>
        <rFont val="Arial"/>
        <family val="2"/>
      </rPr>
      <t>(leave the following section blank if cover crops are not harvested for forage</t>
    </r>
  </si>
  <si>
    <t>Total establishment costs</t>
  </si>
  <si>
    <t>Total costs for terminating the cover crop</t>
  </si>
  <si>
    <t>Estimated costs and returns for harvesting forage</t>
  </si>
  <si>
    <t>total hours per field</t>
  </si>
  <si>
    <t>total $</t>
  </si>
  <si>
    <t>bushels per acre</t>
  </si>
  <si>
    <t>total hours</t>
  </si>
  <si>
    <t>If the cost of seed is included in custom seeding charge, enter the total charge per acre on the custom hire line.</t>
  </si>
  <si>
    <t>Estimated tons of feed provided by cover crops in fall grazing period</t>
  </si>
  <si>
    <t>Expected Life - years</t>
  </si>
  <si>
    <t>total</t>
  </si>
  <si>
    <r>
      <t xml:space="preserve">Added investments in fences and waterers for grazing cover crop </t>
    </r>
    <r>
      <rPr>
        <b/>
        <sz val="11"/>
        <color rgb="FFC00000"/>
        <rFont val="Arial"/>
        <family val="2"/>
      </rPr>
      <t>(leave blank if no added investments in fencing or waterers will be made)</t>
    </r>
  </si>
  <si>
    <t xml:space="preserve">Meghan Filbert, livestock program manager, Practical Farmers of Iowa, and </t>
  </si>
  <si>
    <t xml:space="preserve">Alejandro Plastina, ISU Extension Economist, </t>
  </si>
  <si>
    <t xml:space="preserve">Authors: William Edwards, retired ISU economist, </t>
  </si>
  <si>
    <t>Ann Johanns, ISU Extension Program Specialist.</t>
  </si>
  <si>
    <r>
      <t xml:space="preserve">Harvesting cover crops </t>
    </r>
    <r>
      <rPr>
        <b/>
        <i/>
        <sz val="12"/>
        <rFont val="Arial"/>
        <family val="2"/>
      </rPr>
      <t>(leave the following section blank if cover crops are not harvested for forage)</t>
    </r>
  </si>
  <si>
    <t>Cash rent paid if acres are rented just for seeding cover crops</t>
  </si>
  <si>
    <t>Total added annual cost for fences and waterers</t>
  </si>
  <si>
    <r>
      <t xml:space="preserve">Other </t>
    </r>
    <r>
      <rPr>
        <b/>
        <sz val="11"/>
        <color theme="1"/>
        <rFont val="Arial"/>
        <family val="2"/>
      </rPr>
      <t>added</t>
    </r>
    <r>
      <rPr>
        <sz val="11"/>
        <color theme="1"/>
        <rFont val="Arial"/>
        <family val="2"/>
      </rPr>
      <t xml:space="preserve"> costs for cover crops acres (irrigation fuel, etc.) </t>
    </r>
  </si>
  <si>
    <r>
      <t>Other</t>
    </r>
    <r>
      <rPr>
        <b/>
        <sz val="11"/>
        <color theme="1"/>
        <rFont val="Arial"/>
        <family val="2"/>
      </rPr>
      <t xml:space="preserve"> reduced</t>
    </r>
    <r>
      <rPr>
        <sz val="11"/>
        <color theme="1"/>
        <rFont val="Arial"/>
        <family val="2"/>
      </rPr>
      <t xml:space="preserve"> costs due to cover crops (erosion control, cash rent, etc.)</t>
    </r>
  </si>
  <si>
    <t>Estimated tons of feed provided by cover crops in fall plus spring grazing periods</t>
  </si>
  <si>
    <t xml:space="preserve">Iowa State University Extension and Outreach does not discriminate on the basis of age, disability, ethnicity, gender identity, genetic information, marital status, national origin, pregnancy, race, </t>
  </si>
  <si>
    <t>religion, sex, sexual orientation, socioeconomic status, or status as a U.S. veteran. Direct inquiries to the Diversity Officer, 515-294-1482, extdiversity@iastate.edu.</t>
  </si>
  <si>
    <t>Questions? Email agdm@iastate.edu</t>
  </si>
  <si>
    <t>This decision tool contains three different worksheets:</t>
  </si>
  <si>
    <r>
      <t xml:space="preserve">Other </t>
    </r>
    <r>
      <rPr>
        <b/>
        <sz val="11"/>
        <color theme="1"/>
        <rFont val="Arial"/>
        <family val="2"/>
      </rPr>
      <t>reduced</t>
    </r>
    <r>
      <rPr>
        <sz val="11"/>
        <color theme="1"/>
        <rFont val="Arial"/>
        <family val="2"/>
      </rPr>
      <t xml:space="preserve"> costs due to cover crops (erosion control, cash rent, etc.) </t>
    </r>
  </si>
  <si>
    <r>
      <rPr>
        <sz val="11"/>
        <rFont val="Arial"/>
        <family val="2"/>
      </rPr>
      <t>See the Ag Decision Maker page,</t>
    </r>
    <r>
      <rPr>
        <u/>
        <sz val="11"/>
        <color theme="10"/>
        <rFont val="Arial"/>
        <family val="2"/>
      </rPr>
      <t xml:space="preserve"> Economics of Cover Crops,</t>
    </r>
    <r>
      <rPr>
        <sz val="11"/>
        <rFont val="Arial"/>
        <family val="2"/>
      </rPr>
      <t xml:space="preserve"> for more information.</t>
    </r>
  </si>
  <si>
    <r>
      <rPr>
        <sz val="11"/>
        <rFont val="Arial"/>
        <family val="2"/>
      </rPr>
      <t>See the Ag Decision Maker webpage,</t>
    </r>
    <r>
      <rPr>
        <u/>
        <sz val="11"/>
        <color theme="10"/>
        <rFont val="Arial"/>
        <family val="2"/>
      </rPr>
      <t xml:space="preserve"> Economics of Cover Crops,</t>
    </r>
    <r>
      <rPr>
        <sz val="11"/>
        <rFont val="Arial"/>
        <family val="2"/>
      </rPr>
      <t xml:space="preserve"> for more information.</t>
    </r>
  </si>
  <si>
    <r>
      <rPr>
        <sz val="11"/>
        <rFont val="Arial"/>
        <family val="2"/>
      </rPr>
      <t>See the Ag Decision Maker webpage,</t>
    </r>
    <r>
      <rPr>
        <sz val="11"/>
        <color theme="10"/>
        <rFont val="Arial"/>
        <family val="2"/>
      </rPr>
      <t xml:space="preserve"> </t>
    </r>
    <r>
      <rPr>
        <u/>
        <sz val="11"/>
        <color theme="10"/>
        <rFont val="Arial"/>
        <family val="2"/>
      </rPr>
      <t>Economics of Cover Crops,</t>
    </r>
    <r>
      <rPr>
        <sz val="11"/>
        <rFont val="Arial"/>
        <family val="2"/>
      </rPr>
      <t xml:space="preserve"> for more information.</t>
    </r>
  </si>
  <si>
    <t>Values shown on this sheet are for example purposes only, and do not represent actual research or producer results.</t>
  </si>
  <si>
    <t>Practical Farmers of Iowa: Grazing Cover Crops fact sheet, www.practicalfarmers.org/app/uploads/2013/11/Grazing-Cover-Crops-Fact-Sheet-2013.pdf</t>
  </si>
  <si>
    <t>Practical Farmers of Iowa cover crop information, www.practicalfarmers.org/member-priorities/cover crops/</t>
  </si>
  <si>
    <t>On-farm research quantifies value of grazing cattle on cover crops, www.practicalfarmers.org/news-events/newsroom/news-release-archive/28152/</t>
  </si>
  <si>
    <t>CARD Cover Crop website-forthcoming, www.card.iastate.edu/</t>
  </si>
  <si>
    <t>Pratical Farmers of Iowa, On-farm research quantifies value of grazing cattle on cover crops</t>
  </si>
  <si>
    <t>Notes and resource links</t>
  </si>
  <si>
    <t xml:space="preserve">Extra labor needed to move cattle and temporary fences (spring + fall) </t>
  </si>
  <si>
    <t>Value of operator labor for moving cattle and fences, or hauling feed</t>
  </si>
  <si>
    <t>Value of reduced costs and labor due to cover crops</t>
  </si>
  <si>
    <t>Added and reduced  labor for grazing cover crop acres</t>
  </si>
  <si>
    <t xml:space="preserve">   Types or groups of cattle do not necessarily correspond to the individual fields.</t>
  </si>
  <si>
    <t>Labor saved by not feeding winter feed</t>
  </si>
  <si>
    <t xml:space="preserve">tons </t>
  </si>
  <si>
    <t>Added labor cost for grazing is prorated over all acres.</t>
  </si>
  <si>
    <t>Per Animal-Unit</t>
  </si>
  <si>
    <t>Animal-units</t>
  </si>
  <si>
    <t>Number of animals x body weight / 1,000 pounds</t>
  </si>
  <si>
    <t xml:space="preserve">   One animal-unit is one animal weighing 1,000 pounds.</t>
  </si>
  <si>
    <t>Version 1.4_70318</t>
  </si>
  <si>
    <t>Link to NRCS "Balancing Your Animals with your Forage"</t>
  </si>
  <si>
    <t>Cover crop acres receiving state, federal or private cost share payments are not eligible for crop insurance premium discounts.</t>
  </si>
  <si>
    <t>Estimated % of feed needs provided by supplemental feed or residue</t>
  </si>
  <si>
    <t xml:space="preserve">    Assumes daily feed use equal to 3% of body weight.</t>
  </si>
  <si>
    <t xml:space="preserve">   Total tons of dry matter available per acre (fall plus spring)</t>
  </si>
  <si>
    <t xml:space="preserve">    tons per day</t>
  </si>
  <si>
    <t>t. dry matter/day</t>
  </si>
  <si>
    <t>Tons of dry matter needed for the grazing period to meet livestock needs</t>
  </si>
  <si>
    <t>Tons of dry matter needed from supplemental feeds and residue</t>
  </si>
  <si>
    <t>tons wet weight</t>
  </si>
  <si>
    <t>Corrected to weight weight, 3% of body wt. utilized daily instead of 4%.</t>
  </si>
  <si>
    <t>Tons of supplemental feed needed, corrected for % moisture and waste</t>
  </si>
  <si>
    <t>Cost of feed replaced by cover crops</t>
  </si>
  <si>
    <t xml:space="preserve">   Tons of dry matter needed, corrected to weight weight, 3% of body wt. utilized daily instead of 4%., less      supplemental feed needed, x price of hay</t>
  </si>
  <si>
    <t>Estimated tons of feed provided by supplement feed or residue in spring</t>
  </si>
  <si>
    <t>Estimated farm value of equivalent quality hay or other winter feed</t>
  </si>
  <si>
    <t>$ per bale</t>
  </si>
  <si>
    <t>Added cost for bale wrapping or bagging</t>
  </si>
  <si>
    <t>Average weight of bale, pounds</t>
  </si>
  <si>
    <t xml:space="preserve">   Acres to be harvested</t>
  </si>
  <si>
    <t>Total amount of forage to be harvested - tons per acre, wet weight</t>
  </si>
  <si>
    <t>Added waterers, wells and equipment - initial cost</t>
  </si>
  <si>
    <t>Assumes supplemental feed needed equal to 3% of body weight per day.</t>
  </si>
  <si>
    <t>Estimated tons of feed provided by supplement feed or residue in fall</t>
  </si>
  <si>
    <t>Dry matter needed per day - pounds (allowing for 25-32% wastage)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</si>
</sst>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_(* #,##0_);_(* \(#,##0\);_(* &quot;-&quot;?_);_(@_)"/>
    <numFmt numFmtId="168" formatCode="_(&quot;$&quot;* #,##0.000_);_(&quot;$&quot;* \(#,##0.000\);_(&quot;$&quot;* &quot;-&quot;??_);_(@_)"/>
    <numFmt numFmtId="169" formatCode="_(* #,##0.0_);_(* \(#,##0.0\);_(* &quot;-&quot;??_);_(@_)"/>
    <numFmt numFmtId="170" formatCode="_(* #,##0.00_);_(* \(#,##0.00\);_(* &quot;-&quot;?_);_(@_)"/>
    <numFmt numFmtId="171" formatCode="_(* #,##0.0_);_(* \(#,##0.0\);_(* &quot;-&quot;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 val="singleAccounting"/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b/>
      <i/>
      <sz val="12"/>
      <name val="Arial"/>
      <family val="2"/>
    </font>
    <font>
      <b/>
      <sz val="10"/>
      <color theme="0"/>
      <name val="Arial"/>
      <family val="2"/>
    </font>
    <font>
      <b/>
      <sz val="11"/>
      <color rgb="FFC00000"/>
      <name val="Arial"/>
      <family val="2"/>
    </font>
    <font>
      <b/>
      <u/>
      <sz val="11"/>
      <color theme="10"/>
      <name val="Arial"/>
      <family val="2"/>
    </font>
    <font>
      <sz val="11"/>
      <color theme="10"/>
      <name val="Arial"/>
      <family val="2"/>
    </font>
    <font>
      <sz val="10"/>
      <color rgb="FFC00000"/>
      <name val="Arial"/>
      <family val="2"/>
    </font>
    <font>
      <b/>
      <sz val="10"/>
      <name val="Arial"/>
      <family val="2"/>
    </font>
    <font>
      <u val="singleAccounting"/>
      <sz val="10"/>
      <color theme="1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Alignment="0" applyProtection="0"/>
    <xf numFmtId="0" fontId="14" fillId="2" borderId="23"/>
    <xf numFmtId="0" fontId="16" fillId="0" borderId="0"/>
  </cellStyleXfs>
  <cellXfs count="37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164" fontId="2" fillId="0" borderId="8" xfId="0" applyNumberFormat="1" applyFont="1" applyBorder="1"/>
    <xf numFmtId="164" fontId="2" fillId="0" borderId="0" xfId="0" applyNumberFormat="1" applyFont="1" applyBorder="1"/>
    <xf numFmtId="0" fontId="5" fillId="0" borderId="7" xfId="4" applyFont="1" applyBorder="1" applyAlignment="1">
      <alignment horizontal="left"/>
    </xf>
    <xf numFmtId="44" fontId="2" fillId="0" borderId="0" xfId="2" applyFont="1" applyFill="1" applyBorder="1"/>
    <xf numFmtId="164" fontId="6" fillId="0" borderId="8" xfId="2" applyNumberFormat="1" applyFont="1" applyBorder="1"/>
    <xf numFmtId="0" fontId="2" fillId="0" borderId="10" xfId="0" applyFont="1" applyBorder="1"/>
    <xf numFmtId="164" fontId="2" fillId="0" borderId="13" xfId="2" applyNumberFormat="1" applyFont="1" applyBorder="1"/>
    <xf numFmtId="165" fontId="2" fillId="0" borderId="0" xfId="1" applyNumberFormat="1" applyFont="1" applyFill="1" applyBorder="1"/>
    <xf numFmtId="44" fontId="3" fillId="0" borderId="6" xfId="2" applyFont="1" applyFill="1" applyBorder="1" applyAlignment="1">
      <alignment horizontal="center"/>
    </xf>
    <xf numFmtId="0" fontId="2" fillId="0" borderId="7" xfId="0" applyFont="1" applyFill="1" applyBorder="1"/>
    <xf numFmtId="164" fontId="6" fillId="0" borderId="8" xfId="0" applyNumberFormat="1" applyFont="1" applyBorder="1"/>
    <xf numFmtId="0" fontId="5" fillId="0" borderId="10" xfId="4" applyFont="1" applyBorder="1" applyAlignment="1">
      <alignment horizontal="left"/>
    </xf>
    <xf numFmtId="164" fontId="2" fillId="0" borderId="13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3" fillId="0" borderId="7" xfId="2" applyNumberFormat="1" applyFont="1" applyFill="1" applyBorder="1" applyAlignment="1">
      <alignment horizontal="left"/>
    </xf>
    <xf numFmtId="164" fontId="3" fillId="0" borderId="8" xfId="0" applyNumberFormat="1" applyFont="1" applyBorder="1" applyAlignment="1">
      <alignment horizontal="center"/>
    </xf>
    <xf numFmtId="0" fontId="5" fillId="0" borderId="7" xfId="0" applyFont="1" applyBorder="1"/>
    <xf numFmtId="44" fontId="2" fillId="0" borderId="0" xfId="2" applyNumberFormat="1" applyFont="1" applyBorder="1"/>
    <xf numFmtId="44" fontId="2" fillId="0" borderId="8" xfId="0" applyNumberFormat="1" applyFont="1" applyBorder="1"/>
    <xf numFmtId="0" fontId="3" fillId="0" borderId="7" xfId="0" applyFont="1" applyBorder="1"/>
    <xf numFmtId="9" fontId="2" fillId="0" borderId="0" xfId="3" applyFont="1" applyFill="1" applyBorder="1" applyAlignment="1">
      <alignment horizontal="center"/>
    </xf>
    <xf numFmtId="0" fontId="7" fillId="0" borderId="7" xfId="0" applyFont="1" applyBorder="1"/>
    <xf numFmtId="0" fontId="3" fillId="0" borderId="8" xfId="0" applyFont="1" applyBorder="1" applyAlignment="1">
      <alignment horizontal="center"/>
    </xf>
    <xf numFmtId="165" fontId="2" fillId="0" borderId="8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17" xfId="2" applyNumberFormat="1" applyFont="1" applyFill="1" applyBorder="1"/>
    <xf numFmtId="164" fontId="2" fillId="0" borderId="0" xfId="0" applyNumberFormat="1" applyFont="1" applyBorder="1" applyAlignment="1">
      <alignment horizontal="center"/>
    </xf>
    <xf numFmtId="164" fontId="2" fillId="0" borderId="14" xfId="2" applyNumberFormat="1" applyFont="1" applyFill="1" applyBorder="1"/>
    <xf numFmtId="0" fontId="2" fillId="0" borderId="12" xfId="0" applyFont="1" applyBorder="1"/>
    <xf numFmtId="164" fontId="2" fillId="0" borderId="0" xfId="2" applyNumberFormat="1" applyFont="1" applyFill="1" applyBorder="1"/>
    <xf numFmtId="0" fontId="5" fillId="0" borderId="7" xfId="0" applyFont="1" applyFill="1" applyBorder="1"/>
    <xf numFmtId="0" fontId="7" fillId="0" borderId="0" xfId="0" applyFont="1" applyBorder="1"/>
    <xf numFmtId="165" fontId="3" fillId="0" borderId="0" xfId="1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/>
    <xf numFmtId="165" fontId="5" fillId="0" borderId="0" xfId="1" applyNumberFormat="1" applyFont="1" applyBorder="1"/>
    <xf numFmtId="169" fontId="5" fillId="0" borderId="0" xfId="1" applyNumberFormat="1" applyFont="1" applyBorder="1"/>
    <xf numFmtId="165" fontId="2" fillId="0" borderId="0" xfId="1" applyNumberFormat="1" applyFont="1" applyBorder="1"/>
    <xf numFmtId="44" fontId="5" fillId="0" borderId="0" xfId="2" applyFont="1" applyBorder="1"/>
    <xf numFmtId="43" fontId="5" fillId="0" borderId="0" xfId="1" applyNumberFormat="1" applyFont="1" applyBorder="1"/>
    <xf numFmtId="0" fontId="10" fillId="0" borderId="7" xfId="0" applyFont="1" applyBorder="1"/>
    <xf numFmtId="168" fontId="10" fillId="0" borderId="18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5" fillId="0" borderId="16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9" xfId="1" applyNumberFormat="1" applyFont="1" applyBorder="1"/>
    <xf numFmtId="44" fontId="5" fillId="0" borderId="16" xfId="2" applyNumberFormat="1" applyFont="1" applyBorder="1" applyAlignment="1">
      <alignment horizontal="center"/>
    </xf>
    <xf numFmtId="44" fontId="5" fillId="0" borderId="0" xfId="2" applyNumberFormat="1" applyFont="1" applyBorder="1" applyAlignment="1">
      <alignment horizontal="center"/>
    </xf>
    <xf numFmtId="44" fontId="5" fillId="0" borderId="9" xfId="2" applyNumberFormat="1" applyFont="1" applyBorder="1" applyAlignment="1">
      <alignment horizontal="center"/>
    </xf>
    <xf numFmtId="0" fontId="2" fillId="0" borderId="13" xfId="0" applyFont="1" applyBorder="1"/>
    <xf numFmtId="164" fontId="2" fillId="0" borderId="0" xfId="2" applyNumberFormat="1" applyFont="1" applyBorder="1"/>
    <xf numFmtId="44" fontId="2" fillId="0" borderId="0" xfId="0" applyNumberFormat="1" applyFont="1"/>
    <xf numFmtId="164" fontId="6" fillId="0" borderId="0" xfId="0" applyNumberFormat="1" applyFont="1" applyBorder="1"/>
    <xf numFmtId="164" fontId="2" fillId="0" borderId="12" xfId="2" applyNumberFormat="1" applyFont="1" applyFill="1" applyBorder="1"/>
    <xf numFmtId="164" fontId="3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44" fontId="6" fillId="0" borderId="8" xfId="0" applyNumberFormat="1" applyFont="1" applyBorder="1"/>
    <xf numFmtId="164" fontId="10" fillId="0" borderId="0" xfId="0" applyNumberFormat="1" applyFont="1" applyBorder="1"/>
    <xf numFmtId="44" fontId="10" fillId="0" borderId="8" xfId="2" applyFont="1" applyBorder="1"/>
    <xf numFmtId="44" fontId="3" fillId="0" borderId="8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3" fillId="0" borderId="10" xfId="0" applyFont="1" applyBorder="1"/>
    <xf numFmtId="44" fontId="3" fillId="0" borderId="13" xfId="0" applyNumberFormat="1" applyFont="1" applyBorder="1"/>
    <xf numFmtId="0" fontId="7" fillId="0" borderId="0" xfId="0" applyFont="1"/>
    <xf numFmtId="0" fontId="3" fillId="0" borderId="5" xfId="0" applyFont="1" applyBorder="1" applyAlignment="1">
      <alignment horizontal="center" wrapText="1"/>
    </xf>
    <xf numFmtId="0" fontId="2" fillId="0" borderId="5" xfId="0" applyFont="1" applyFill="1" applyBorder="1"/>
    <xf numFmtId="0" fontId="2" fillId="0" borderId="14" xfId="0" applyFont="1" applyBorder="1"/>
    <xf numFmtId="0" fontId="2" fillId="0" borderId="16" xfId="0" applyFont="1" applyBorder="1"/>
    <xf numFmtId="164" fontId="2" fillId="0" borderId="12" xfId="2" applyNumberFormat="1" applyFont="1" applyBorder="1"/>
    <xf numFmtId="169" fontId="5" fillId="0" borderId="0" xfId="1" applyNumberFormat="1" applyFont="1" applyFill="1" applyBorder="1"/>
    <xf numFmtId="165" fontId="5" fillId="0" borderId="0" xfId="1" applyNumberFormat="1" applyFont="1" applyFill="1" applyBorder="1"/>
    <xf numFmtId="170" fontId="2" fillId="0" borderId="0" xfId="0" applyNumberFormat="1" applyFont="1" applyBorder="1"/>
    <xf numFmtId="0" fontId="5" fillId="0" borderId="16" xfId="0" applyFont="1" applyBorder="1"/>
    <xf numFmtId="0" fontId="10" fillId="0" borderId="22" xfId="0" applyFont="1" applyBorder="1"/>
    <xf numFmtId="44" fontId="2" fillId="0" borderId="0" xfId="0" applyNumberFormat="1" applyFont="1" applyBorder="1"/>
    <xf numFmtId="43" fontId="2" fillId="0" borderId="0" xfId="1" applyNumberFormat="1" applyFont="1" applyFill="1" applyBorder="1"/>
    <xf numFmtId="0" fontId="12" fillId="0" borderId="0" xfId="0" applyFont="1"/>
    <xf numFmtId="44" fontId="2" fillId="0" borderId="0" xfId="0" applyNumberFormat="1" applyFont="1" applyFill="1" applyBorder="1" applyProtection="1">
      <protection locked="0"/>
    </xf>
    <xf numFmtId="0" fontId="13" fillId="0" borderId="0" xfId="0" applyFont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14" fillId="2" borderId="23" xfId="0" applyFont="1" applyFill="1" applyBorder="1"/>
    <xf numFmtId="0" fontId="15" fillId="2" borderId="23" xfId="0" applyFont="1" applyFill="1" applyBorder="1"/>
    <xf numFmtId="0" fontId="20" fillId="0" borderId="0" xfId="0" applyFont="1"/>
    <xf numFmtId="0" fontId="21" fillId="0" borderId="0" xfId="0" applyFont="1"/>
    <xf numFmtId="0" fontId="8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4" fillId="0" borderId="0" xfId="4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2" fillId="0" borderId="0" xfId="0" applyFont="1" applyFill="1" applyBorder="1" applyAlignment="1" applyProtection="1">
      <alignment horizontal="left" indent="1"/>
      <protection locked="0"/>
    </xf>
    <xf numFmtId="164" fontId="2" fillId="0" borderId="0" xfId="0" applyNumberFormat="1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5" fillId="0" borderId="7" xfId="4" applyFont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12" fillId="0" borderId="7" xfId="0" applyFont="1" applyBorder="1"/>
    <xf numFmtId="164" fontId="2" fillId="0" borderId="22" xfId="2" applyNumberFormat="1" applyFont="1" applyBorder="1"/>
    <xf numFmtId="164" fontId="2" fillId="0" borderId="24" xfId="0" applyNumberFormat="1" applyFont="1" applyBorder="1"/>
    <xf numFmtId="0" fontId="3" fillId="0" borderId="0" xfId="0" applyFont="1" applyBorder="1" applyAlignment="1">
      <alignment horizontal="center" wrapText="1"/>
    </xf>
    <xf numFmtId="9" fontId="10" fillId="0" borderId="0" xfId="3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 wrapText="1"/>
    </xf>
    <xf numFmtId="0" fontId="2" fillId="0" borderId="4" xfId="0" applyFont="1" applyFill="1" applyBorder="1"/>
    <xf numFmtId="0" fontId="3" fillId="0" borderId="5" xfId="0" applyFont="1" applyBorder="1"/>
    <xf numFmtId="0" fontId="2" fillId="0" borderId="0" xfId="0" applyFont="1" applyFill="1" applyBorder="1" applyAlignment="1">
      <alignment horizontal="left" indent="1"/>
    </xf>
    <xf numFmtId="0" fontId="5" fillId="0" borderId="12" xfId="4" applyFont="1" applyBorder="1" applyAlignment="1">
      <alignment horizontal="left"/>
    </xf>
    <xf numFmtId="0" fontId="5" fillId="0" borderId="0" xfId="4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Fill="1" applyBorder="1"/>
    <xf numFmtId="0" fontId="4" fillId="0" borderId="0" xfId="4" applyFont="1" applyBorder="1" applyAlignment="1">
      <alignment horizontal="center"/>
    </xf>
    <xf numFmtId="0" fontId="8" fillId="0" borderId="0" xfId="0" applyFont="1" applyBorder="1"/>
    <xf numFmtId="0" fontId="12" fillId="0" borderId="0" xfId="0" applyFont="1" applyBorder="1"/>
    <xf numFmtId="0" fontId="3" fillId="0" borderId="12" xfId="0" applyFont="1" applyBorder="1"/>
    <xf numFmtId="167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1" fontId="6" fillId="0" borderId="0" xfId="0" applyNumberFormat="1" applyFont="1" applyBorder="1"/>
    <xf numFmtId="0" fontId="3" fillId="0" borderId="18" xfId="0" applyNumberFormat="1" applyFont="1" applyBorder="1"/>
    <xf numFmtId="44" fontId="3" fillId="0" borderId="12" xfId="0" applyNumberFormat="1" applyFont="1" applyBorder="1"/>
    <xf numFmtId="0" fontId="3" fillId="0" borderId="0" xfId="2" applyNumberFormat="1" applyFont="1" applyFill="1" applyBorder="1" applyAlignment="1">
      <alignment horizontal="left"/>
    </xf>
    <xf numFmtId="164" fontId="11" fillId="0" borderId="0" xfId="0" applyNumberFormat="1" applyFont="1" applyBorder="1"/>
    <xf numFmtId="44" fontId="3" fillId="0" borderId="0" xfId="0" applyNumberFormat="1" applyFont="1" applyBorder="1"/>
    <xf numFmtId="166" fontId="2" fillId="0" borderId="12" xfId="3" applyNumberFormat="1" applyFont="1" applyBorder="1"/>
    <xf numFmtId="164" fontId="10" fillId="0" borderId="0" xfId="2" applyNumberFormat="1" applyFont="1" applyBorder="1"/>
    <xf numFmtId="0" fontId="5" fillId="0" borderId="7" xfId="0" applyFont="1" applyBorder="1" applyAlignment="1">
      <alignment horizontal="left" indent="1"/>
    </xf>
    <xf numFmtId="0" fontId="2" fillId="3" borderId="1" xfId="0" applyFont="1" applyFill="1" applyBorder="1"/>
    <xf numFmtId="0" fontId="2" fillId="3" borderId="2" xfId="0" applyFont="1" applyFill="1" applyBorder="1" applyAlignment="1" applyProtection="1">
      <protection locked="0"/>
    </xf>
    <xf numFmtId="0" fontId="2" fillId="3" borderId="19" xfId="0" applyFont="1" applyFill="1" applyBorder="1" applyAlignment="1" applyProtection="1">
      <protection locked="0"/>
    </xf>
    <xf numFmtId="0" fontId="2" fillId="3" borderId="3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0" fontId="2" fillId="3" borderId="1" xfId="0" applyFont="1" applyFill="1" applyBorder="1" applyProtection="1">
      <protection locked="0"/>
    </xf>
    <xf numFmtId="44" fontId="2" fillId="3" borderId="1" xfId="2" applyFont="1" applyFill="1" applyBorder="1" applyProtection="1">
      <protection locked="0"/>
    </xf>
    <xf numFmtId="165" fontId="2" fillId="3" borderId="1" xfId="1" applyNumberFormat="1" applyFont="1" applyFill="1" applyBorder="1" applyProtection="1">
      <protection locked="0"/>
    </xf>
    <xf numFmtId="9" fontId="2" fillId="3" borderId="1" xfId="3" applyFont="1" applyFill="1" applyBorder="1" applyProtection="1">
      <protection locked="0"/>
    </xf>
    <xf numFmtId="44" fontId="2" fillId="3" borderId="1" xfId="2" applyNumberFormat="1" applyFont="1" applyFill="1" applyBorder="1" applyProtection="1">
      <protection locked="0"/>
    </xf>
    <xf numFmtId="44" fontId="2" fillId="3" borderId="1" xfId="0" applyNumberFormat="1" applyFont="1" applyFill="1" applyBorder="1" applyProtection="1">
      <protection locked="0"/>
    </xf>
    <xf numFmtId="44" fontId="2" fillId="3" borderId="1" xfId="0" applyNumberFormat="1" applyFont="1" applyFill="1" applyBorder="1" applyAlignment="1" applyProtection="1">
      <alignment horizontal="center"/>
      <protection locked="0"/>
    </xf>
    <xf numFmtId="9" fontId="2" fillId="3" borderId="1" xfId="0" applyNumberFormat="1" applyFont="1" applyFill="1" applyBorder="1" applyProtection="1">
      <protection locked="0"/>
    </xf>
    <xf numFmtId="44" fontId="2" fillId="3" borderId="11" xfId="2" applyNumberFormat="1" applyFont="1" applyFill="1" applyBorder="1" applyProtection="1">
      <protection locked="0"/>
    </xf>
    <xf numFmtId="44" fontId="3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2" applyNumberFormat="1" applyFont="1" applyFill="1" applyBorder="1" applyProtection="1">
      <protection locked="0"/>
    </xf>
    <xf numFmtId="9" fontId="5" fillId="3" borderId="1" xfId="3" applyFont="1" applyFill="1" applyBorder="1" applyProtection="1">
      <protection locked="0"/>
    </xf>
    <xf numFmtId="165" fontId="5" fillId="3" borderId="1" xfId="1" applyNumberFormat="1" applyFont="1" applyFill="1" applyBorder="1" applyProtection="1">
      <protection locked="0"/>
    </xf>
    <xf numFmtId="165" fontId="2" fillId="3" borderId="1" xfId="0" applyNumberFormat="1" applyFont="1" applyFill="1" applyBorder="1" applyProtection="1"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14" fontId="2" fillId="3" borderId="1" xfId="0" applyNumberFormat="1" applyFont="1" applyFill="1" applyBorder="1" applyProtection="1">
      <protection locked="0"/>
    </xf>
    <xf numFmtId="44" fontId="2" fillId="3" borderId="25" xfId="0" applyNumberFormat="1" applyFont="1" applyFill="1" applyBorder="1" applyProtection="1">
      <protection locked="0"/>
    </xf>
    <xf numFmtId="44" fontId="5" fillId="3" borderId="1" xfId="2" applyFont="1" applyFill="1" applyBorder="1" applyProtection="1">
      <protection locked="0"/>
    </xf>
    <xf numFmtId="165" fontId="2" fillId="3" borderId="2" xfId="1" applyNumberFormat="1" applyFont="1" applyFill="1" applyBorder="1" applyProtection="1">
      <protection locked="0"/>
    </xf>
    <xf numFmtId="44" fontId="2" fillId="3" borderId="2" xfId="2" applyFont="1" applyFill="1" applyBorder="1" applyProtection="1">
      <protection locked="0"/>
    </xf>
    <xf numFmtId="0" fontId="23" fillId="0" borderId="0" xfId="0" applyFont="1" applyBorder="1" applyAlignment="1">
      <alignment horizontal="left" indent="1"/>
    </xf>
    <xf numFmtId="0" fontId="14" fillId="2" borderId="23" xfId="6"/>
    <xf numFmtId="0" fontId="16" fillId="0" borderId="0" xfId="7"/>
    <xf numFmtId="0" fontId="14" fillId="2" borderId="23" xfId="6" applyAlignment="1">
      <alignment horizontal="left" indent="1"/>
    </xf>
    <xf numFmtId="0" fontId="16" fillId="0" borderId="0" xfId="7" applyAlignment="1">
      <alignment horizontal="left" indent="1"/>
    </xf>
    <xf numFmtId="44" fontId="5" fillId="0" borderId="0" xfId="5" applyNumberFormat="1" applyBorder="1"/>
    <xf numFmtId="164" fontId="5" fillId="0" borderId="8" xfId="5" applyNumberFormat="1" applyBorder="1"/>
    <xf numFmtId="0" fontId="2" fillId="0" borderId="0" xfId="0" applyFont="1" applyBorder="1" applyAlignment="1">
      <alignment horizontal="right"/>
    </xf>
    <xf numFmtId="0" fontId="5" fillId="0" borderId="0" xfId="4" applyFont="1" applyBorder="1" applyAlignment="1">
      <alignment horizontal="right"/>
    </xf>
    <xf numFmtId="0" fontId="0" fillId="0" borderId="7" xfId="0" applyFont="1" applyBorder="1" applyAlignment="1">
      <alignment horizontal="left" indent="1"/>
    </xf>
    <xf numFmtId="0" fontId="0" fillId="0" borderId="7" xfId="0" applyFont="1" applyFill="1" applyBorder="1" applyAlignment="1">
      <alignment horizontal="left" indent="1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4" fillId="0" borderId="4" xfId="0" applyFont="1" applyBorder="1"/>
    <xf numFmtId="0" fontId="2" fillId="0" borderId="12" xfId="0" applyFont="1" applyBorder="1" applyAlignment="1">
      <alignment horizontal="right"/>
    </xf>
    <xf numFmtId="0" fontId="0" fillId="0" borderId="10" xfId="0" applyFont="1" applyBorder="1" applyAlignment="1">
      <alignment horizontal="left" indent="1"/>
    </xf>
    <xf numFmtId="0" fontId="24" fillId="4" borderId="26" xfId="0" applyFont="1" applyFill="1" applyBorder="1"/>
    <xf numFmtId="0" fontId="24" fillId="4" borderId="27" xfId="0" applyFont="1" applyFill="1" applyBorder="1"/>
    <xf numFmtId="0" fontId="24" fillId="4" borderId="27" xfId="0" applyFont="1" applyFill="1" applyBorder="1" applyAlignment="1">
      <alignment horizontal="center"/>
    </xf>
    <xf numFmtId="164" fontId="24" fillId="4" borderId="27" xfId="0" applyNumberFormat="1" applyFont="1" applyFill="1" applyBorder="1" applyAlignment="1">
      <alignment horizontal="center"/>
    </xf>
    <xf numFmtId="0" fontId="24" fillId="4" borderId="28" xfId="0" applyFont="1" applyFill="1" applyBorder="1" applyAlignment="1">
      <alignment horizontal="center"/>
    </xf>
    <xf numFmtId="0" fontId="25" fillId="0" borderId="0" xfId="0" applyFont="1"/>
    <xf numFmtId="0" fontId="0" fillId="0" borderId="7" xfId="0" applyBorder="1" applyAlignment="1">
      <alignment horizontal="left" indent="1"/>
    </xf>
    <xf numFmtId="0" fontId="0" fillId="0" borderId="0" xfId="0" quotePrefix="1" applyFont="1" applyBorder="1"/>
    <xf numFmtId="0" fontId="24" fillId="0" borderId="7" xfId="0" applyFont="1" applyBorder="1"/>
    <xf numFmtId="0" fontId="2" fillId="0" borderId="10" xfId="0" applyFont="1" applyBorder="1" applyAlignment="1">
      <alignment horizontal="left" indent="1"/>
    </xf>
    <xf numFmtId="0" fontId="5" fillId="0" borderId="7" xfId="0" applyFont="1" applyFill="1" applyBorder="1" applyAlignment="1">
      <alignment horizontal="left" indent="1"/>
    </xf>
    <xf numFmtId="44" fontId="3" fillId="0" borderId="0" xfId="2" applyNumberFormat="1" applyFont="1" applyBorder="1" applyAlignment="1">
      <alignment horizontal="center" wrapText="1"/>
    </xf>
    <xf numFmtId="9" fontId="3" fillId="0" borderId="0" xfId="3" applyFont="1" applyFill="1" applyBorder="1" applyAlignment="1">
      <alignment horizontal="center" wrapText="1"/>
    </xf>
    <xf numFmtId="0" fontId="3" fillId="3" borderId="29" xfId="0" applyFont="1" applyFill="1" applyBorder="1" applyAlignment="1" applyProtection="1">
      <alignment horizontal="center"/>
      <protection locked="0"/>
    </xf>
    <xf numFmtId="0" fontId="3" fillId="0" borderId="30" xfId="0" applyFont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4" fillId="0" borderId="7" xfId="4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165" fontId="2" fillId="0" borderId="0" xfId="0" applyNumberFormat="1" applyFont="1" applyBorder="1"/>
    <xf numFmtId="167" fontId="6" fillId="0" borderId="14" xfId="0" applyNumberFormat="1" applyFont="1" applyBorder="1"/>
    <xf numFmtId="9" fontId="2" fillId="0" borderId="0" xfId="3" applyFont="1" applyBorder="1"/>
    <xf numFmtId="164" fontId="10" fillId="0" borderId="12" xfId="2" applyNumberFormat="1" applyFont="1" applyBorder="1"/>
    <xf numFmtId="0" fontId="2" fillId="0" borderId="8" xfId="0" applyFont="1" applyFill="1" applyBorder="1" applyAlignment="1">
      <alignment horizontal="left"/>
    </xf>
    <xf numFmtId="0" fontId="26" fillId="0" borderId="0" xfId="4" applyFont="1" applyBorder="1" applyAlignment="1">
      <alignment horizontal="left" indent="1"/>
    </xf>
    <xf numFmtId="0" fontId="0" fillId="0" borderId="0" xfId="0" applyFont="1"/>
    <xf numFmtId="0" fontId="0" fillId="0" borderId="16" xfId="0" applyFont="1" applyFill="1" applyBorder="1"/>
    <xf numFmtId="0" fontId="29" fillId="0" borderId="0" xfId="0" applyFont="1"/>
    <xf numFmtId="0" fontId="30" fillId="0" borderId="0" xfId="0" applyFont="1"/>
    <xf numFmtId="0" fontId="10" fillId="0" borderId="0" xfId="0" applyFont="1" applyBorder="1"/>
    <xf numFmtId="164" fontId="2" fillId="0" borderId="7" xfId="0" applyNumberFormat="1" applyFont="1" applyBorder="1"/>
    <xf numFmtId="0" fontId="2" fillId="0" borderId="21" xfId="0" applyFont="1" applyBorder="1"/>
    <xf numFmtId="0" fontId="0" fillId="0" borderId="0" xfId="0" applyFont="1" applyFill="1" applyBorder="1" applyAlignment="1">
      <alignment horizontal="left" indent="1"/>
    </xf>
    <xf numFmtId="0" fontId="2" fillId="0" borderId="31" xfId="0" applyFont="1" applyFill="1" applyBorder="1"/>
    <xf numFmtId="0" fontId="2" fillId="0" borderId="20" xfId="0" applyFont="1" applyBorder="1"/>
    <xf numFmtId="44" fontId="2" fillId="0" borderId="0" xfId="2" applyNumberFormat="1" applyFont="1" applyFill="1" applyBorder="1" applyProtection="1">
      <protection locked="0"/>
    </xf>
    <xf numFmtId="0" fontId="2" fillId="0" borderId="8" xfId="0" applyFont="1" applyBorder="1" applyAlignment="1"/>
    <xf numFmtId="164" fontId="2" fillId="0" borderId="8" xfId="0" applyNumberFormat="1" applyFont="1" applyBorder="1" applyAlignment="1">
      <alignment horizontal="center"/>
    </xf>
    <xf numFmtId="0" fontId="16" fillId="4" borderId="26" xfId="4" applyFont="1" applyFill="1" applyBorder="1" applyAlignment="1">
      <alignment horizontal="left"/>
    </xf>
    <xf numFmtId="0" fontId="5" fillId="4" borderId="27" xfId="4" applyFont="1" applyFill="1" applyBorder="1" applyAlignment="1">
      <alignment horizontal="left"/>
    </xf>
    <xf numFmtId="44" fontId="2" fillId="4" borderId="27" xfId="2" applyFont="1" applyFill="1" applyBorder="1"/>
    <xf numFmtId="165" fontId="2" fillId="4" borderId="27" xfId="1" applyNumberFormat="1" applyFont="1" applyFill="1" applyBorder="1"/>
    <xf numFmtId="164" fontId="2" fillId="4" borderId="28" xfId="0" applyNumberFormat="1" applyFont="1" applyFill="1" applyBorder="1"/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0" xfId="0" applyFont="1" applyBorder="1"/>
    <xf numFmtId="0" fontId="0" fillId="0" borderId="7" xfId="0" applyFont="1" applyBorder="1" applyAlignment="1">
      <alignment horizontal="left"/>
    </xf>
    <xf numFmtId="43" fontId="2" fillId="0" borderId="0" xfId="0" applyNumberFormat="1" applyFont="1" applyBorder="1" applyAlignment="1">
      <alignment horizontal="right"/>
    </xf>
    <xf numFmtId="164" fontId="2" fillId="4" borderId="27" xfId="0" applyNumberFormat="1" applyFont="1" applyFill="1" applyBorder="1"/>
    <xf numFmtId="0" fontId="8" fillId="0" borderId="8" xfId="0" applyFont="1" applyBorder="1"/>
    <xf numFmtId="43" fontId="2" fillId="0" borderId="8" xfId="1" applyNumberFormat="1" applyFont="1" applyBorder="1"/>
    <xf numFmtId="0" fontId="5" fillId="0" borderId="7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6" fillId="0" borderId="0" xfId="2" applyNumberFormat="1" applyFont="1" applyBorder="1"/>
    <xf numFmtId="0" fontId="0" fillId="0" borderId="8" xfId="0" applyFont="1" applyBorder="1"/>
    <xf numFmtId="164" fontId="0" fillId="0" borderId="8" xfId="0" applyNumberFormat="1" applyFont="1" applyBorder="1"/>
    <xf numFmtId="164" fontId="8" fillId="0" borderId="8" xfId="0" applyNumberFormat="1" applyFont="1" applyBorder="1" applyAlignment="1">
      <alignment horizontal="left"/>
    </xf>
    <xf numFmtId="164" fontId="8" fillId="0" borderId="8" xfId="0" applyNumberFormat="1" applyFont="1" applyBorder="1"/>
    <xf numFmtId="0" fontId="27" fillId="0" borderId="8" xfId="0" applyFont="1" applyBorder="1" applyAlignment="1">
      <alignment wrapText="1"/>
    </xf>
    <xf numFmtId="0" fontId="28" fillId="0" borderId="8" xfId="0" applyFont="1" applyBorder="1"/>
    <xf numFmtId="43" fontId="17" fillId="0" borderId="8" xfId="1" applyNumberFormat="1" applyFont="1" applyFill="1" applyBorder="1"/>
    <xf numFmtId="164" fontId="5" fillId="0" borderId="8" xfId="2" applyNumberFormat="1" applyFont="1" applyBorder="1"/>
    <xf numFmtId="44" fontId="2" fillId="0" borderId="8" xfId="0" applyNumberFormat="1" applyFont="1" applyBorder="1" applyAlignment="1">
      <alignment horizontal="center"/>
    </xf>
    <xf numFmtId="164" fontId="0" fillId="0" borderId="20" xfId="0" applyNumberFormat="1" applyFont="1" applyBorder="1"/>
    <xf numFmtId="164" fontId="0" fillId="0" borderId="0" xfId="0" applyNumberFormat="1" applyFont="1" applyBorder="1"/>
    <xf numFmtId="0" fontId="34" fillId="0" borderId="0" xfId="4" applyFont="1" applyBorder="1" applyAlignment="1">
      <alignment horizontal="left" indent="1"/>
    </xf>
    <xf numFmtId="44" fontId="0" fillId="3" borderId="1" xfId="2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3" xfId="0" applyFont="1" applyFill="1" applyBorder="1" applyProtection="1">
      <protection locked="0"/>
    </xf>
    <xf numFmtId="164" fontId="0" fillId="3" borderId="1" xfId="2" applyNumberFormat="1" applyFont="1" applyFill="1" applyBorder="1" applyProtection="1">
      <protection locked="0"/>
    </xf>
    <xf numFmtId="44" fontId="2" fillId="3" borderId="11" xfId="2" applyFont="1" applyFill="1" applyBorder="1" applyProtection="1">
      <protection locked="0"/>
    </xf>
    <xf numFmtId="44" fontId="0" fillId="3" borderId="1" xfId="0" applyNumberFormat="1" applyFont="1" applyFill="1" applyBorder="1" applyAlignment="1" applyProtection="1">
      <alignment horizontal="center"/>
      <protection locked="0"/>
    </xf>
    <xf numFmtId="171" fontId="2" fillId="0" borderId="0" xfId="0" applyNumberFormat="1" applyFont="1" applyBorder="1"/>
    <xf numFmtId="171" fontId="5" fillId="0" borderId="0" xfId="1" applyNumberFormat="1" applyFont="1" applyFill="1" applyBorder="1"/>
    <xf numFmtId="44" fontId="2" fillId="0" borderId="12" xfId="2" applyFont="1" applyFill="1" applyBorder="1"/>
    <xf numFmtId="0" fontId="21" fillId="0" borderId="0" xfId="0" applyFont="1" applyAlignment="1">
      <alignment horizontal="left" indent="1"/>
    </xf>
    <xf numFmtId="0" fontId="21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32" fillId="2" borderId="23" xfId="6" applyFont="1" applyProtection="1"/>
    <xf numFmtId="0" fontId="18" fillId="0" borderId="0" xfId="0" applyFont="1" applyFill="1" applyAlignment="1" applyProtection="1"/>
    <xf numFmtId="0" fontId="18" fillId="0" borderId="0" xfId="0" applyFont="1" applyFill="1" applyProtection="1"/>
    <xf numFmtId="0" fontId="8" fillId="0" borderId="0" xfId="0" applyFont="1" applyAlignment="1" applyProtection="1"/>
    <xf numFmtId="0" fontId="8" fillId="0" borderId="0" xfId="0" applyFont="1" applyProtection="1"/>
    <xf numFmtId="0" fontId="8" fillId="0" borderId="0" xfId="0" applyFont="1" applyAlignment="1" applyProtection="1">
      <alignment horizontal="left" indent="1"/>
    </xf>
    <xf numFmtId="0" fontId="8" fillId="0" borderId="0" xfId="0" applyFont="1" applyBorder="1" applyAlignment="1" applyProtection="1"/>
    <xf numFmtId="0" fontId="26" fillId="0" borderId="0" xfId="4" applyFont="1" applyBorder="1" applyAlignment="1" applyProtection="1">
      <alignment horizontal="left" indent="1"/>
    </xf>
    <xf numFmtId="0" fontId="26" fillId="0" borderId="0" xfId="4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 indent="1"/>
    </xf>
    <xf numFmtId="0" fontId="8" fillId="0" borderId="0" xfId="0" applyFont="1" applyFill="1" applyBorder="1" applyAlignment="1" applyProtection="1">
      <alignment horizontal="left" indent="1"/>
    </xf>
    <xf numFmtId="0" fontId="26" fillId="0" borderId="33" xfId="4" applyFont="1" applyBorder="1" applyProtection="1"/>
    <xf numFmtId="0" fontId="8" fillId="0" borderId="14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7" xfId="0" applyFont="1" applyBorder="1" applyProtection="1"/>
    <xf numFmtId="44" fontId="8" fillId="0" borderId="0" xfId="2" applyFont="1" applyBorder="1" applyProtection="1"/>
    <xf numFmtId="0" fontId="8" fillId="0" borderId="9" xfId="0" applyFont="1" applyBorder="1" applyAlignment="1" applyProtection="1">
      <alignment horizontal="center"/>
    </xf>
    <xf numFmtId="0" fontId="8" fillId="0" borderId="32" xfId="0" applyFont="1" applyBorder="1" applyProtection="1"/>
    <xf numFmtId="44" fontId="8" fillId="0" borderId="17" xfId="2" applyFont="1" applyBorder="1" applyProtection="1"/>
    <xf numFmtId="0" fontId="8" fillId="0" borderId="3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164" fontId="8" fillId="0" borderId="0" xfId="2" applyNumberFormat="1" applyFont="1" applyBorder="1" applyAlignment="1" applyProtection="1">
      <alignment horizontal="left" indent="1"/>
    </xf>
    <xf numFmtId="0" fontId="8" fillId="0" borderId="0" xfId="0" applyFont="1" applyBorder="1" applyProtection="1"/>
    <xf numFmtId="0" fontId="27" fillId="0" borderId="0" xfId="0" applyFont="1" applyBorder="1" applyAlignment="1" applyProtection="1">
      <alignment horizontal="left" indent="1"/>
    </xf>
    <xf numFmtId="0" fontId="27" fillId="0" borderId="0" xfId="0" applyFont="1" applyBorder="1" applyAlignment="1" applyProtection="1">
      <alignment horizontal="center" wrapText="1"/>
    </xf>
    <xf numFmtId="0" fontId="28" fillId="0" borderId="0" xfId="0" applyFont="1" applyBorder="1" applyAlignment="1" applyProtection="1">
      <alignment horizontal="center"/>
    </xf>
    <xf numFmtId="166" fontId="8" fillId="0" borderId="0" xfId="3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wrapText="1"/>
    </xf>
    <xf numFmtId="44" fontId="8" fillId="0" borderId="0" xfId="0" applyNumberFormat="1" applyFont="1" applyAlignment="1" applyProtection="1">
      <alignment horizontal="left" indent="1"/>
    </xf>
    <xf numFmtId="0" fontId="15" fillId="2" borderId="23" xfId="0" applyFont="1" applyFill="1" applyBorder="1" applyProtection="1"/>
    <xf numFmtId="0" fontId="19" fillId="0" borderId="0" xfId="0" applyFont="1" applyFill="1" applyProtection="1"/>
    <xf numFmtId="0" fontId="2" fillId="0" borderId="0" xfId="0" applyFont="1" applyProtection="1"/>
    <xf numFmtId="164" fontId="2" fillId="0" borderId="0" xfId="0" applyNumberFormat="1" applyFont="1" applyProtection="1"/>
    <xf numFmtId="0" fontId="26" fillId="0" borderId="33" xfId="4" applyFont="1" applyBorder="1" applyAlignment="1" applyProtection="1">
      <alignment horizontal="left" indent="1"/>
    </xf>
    <xf numFmtId="0" fontId="8" fillId="0" borderId="14" xfId="0" applyFont="1" applyBorder="1" applyProtection="1"/>
    <xf numFmtId="0" fontId="8" fillId="0" borderId="7" xfId="0" applyFont="1" applyBorder="1" applyAlignment="1" applyProtection="1">
      <alignment horizontal="left" indent="1"/>
    </xf>
    <xf numFmtId="0" fontId="8" fillId="0" borderId="32" xfId="0" applyFont="1" applyBorder="1" applyAlignment="1" applyProtection="1">
      <alignment horizontal="left" indent="1"/>
    </xf>
    <xf numFmtId="44" fontId="2" fillId="0" borderId="0" xfId="2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3" fillId="0" borderId="0" xfId="0" applyFont="1" applyBorder="1" applyAlignment="1" applyProtection="1">
      <alignment wrapText="1"/>
    </xf>
    <xf numFmtId="0" fontId="9" fillId="0" borderId="0" xfId="0" applyFont="1" applyBorder="1" applyAlignment="1" applyProtection="1">
      <alignment horizontal="center"/>
    </xf>
    <xf numFmtId="166" fontId="2" fillId="0" borderId="0" xfId="3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left" wrapText="1" indent="1"/>
    </xf>
    <xf numFmtId="0" fontId="2" fillId="0" borderId="0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left" wrapText="1"/>
    </xf>
    <xf numFmtId="165" fontId="2" fillId="0" borderId="0" xfId="1" applyNumberFormat="1" applyFont="1" applyBorder="1" applyProtection="1"/>
    <xf numFmtId="0" fontId="30" fillId="0" borderId="0" xfId="0" applyFont="1" applyProtection="1"/>
    <xf numFmtId="0" fontId="4" fillId="0" borderId="0" xfId="4" applyFill="1"/>
    <xf numFmtId="0" fontId="4" fillId="0" borderId="0" xfId="4" applyFill="1" applyAlignment="1">
      <alignment horizontal="left" indent="1"/>
    </xf>
    <xf numFmtId="0" fontId="22" fillId="0" borderId="0" xfId="0" applyFont="1" applyFill="1" applyBorder="1"/>
    <xf numFmtId="0" fontId="22" fillId="0" borderId="7" xfId="0" applyFont="1" applyFill="1" applyBorder="1"/>
    <xf numFmtId="0" fontId="0" fillId="0" borderId="0" xfId="0" applyFont="1" applyAlignment="1">
      <alignment horizontal="right"/>
    </xf>
    <xf numFmtId="0" fontId="4" fillId="0" borderId="0" xfId="4" applyBorder="1" applyAlignment="1">
      <alignment horizontal="left" indent="1"/>
    </xf>
    <xf numFmtId="0" fontId="27" fillId="0" borderId="0" xfId="0" applyFont="1" applyAlignment="1" applyProtection="1"/>
    <xf numFmtId="0" fontId="18" fillId="2" borderId="23" xfId="0" applyFont="1" applyFill="1" applyBorder="1" applyProtection="1"/>
    <xf numFmtId="0" fontId="26" fillId="0" borderId="0" xfId="4" applyFont="1" applyAlignment="1" applyProtection="1">
      <alignment horizontal="left" indent="1"/>
    </xf>
    <xf numFmtId="44" fontId="8" fillId="0" borderId="0" xfId="2" applyFont="1" applyBorder="1" applyAlignment="1" applyProtection="1">
      <alignment horizontal="left" indent="1"/>
    </xf>
    <xf numFmtId="0" fontId="27" fillId="0" borderId="0" xfId="0" applyFont="1" applyBorder="1" applyAlignment="1" applyProtection="1">
      <alignment wrapText="1"/>
    </xf>
    <xf numFmtId="165" fontId="8" fillId="0" borderId="0" xfId="1" applyNumberFormat="1" applyFont="1" applyBorder="1" applyAlignment="1" applyProtection="1">
      <alignment horizontal="left" indent="1"/>
    </xf>
    <xf numFmtId="0" fontId="8" fillId="0" borderId="0" xfId="0" applyFont="1" applyFill="1" applyAlignment="1" applyProtection="1">
      <alignment horizontal="left" indent="1"/>
    </xf>
    <xf numFmtId="164" fontId="8" fillId="0" borderId="0" xfId="0" applyNumberFormat="1" applyFont="1" applyAlignment="1" applyProtection="1">
      <alignment horizontal="left" indent="1"/>
    </xf>
    <xf numFmtId="0" fontId="36" fillId="0" borderId="0" xfId="0" applyFont="1" applyProtection="1"/>
    <xf numFmtId="0" fontId="32" fillId="2" borderId="23" xfId="6" applyFont="1"/>
    <xf numFmtId="0" fontId="37" fillId="0" borderId="0" xfId="7" applyFont="1"/>
    <xf numFmtId="0" fontId="8" fillId="0" borderId="0" xfId="0" applyFont="1"/>
    <xf numFmtId="0" fontId="27" fillId="0" borderId="0" xfId="0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left" indent="1"/>
    </xf>
    <xf numFmtId="0" fontId="8" fillId="0" borderId="0" xfId="0" applyFont="1" applyFill="1" applyBorder="1" applyAlignment="1" applyProtection="1">
      <alignment horizontal="left" indent="1"/>
      <protection locked="0"/>
    </xf>
    <xf numFmtId="164" fontId="8" fillId="0" borderId="0" xfId="0" applyNumberFormat="1" applyFont="1"/>
    <xf numFmtId="165" fontId="25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44" fontId="10" fillId="0" borderId="0" xfId="2" applyFont="1" applyBorder="1"/>
    <xf numFmtId="0" fontId="8" fillId="0" borderId="8" xfId="0" applyFont="1" applyBorder="1" applyProtection="1"/>
    <xf numFmtId="164" fontId="8" fillId="0" borderId="13" xfId="0" applyNumberFormat="1" applyFont="1" applyBorder="1" applyProtection="1"/>
    <xf numFmtId="0" fontId="3" fillId="4" borderId="28" xfId="0" applyFont="1" applyFill="1" applyBorder="1" applyProtection="1"/>
    <xf numFmtId="44" fontId="2" fillId="0" borderId="0" xfId="0" applyNumberFormat="1" applyFont="1" applyBorder="1" applyAlignment="1">
      <alignment horizontal="left" indent="1"/>
    </xf>
    <xf numFmtId="44" fontId="3" fillId="0" borderId="0" xfId="2" applyFont="1" applyBorder="1"/>
    <xf numFmtId="0" fontId="8" fillId="0" borderId="8" xfId="0" applyFont="1" applyBorder="1" applyAlignment="1" applyProtection="1"/>
    <xf numFmtId="44" fontId="8" fillId="0" borderId="8" xfId="0" applyNumberFormat="1" applyFont="1" applyBorder="1" applyAlignment="1" applyProtection="1">
      <alignment horizontal="left" indent="1"/>
    </xf>
    <xf numFmtId="44" fontId="8" fillId="0" borderId="13" xfId="0" applyNumberFormat="1" applyFont="1" applyBorder="1" applyAlignment="1" applyProtection="1">
      <alignment horizontal="left" indent="1"/>
    </xf>
    <xf numFmtId="0" fontId="3" fillId="4" borderId="28" xfId="0" applyFont="1" applyFill="1" applyBorder="1" applyAlignment="1" applyProtection="1">
      <alignment horizontal="center"/>
    </xf>
    <xf numFmtId="44" fontId="38" fillId="0" borderId="8" xfId="0" applyNumberFormat="1" applyFont="1" applyBorder="1" applyAlignment="1" applyProtection="1">
      <alignment horizontal="left" indent="1"/>
    </xf>
    <xf numFmtId="44" fontId="27" fillId="0" borderId="8" xfId="0" applyNumberFormat="1" applyFont="1" applyBorder="1" applyAlignment="1" applyProtection="1">
      <alignment horizontal="left" indent="1"/>
    </xf>
    <xf numFmtId="164" fontId="3" fillId="0" borderId="0" xfId="0" applyNumberFormat="1" applyFont="1" applyBorder="1" applyAlignment="1">
      <alignment horizontal="left" indent="1"/>
    </xf>
    <xf numFmtId="44" fontId="3" fillId="0" borderId="0" xfId="0" applyNumberFormat="1" applyFont="1" applyBorder="1" applyAlignment="1">
      <alignment horizontal="left" indent="1"/>
    </xf>
    <xf numFmtId="44" fontId="10" fillId="0" borderId="0" xfId="2" applyNumberFormat="1" applyFont="1" applyBorder="1"/>
    <xf numFmtId="44" fontId="27" fillId="0" borderId="8" xfId="0" applyNumberFormat="1" applyFont="1" applyBorder="1" applyProtection="1"/>
    <xf numFmtId="44" fontId="8" fillId="0" borderId="8" xfId="0" applyNumberFormat="1" applyFont="1" applyBorder="1" applyProtection="1"/>
    <xf numFmtId="44" fontId="0" fillId="0" borderId="8" xfId="0" applyNumberFormat="1" applyFont="1" applyBorder="1" applyProtection="1"/>
    <xf numFmtId="44" fontId="6" fillId="0" borderId="8" xfId="0" applyNumberFormat="1" applyFont="1" applyBorder="1" applyProtection="1"/>
    <xf numFmtId="44" fontId="3" fillId="0" borderId="8" xfId="0" applyNumberFormat="1" applyFont="1" applyBorder="1" applyProtection="1"/>
    <xf numFmtId="0" fontId="4" fillId="0" borderId="0" xfId="4" applyAlignment="1" applyProtection="1">
      <alignment horizontal="left" indent="1"/>
    </xf>
    <xf numFmtId="0" fontId="8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/>
    <xf numFmtId="0" fontId="2" fillId="0" borderId="0" xfId="0" applyFont="1" applyAlignment="1" applyProtection="1"/>
    <xf numFmtId="169" fontId="11" fillId="0" borderId="0" xfId="0" applyNumberFormat="1" applyFont="1" applyBorder="1"/>
    <xf numFmtId="169" fontId="11" fillId="0" borderId="0" xfId="1" applyNumberFormat="1" applyFont="1" applyBorder="1"/>
    <xf numFmtId="0" fontId="0" fillId="0" borderId="8" xfId="0" applyFont="1" applyFill="1" applyBorder="1" applyAlignment="1">
      <alignment horizontal="left"/>
    </xf>
    <xf numFmtId="0" fontId="0" fillId="0" borderId="16" xfId="0" applyFont="1" applyBorder="1"/>
    <xf numFmtId="44" fontId="2" fillId="0" borderId="1" xfId="2" applyFont="1" applyFill="1" applyBorder="1" applyProtection="1"/>
    <xf numFmtId="165" fontId="2" fillId="0" borderId="1" xfId="1" applyNumberFormat="1" applyFont="1" applyFill="1" applyBorder="1" applyProtection="1"/>
    <xf numFmtId="44" fontId="2" fillId="0" borderId="8" xfId="2" applyFont="1" applyBorder="1"/>
    <xf numFmtId="0" fontId="0" fillId="3" borderId="1" xfId="0" applyFont="1" applyFill="1" applyBorder="1" applyAlignment="1">
      <alignment horizontal="right" wrapText="1"/>
    </xf>
    <xf numFmtId="164" fontId="2" fillId="0" borderId="8" xfId="2" applyNumberFormat="1" applyFont="1" applyBorder="1"/>
    <xf numFmtId="164" fontId="2" fillId="0" borderId="0" xfId="0" applyNumberFormat="1" applyFont="1"/>
    <xf numFmtId="0" fontId="8" fillId="0" borderId="7" xfId="0" applyFont="1" applyBorder="1" applyAlignment="1" applyProtection="1">
      <alignment horizontal="left" wrapText="1"/>
    </xf>
    <xf numFmtId="0" fontId="8" fillId="0" borderId="0" xfId="0" applyFont="1" applyBorder="1" applyAlignment="1" applyProtection="1">
      <alignment horizontal="left" wrapText="1"/>
    </xf>
    <xf numFmtId="0" fontId="8" fillId="0" borderId="0" xfId="0" applyFont="1" applyAlignment="1" applyProtection="1">
      <alignment horizontal="left" wrapText="1"/>
    </xf>
  </cellXfs>
  <cellStyles count="8">
    <cellStyle name="AgDM Heading 1" xfId="7" xr:uid="{00000000-0005-0000-0000-000000000000}"/>
    <cellStyle name="AgDM Title" xfId="6" xr:uid="{00000000-0005-0000-0000-000001000000}"/>
    <cellStyle name="Calculation" xfId="5" builtinId="22" customBuiltin="1"/>
    <cellStyle name="Comma" xfId="1" builtinId="3"/>
    <cellStyle name="Currency" xfId="2" builtinId="4"/>
    <cellStyle name="Hyperlink" xfId="4" builtinId="8" customBuiltin="1"/>
    <cellStyle name="Normal" xfId="0" builtinId="0" customBuiltin="1"/>
    <cellStyle name="Percent" xfId="3" builtinId="5"/>
  </cellStyles>
  <dxfs count="0"/>
  <tableStyles count="0" defaultTableStyle="TableStyleMedium9" defaultPivotStyle="PivotStyleLight16"/>
  <colors>
    <mruColors>
      <color rgb="FFFFFFCC"/>
      <color rgb="FFCAC7A7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17</xdr:row>
      <xdr:rowOff>9525</xdr:rowOff>
    </xdr:from>
    <xdr:to>
      <xdr:col>1</xdr:col>
      <xdr:colOff>7043554</xdr:colOff>
      <xdr:row>19</xdr:row>
      <xdr:rowOff>150496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2752725"/>
          <a:ext cx="3471679" cy="50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</xdr:colOff>
      <xdr:row>68</xdr:row>
      <xdr:rowOff>168275</xdr:rowOff>
    </xdr:from>
    <xdr:to>
      <xdr:col>4</xdr:col>
      <xdr:colOff>1090429</xdr:colOff>
      <xdr:row>71</xdr:row>
      <xdr:rowOff>129330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0425" y="12868275"/>
          <a:ext cx="3479087" cy="500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1252009</xdr:colOff>
      <xdr:row>138</xdr:row>
      <xdr:rowOff>157692</xdr:rowOff>
    </xdr:from>
    <xdr:to>
      <xdr:col>4</xdr:col>
      <xdr:colOff>1037512</xdr:colOff>
      <xdr:row>141</xdr:row>
      <xdr:rowOff>118746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6259" y="25727025"/>
          <a:ext cx="3479087" cy="5008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1252009</xdr:colOff>
      <xdr:row>146</xdr:row>
      <xdr:rowOff>157692</xdr:rowOff>
    </xdr:from>
    <xdr:to>
      <xdr:col>4</xdr:col>
      <xdr:colOff>1037513</xdr:colOff>
      <xdr:row>149</xdr:row>
      <xdr:rowOff>118746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084" y="25770417"/>
          <a:ext cx="3471679" cy="503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ard.iastate.ed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practicalfarmers.org/member-priorities/cover%20crops/" TargetMode="External"/><Relationship Id="rId1" Type="http://schemas.openxmlformats.org/officeDocument/2006/relationships/hyperlink" Target="http://www.practicalfarmers.org/app/uploads/2013/11/Grazing-Cover-Crops-Fact-Sheet-2013.pdf" TargetMode="External"/><Relationship Id="rId6" Type="http://schemas.openxmlformats.org/officeDocument/2006/relationships/hyperlink" Target="https://www.practicalfarmers.org/news-events/newsroom/news-release-archive/28152/" TargetMode="External"/><Relationship Id="rId5" Type="http://schemas.openxmlformats.org/officeDocument/2006/relationships/hyperlink" Target="https://www.extension.iastate.edu/agdm/crops/html/a1-91.html" TargetMode="External"/><Relationship Id="rId4" Type="http://schemas.openxmlformats.org/officeDocument/2006/relationships/hyperlink" Target="mailto:agdm@iastate.edu?subject=AgDM-Cover-crop-decision-too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gdm@iastate.edu?subject=AgDM-Cover-crop-decision-tool" TargetMode="External"/><Relationship Id="rId2" Type="http://schemas.openxmlformats.org/officeDocument/2006/relationships/hyperlink" Target="https://www.extension.iastate.edu/agdm/crops/pdf/a3-10.pdf" TargetMode="External"/><Relationship Id="rId1" Type="http://schemas.openxmlformats.org/officeDocument/2006/relationships/hyperlink" Target="https://www.extension.iastate.edu/agdm/crops/pdf/a1-20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xtension.iastate.edu/agdm/crops/html/a1-9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gdm@iastate.edu?subject=AgDM-Cover-crop-decision-tool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www.extension.iastate.edu/agdm/livestock/pdf/b1-75.pdf" TargetMode="External"/><Relationship Id="rId7" Type="http://schemas.openxmlformats.org/officeDocument/2006/relationships/hyperlink" Target="https://www.extension.iastate.edu/agdm/crops/pdf/a3-10.pdf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extension.iastate.edu/agdm/crops/pdf/a3-10.pdf" TargetMode="External"/><Relationship Id="rId1" Type="http://schemas.openxmlformats.org/officeDocument/2006/relationships/hyperlink" Target="https://www.extension.iastate.edu/agdm/crops/pdf/a1-20.pdf" TargetMode="External"/><Relationship Id="rId6" Type="http://schemas.openxmlformats.org/officeDocument/2006/relationships/hyperlink" Target="https://www.extension.iastate.edu/agdm/crops/pdf/a1-20.pdf" TargetMode="External"/><Relationship Id="rId11" Type="http://schemas.openxmlformats.org/officeDocument/2006/relationships/hyperlink" Target="https://www.nrcs.usda.gov/Internet/FSE_documents/stelprdb1097070.pdf" TargetMode="External"/><Relationship Id="rId5" Type="http://schemas.openxmlformats.org/officeDocument/2006/relationships/hyperlink" Target="http://www.practicalfarmers.org/app/uploads/2013/11/Grazing-Cover-Crops-Fact-Sheet-2013.pdf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practicalfarmers.org/news-events/newsroom/news-release-archive/28152/" TargetMode="External"/><Relationship Id="rId4" Type="http://schemas.openxmlformats.org/officeDocument/2006/relationships/hyperlink" Target="http://www.practicalfarmers.org/app/uploads/2013/11/Grazing-Cover-Crops-Fact-Sheet-2013.pdf" TargetMode="External"/><Relationship Id="rId9" Type="http://schemas.openxmlformats.org/officeDocument/2006/relationships/hyperlink" Target="https://www.extension.iastate.edu/agdm/crops/html/a1-91.html" TargetMode="External"/><Relationship Id="rId1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acticalfarmers.org/news-events/newsroom/news-release-archive/28152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www.extension.iastate.edu/agdm/crops/pdf/a3-10.pdf" TargetMode="External"/><Relationship Id="rId7" Type="http://schemas.openxmlformats.org/officeDocument/2006/relationships/hyperlink" Target="https://www.extension.iastate.edu/agdm/crops/html/a1-91.html" TargetMode="External"/><Relationship Id="rId12" Type="http://schemas.openxmlformats.org/officeDocument/2006/relationships/drawing" Target="../drawings/drawing4.xml"/><Relationship Id="rId2" Type="http://schemas.openxmlformats.org/officeDocument/2006/relationships/hyperlink" Target="https://www.extension.iastate.edu/agdm/crops/pdf/a1-20.pdf" TargetMode="External"/><Relationship Id="rId1" Type="http://schemas.openxmlformats.org/officeDocument/2006/relationships/hyperlink" Target="https://www.extension.iastate.edu/agdm/livestock/pdf/b1-75.pdf" TargetMode="External"/><Relationship Id="rId6" Type="http://schemas.openxmlformats.org/officeDocument/2006/relationships/hyperlink" Target="mailto:agdm@iastate.edu?subject=AgDM-Cover-crop-decision-too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www.extension.iastate.edu/agdm/crops/pdf/a3-10.pdf" TargetMode="External"/><Relationship Id="rId10" Type="http://schemas.openxmlformats.org/officeDocument/2006/relationships/hyperlink" Target="https://www.nrcs.usda.gov/Internet/FSE_documents/stelprdb1097070.pdf" TargetMode="External"/><Relationship Id="rId4" Type="http://schemas.openxmlformats.org/officeDocument/2006/relationships/hyperlink" Target="https://www.extension.iastate.edu/agdm/crops/pdf/a1-20.pdf" TargetMode="External"/><Relationship Id="rId9" Type="http://schemas.openxmlformats.org/officeDocument/2006/relationships/hyperlink" Target="https://www.nrcs.usda.gov/Internet/FSE_documents/stelprdb1097070.pdf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6"/>
  <sheetViews>
    <sheetView showGridLines="0" zoomScale="90" zoomScaleNormal="90" zoomScaleSheetLayoutView="90" workbookViewId="0">
      <selection activeCell="A18" sqref="A18"/>
    </sheetView>
  </sheetViews>
  <sheetFormatPr defaultColWidth="8.83203125" defaultRowHeight="14" x14ac:dyDescent="0.3"/>
  <cols>
    <col min="1" max="1" width="32.6640625" style="11" customWidth="1"/>
    <col min="2" max="2" width="93.6640625" style="1" customWidth="1"/>
    <col min="3" max="16384" width="8.83203125" style="1"/>
  </cols>
  <sheetData>
    <row r="1" spans="1:2" s="169" customFormat="1" ht="20.5" thickBot="1" x14ac:dyDescent="0.45">
      <c r="A1" s="169" t="s">
        <v>165</v>
      </c>
    </row>
    <row r="2" spans="1:2" ht="16" thickTop="1" x14ac:dyDescent="0.35">
      <c r="A2" s="170" t="s">
        <v>126</v>
      </c>
    </row>
    <row r="3" spans="1:2" s="96" customFormat="1" x14ac:dyDescent="0.3">
      <c r="A3" s="313" t="s">
        <v>277</v>
      </c>
      <c r="B3" s="95"/>
    </row>
    <row r="4" spans="1:2" x14ac:dyDescent="0.3">
      <c r="A4" s="104"/>
    </row>
    <row r="5" spans="1:2" s="207" customFormat="1" x14ac:dyDescent="0.3">
      <c r="A5" s="262" t="s">
        <v>275</v>
      </c>
    </row>
    <row r="6" spans="1:2" s="207" customFormat="1" x14ac:dyDescent="0.3">
      <c r="A6" s="250" t="s">
        <v>166</v>
      </c>
      <c r="B6" s="207" t="s">
        <v>169</v>
      </c>
    </row>
    <row r="7" spans="1:2" s="207" customFormat="1" x14ac:dyDescent="0.3">
      <c r="A7" s="250" t="s">
        <v>167</v>
      </c>
      <c r="B7" s="207" t="s">
        <v>170</v>
      </c>
    </row>
    <row r="8" spans="1:2" s="207" customFormat="1" x14ac:dyDescent="0.3">
      <c r="A8" s="250" t="s">
        <v>168</v>
      </c>
      <c r="B8" s="207" t="s">
        <v>229</v>
      </c>
    </row>
    <row r="9" spans="1:2" s="207" customFormat="1" x14ac:dyDescent="0.3">
      <c r="A9" s="262"/>
    </row>
    <row r="10" spans="1:2" s="207" customFormat="1" x14ac:dyDescent="0.3">
      <c r="A10" s="263" t="s">
        <v>127</v>
      </c>
    </row>
    <row r="11" spans="1:2" s="207" customFormat="1" ht="5.5" customHeight="1" x14ac:dyDescent="0.3">
      <c r="A11" s="262"/>
    </row>
    <row r="12" spans="1:2" s="207" customFormat="1" x14ac:dyDescent="0.3">
      <c r="A12" s="105" t="s">
        <v>281</v>
      </c>
    </row>
    <row r="13" spans="1:2" s="207" customFormat="1" x14ac:dyDescent="0.3">
      <c r="A13" s="105" t="s">
        <v>282</v>
      </c>
    </row>
    <row r="14" spans="1:2" s="207" customFormat="1" x14ac:dyDescent="0.3">
      <c r="A14" s="317" t="s">
        <v>283</v>
      </c>
    </row>
    <row r="15" spans="1:2" s="207" customFormat="1" x14ac:dyDescent="0.3">
      <c r="A15" s="105" t="s">
        <v>284</v>
      </c>
    </row>
    <row r="16" spans="1:2" x14ac:dyDescent="0.3">
      <c r="A16" s="166"/>
    </row>
    <row r="17" spans="1:1" x14ac:dyDescent="0.3">
      <c r="A17" s="166"/>
    </row>
    <row r="18" spans="1:1" x14ac:dyDescent="0.3">
      <c r="A18" s="106" t="s">
        <v>299</v>
      </c>
    </row>
    <row r="19" spans="1:1" x14ac:dyDescent="0.3">
      <c r="A19" s="106" t="s">
        <v>264</v>
      </c>
    </row>
    <row r="20" spans="1:1" x14ac:dyDescent="0.3">
      <c r="A20" s="102" t="s">
        <v>263</v>
      </c>
    </row>
    <row r="21" spans="1:1" x14ac:dyDescent="0.3">
      <c r="A21" s="102" t="s">
        <v>262</v>
      </c>
    </row>
    <row r="22" spans="1:1" x14ac:dyDescent="0.3">
      <c r="A22" s="106" t="s">
        <v>265</v>
      </c>
    </row>
    <row r="23" spans="1:1" x14ac:dyDescent="0.3">
      <c r="A23" s="206" t="s">
        <v>274</v>
      </c>
    </row>
    <row r="25" spans="1:1" s="101" customFormat="1" ht="10" x14ac:dyDescent="0.2">
      <c r="A25" s="260" t="s">
        <v>272</v>
      </c>
    </row>
    <row r="26" spans="1:1" s="101" customFormat="1" ht="10" x14ac:dyDescent="0.2">
      <c r="A26" s="261" t="s">
        <v>273</v>
      </c>
    </row>
  </sheetData>
  <sheetProtection sheet="1" objects="1" scenarios="1"/>
  <hyperlinks>
    <hyperlink ref="A12" r:id="rId1" display="Practical Farmers of Iowa: Grazing Cover Crops fact sheet, http://www.practicalfarmers.org/app/uploads/2013/11/Grazing-Cover-Crops-Fact-Sheet-2013.pdf" xr:uid="{00000000-0004-0000-0000-000000000000}"/>
    <hyperlink ref="A13" r:id="rId2" display="Practical Farmers of Iowa cover crop information, http://www.practicalfarmers.org/member-priorities/cover crops/" xr:uid="{00000000-0004-0000-0000-000001000000}"/>
    <hyperlink ref="A15" r:id="rId3" display="CARD Cover Crop website-forthcoming, https://www.card.iastate.edu/" xr:uid="{00000000-0004-0000-0000-000002000000}"/>
    <hyperlink ref="A6" location="'Cover Crops Budget'!A1" display="Cover Crops Budget" xr:uid="{00000000-0004-0000-0000-000003000000}"/>
    <hyperlink ref="A7" location="'Grazing Cover Crops Budget'!A1" display="Grazing Cover Crops Budget" xr:uid="{00000000-0004-0000-0000-000004000000}"/>
    <hyperlink ref="A8" location="'Grazing Cover Crops Results'!A1" display="Grazing Cover Crops Results" xr:uid="{00000000-0004-0000-0000-000005000000}"/>
    <hyperlink ref="A23" r:id="rId4" xr:uid="{00000000-0004-0000-0000-000006000000}"/>
    <hyperlink ref="A3" r:id="rId5" display="See the Ag Decision Maker page, Economics of Cover Crops for more information." xr:uid="{00000000-0004-0000-0000-000007000000}"/>
    <hyperlink ref="A14" r:id="rId6" display="On-farm research quantifies value of grazing cattle on cover crops, https://www.practicalfarmers.org/news-events/newsroom/news-release-archive/28152/" xr:uid="{00000000-0004-0000-0000-000008000000}"/>
  </hyperlinks>
  <pageMargins left="0.7" right="0.7" top="0.75" bottom="0.75" header="0.3" footer="0.3"/>
  <pageSetup scale="89" orientation="landscape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7"/>
  <sheetViews>
    <sheetView showGridLines="0" tabSelected="1" zoomScale="80" zoomScaleNormal="80" workbookViewId="0">
      <selection activeCell="G15" sqref="G15"/>
    </sheetView>
  </sheetViews>
  <sheetFormatPr defaultColWidth="9" defaultRowHeight="14" x14ac:dyDescent="0.3"/>
  <cols>
    <col min="1" max="1" width="60.83203125" style="1" customWidth="1"/>
    <col min="2" max="2" width="17.1640625" style="1" bestFit="1" customWidth="1"/>
    <col min="3" max="7" width="15.6640625" style="1" customWidth="1"/>
    <col min="8" max="8" width="16.33203125" style="1" customWidth="1"/>
    <col min="9" max="9" width="15.6640625" style="1" customWidth="1"/>
    <col min="10" max="10" width="15.6640625" style="329" customWidth="1"/>
    <col min="11" max="11" width="15.6640625" style="1" customWidth="1"/>
    <col min="12" max="13" width="13.6640625" style="1" customWidth="1"/>
    <col min="14" max="14" width="17.33203125" style="1" bestFit="1" customWidth="1"/>
    <col min="15" max="15" width="8.33203125" style="1" bestFit="1" customWidth="1"/>
    <col min="16" max="16384" width="9" style="1"/>
  </cols>
  <sheetData>
    <row r="1" spans="1:10" s="167" customFormat="1" ht="20.5" thickBot="1" x14ac:dyDescent="0.45">
      <c r="A1" s="167" t="s">
        <v>99</v>
      </c>
      <c r="J1" s="327"/>
    </row>
    <row r="2" spans="1:10" s="168" customFormat="1" ht="16" thickTop="1" x14ac:dyDescent="0.35">
      <c r="A2" s="168" t="s">
        <v>126</v>
      </c>
      <c r="J2" s="328"/>
    </row>
    <row r="3" spans="1:10" s="96" customFormat="1" x14ac:dyDescent="0.3">
      <c r="A3" s="312" t="s">
        <v>279</v>
      </c>
      <c r="B3" s="95"/>
    </row>
    <row r="4" spans="1:10" s="96" customFormat="1" ht="12.5" x14ac:dyDescent="0.25">
      <c r="A4" s="95"/>
      <c r="B4" s="95"/>
    </row>
    <row r="5" spans="1:10" x14ac:dyDescent="0.3">
      <c r="A5" s="140" t="s">
        <v>0</v>
      </c>
      <c r="B5" s="2"/>
    </row>
    <row r="6" spans="1:10" x14ac:dyDescent="0.3">
      <c r="A6" s="2"/>
      <c r="B6" s="2"/>
    </row>
    <row r="7" spans="1:10" x14ac:dyDescent="0.3">
      <c r="A7" s="2" t="s">
        <v>1</v>
      </c>
      <c r="B7" s="2"/>
      <c r="C7" s="141" t="s">
        <v>62</v>
      </c>
      <c r="D7" s="142"/>
      <c r="E7" s="142"/>
      <c r="F7" s="143"/>
      <c r="G7" s="3" t="s">
        <v>61</v>
      </c>
      <c r="H7" s="144" t="s">
        <v>82</v>
      </c>
      <c r="J7" s="318" t="s">
        <v>286</v>
      </c>
    </row>
    <row r="8" spans="1:10" ht="15" thickBot="1" x14ac:dyDescent="0.4">
      <c r="A8" s="314" t="s">
        <v>280</v>
      </c>
      <c r="B8" s="2"/>
      <c r="C8" s="4"/>
      <c r="D8" s="4"/>
    </row>
    <row r="9" spans="1:10" ht="15.5" x14ac:dyDescent="0.35">
      <c r="A9" s="180" t="s">
        <v>125</v>
      </c>
      <c r="B9" s="119"/>
      <c r="C9" s="5" t="s">
        <v>2</v>
      </c>
      <c r="D9" s="5" t="s">
        <v>3</v>
      </c>
      <c r="E9" s="5" t="s">
        <v>4</v>
      </c>
      <c r="F9" s="5" t="s">
        <v>5</v>
      </c>
      <c r="G9" s="5" t="s">
        <v>41</v>
      </c>
      <c r="H9" s="6" t="s">
        <v>44</v>
      </c>
      <c r="I9" s="7"/>
      <c r="J9" s="330"/>
    </row>
    <row r="10" spans="1:10" ht="30.25" customHeight="1" x14ac:dyDescent="0.3">
      <c r="A10" s="109" t="s">
        <v>73</v>
      </c>
      <c r="B10" s="104"/>
      <c r="C10" s="145" t="s">
        <v>63</v>
      </c>
      <c r="D10" s="145" t="s">
        <v>78</v>
      </c>
      <c r="E10" s="145" t="s">
        <v>147</v>
      </c>
      <c r="F10" s="145" t="s">
        <v>79</v>
      </c>
      <c r="G10" s="145" t="s">
        <v>63</v>
      </c>
      <c r="H10" s="10"/>
      <c r="I10" s="11"/>
    </row>
    <row r="11" spans="1:10" x14ac:dyDescent="0.3">
      <c r="A11" s="189" t="s">
        <v>6</v>
      </c>
      <c r="B11" s="173" t="s">
        <v>176</v>
      </c>
      <c r="C11" s="148">
        <v>25</v>
      </c>
      <c r="D11" s="148">
        <v>40</v>
      </c>
      <c r="E11" s="148">
        <v>16</v>
      </c>
      <c r="F11" s="148">
        <v>38</v>
      </c>
      <c r="G11" s="148">
        <v>14</v>
      </c>
      <c r="H11" s="10">
        <f>SUM(C11:G11)</f>
        <v>133</v>
      </c>
      <c r="I11" s="11"/>
    </row>
    <row r="12" spans="1:10" x14ac:dyDescent="0.3">
      <c r="A12" s="175" t="s">
        <v>178</v>
      </c>
      <c r="B12" s="173" t="s">
        <v>177</v>
      </c>
      <c r="C12" s="147">
        <v>10</v>
      </c>
      <c r="D12" s="147">
        <v>5</v>
      </c>
      <c r="E12" s="147">
        <v>9</v>
      </c>
      <c r="F12" s="147">
        <v>5</v>
      </c>
      <c r="G12" s="147">
        <v>11</v>
      </c>
      <c r="H12" s="12">
        <f>SUMPRODUCT(C$11:G$11,C12:G12)</f>
        <v>938</v>
      </c>
      <c r="J12" s="102" t="s">
        <v>145</v>
      </c>
    </row>
    <row r="13" spans="1:10" x14ac:dyDescent="0.3">
      <c r="A13" s="175" t="s">
        <v>179</v>
      </c>
      <c r="B13" s="173" t="s">
        <v>177</v>
      </c>
      <c r="C13" s="147"/>
      <c r="D13" s="147">
        <v>7</v>
      </c>
      <c r="E13" s="147"/>
      <c r="F13" s="147">
        <v>8</v>
      </c>
      <c r="G13" s="147"/>
      <c r="H13" s="12">
        <f>SUMPRODUCT(C$11:G$11,C13:G13)</f>
        <v>584</v>
      </c>
      <c r="J13" s="102"/>
    </row>
    <row r="14" spans="1:10" ht="14.5" x14ac:dyDescent="0.35">
      <c r="A14" s="175" t="s">
        <v>180</v>
      </c>
      <c r="B14" s="173" t="s">
        <v>177</v>
      </c>
      <c r="C14" s="147">
        <v>15</v>
      </c>
      <c r="D14" s="147">
        <v>12</v>
      </c>
      <c r="E14" s="147"/>
      <c r="F14" s="147"/>
      <c r="G14" s="147"/>
      <c r="H14" s="12">
        <f>SUMPRODUCT(C$11:G$11,C14:G14)</f>
        <v>855</v>
      </c>
      <c r="J14" s="106"/>
    </row>
    <row r="15" spans="1:10" ht="14.5" x14ac:dyDescent="0.35">
      <c r="A15" s="175" t="s">
        <v>181</v>
      </c>
      <c r="B15" s="173" t="s">
        <v>177</v>
      </c>
      <c r="C15" s="147"/>
      <c r="D15" s="147"/>
      <c r="E15" s="147">
        <v>5</v>
      </c>
      <c r="F15" s="147">
        <v>5</v>
      </c>
      <c r="G15" s="147">
        <v>5</v>
      </c>
      <c r="H15" s="12">
        <f>SUMPRODUCT(C$11:G$11,C15:G15)</f>
        <v>340</v>
      </c>
      <c r="J15" s="206" t="s">
        <v>42</v>
      </c>
    </row>
    <row r="16" spans="1:10" x14ac:dyDescent="0.3">
      <c r="A16" s="110" t="s">
        <v>183</v>
      </c>
      <c r="B16" s="174" t="s">
        <v>182</v>
      </c>
      <c r="C16" s="148">
        <v>3</v>
      </c>
      <c r="D16" s="148">
        <v>5</v>
      </c>
      <c r="E16" s="148">
        <v>2</v>
      </c>
      <c r="F16" s="148">
        <v>5</v>
      </c>
      <c r="G16" s="148">
        <v>6</v>
      </c>
      <c r="H16" s="10"/>
      <c r="J16" s="206" t="s">
        <v>128</v>
      </c>
    </row>
    <row r="17" spans="1:10" ht="17" x14ac:dyDescent="0.6">
      <c r="A17" s="175" t="s">
        <v>185</v>
      </c>
      <c r="B17" s="147">
        <v>12</v>
      </c>
      <c r="C17" s="190" t="s">
        <v>184</v>
      </c>
      <c r="D17" s="15"/>
      <c r="E17" s="15"/>
      <c r="F17" s="15"/>
      <c r="G17" s="15"/>
      <c r="H17" s="22">
        <f>SUM(C16:G16)*B17</f>
        <v>252</v>
      </c>
      <c r="J17" s="106"/>
    </row>
    <row r="18" spans="1:10" ht="14.5" thickBot="1" x14ac:dyDescent="0.35">
      <c r="A18" s="17" t="s">
        <v>44</v>
      </c>
      <c r="B18" s="41"/>
      <c r="C18" s="67">
        <f>C11*SUM(C12:C15)+C16*$B17</f>
        <v>661</v>
      </c>
      <c r="D18" s="67">
        <f t="shared" ref="D18:F18" si="0">D11*SUM(D12:D15)+D16*$B17</f>
        <v>1020</v>
      </c>
      <c r="E18" s="67">
        <f t="shared" si="0"/>
        <v>248</v>
      </c>
      <c r="F18" s="67">
        <f t="shared" si="0"/>
        <v>744</v>
      </c>
      <c r="G18" s="67">
        <f>G11*SUM(G12:G15)+G16*$B17</f>
        <v>296</v>
      </c>
      <c r="H18" s="18">
        <f>SUM(H12:H17)</f>
        <v>2969</v>
      </c>
      <c r="J18" s="102"/>
    </row>
    <row r="19" spans="1:10" ht="14.5" thickBot="1" x14ac:dyDescent="0.35">
      <c r="A19" s="9"/>
      <c r="B19" s="11"/>
      <c r="C19" s="19"/>
      <c r="D19" s="15"/>
      <c r="E19" s="15"/>
      <c r="F19" s="15"/>
      <c r="G19" s="19"/>
      <c r="H19" s="15"/>
      <c r="J19" s="102"/>
    </row>
    <row r="20" spans="1:10" ht="15.5" x14ac:dyDescent="0.35">
      <c r="A20" s="180" t="s">
        <v>74</v>
      </c>
      <c r="B20" s="119"/>
      <c r="C20" s="5" t="s">
        <v>2</v>
      </c>
      <c r="D20" s="5" t="s">
        <v>3</v>
      </c>
      <c r="E20" s="5" t="s">
        <v>4</v>
      </c>
      <c r="F20" s="5" t="s">
        <v>5</v>
      </c>
      <c r="G20" s="5" t="s">
        <v>41</v>
      </c>
      <c r="H20" s="20" t="s">
        <v>7</v>
      </c>
      <c r="J20" s="102"/>
    </row>
    <row r="21" spans="1:10" x14ac:dyDescent="0.3">
      <c r="A21" s="176" t="s">
        <v>187</v>
      </c>
      <c r="B21" s="173" t="s">
        <v>177</v>
      </c>
      <c r="C21" s="147"/>
      <c r="D21" s="147"/>
      <c r="E21" s="147">
        <v>6</v>
      </c>
      <c r="F21" s="147"/>
      <c r="G21" s="147">
        <v>5</v>
      </c>
      <c r="H21" s="12">
        <f>SUMPRODUCT(C$11:G$11,C21:G21)</f>
        <v>166</v>
      </c>
      <c r="J21" s="102"/>
    </row>
    <row r="22" spans="1:10" ht="14.5" x14ac:dyDescent="0.35">
      <c r="A22" s="176" t="s">
        <v>188</v>
      </c>
      <c r="B22" s="173" t="s">
        <v>177</v>
      </c>
      <c r="C22" s="147"/>
      <c r="D22" s="147"/>
      <c r="E22" s="147">
        <v>12</v>
      </c>
      <c r="F22" s="147"/>
      <c r="G22" s="147"/>
      <c r="H22" s="12">
        <f>SUMPRODUCT(C$11:G$11,C22:G22)</f>
        <v>192</v>
      </c>
      <c r="J22" s="106" t="s">
        <v>171</v>
      </c>
    </row>
    <row r="23" spans="1:10" ht="14.5" x14ac:dyDescent="0.35">
      <c r="A23" s="176" t="s">
        <v>189</v>
      </c>
      <c r="B23" s="173" t="s">
        <v>177</v>
      </c>
      <c r="C23" s="147"/>
      <c r="D23" s="147"/>
      <c r="E23" s="147"/>
      <c r="F23" s="147"/>
      <c r="G23" s="147">
        <v>7</v>
      </c>
      <c r="H23" s="12">
        <f>SUMPRODUCT(C$11:G$11,C23:G23)</f>
        <v>98</v>
      </c>
      <c r="J23" s="106" t="s">
        <v>172</v>
      </c>
    </row>
    <row r="24" spans="1:10" ht="14.5" x14ac:dyDescent="0.35">
      <c r="A24" s="175" t="s">
        <v>190</v>
      </c>
      <c r="B24" s="173" t="s">
        <v>177</v>
      </c>
      <c r="C24" s="147">
        <v>18</v>
      </c>
      <c r="D24" s="147"/>
      <c r="E24" s="147"/>
      <c r="F24" s="147"/>
      <c r="G24" s="147"/>
      <c r="H24" s="12">
        <f>SUMPRODUCT(C$11:G$11,C24:G24)</f>
        <v>450</v>
      </c>
      <c r="J24" s="106" t="s">
        <v>172</v>
      </c>
    </row>
    <row r="25" spans="1:10" ht="14.5" x14ac:dyDescent="0.35">
      <c r="A25" s="175" t="s">
        <v>225</v>
      </c>
      <c r="B25" s="173" t="s">
        <v>177</v>
      </c>
      <c r="C25" s="147"/>
      <c r="D25" s="147">
        <v>4</v>
      </c>
      <c r="E25" s="147"/>
      <c r="F25" s="147"/>
      <c r="G25" s="147"/>
      <c r="H25" s="12">
        <f>SUMPRODUCT(C$11:G$11,C25:G25)</f>
        <v>160</v>
      </c>
      <c r="J25" s="106" t="s">
        <v>173</v>
      </c>
    </row>
    <row r="26" spans="1:10" ht="17" x14ac:dyDescent="0.6">
      <c r="A26" s="110" t="s">
        <v>191</v>
      </c>
      <c r="B26" s="174" t="s">
        <v>182</v>
      </c>
      <c r="C26" s="148"/>
      <c r="D26" s="148">
        <v>8</v>
      </c>
      <c r="E26" s="148"/>
      <c r="F26" s="148"/>
      <c r="G26" s="148">
        <v>2</v>
      </c>
      <c r="H26" s="22">
        <f>SUM(C26:G26)*B17</f>
        <v>120</v>
      </c>
      <c r="J26" s="106" t="s">
        <v>173</v>
      </c>
    </row>
    <row r="27" spans="1:10" ht="14.5" thickBot="1" x14ac:dyDescent="0.35">
      <c r="A27" s="23" t="s">
        <v>7</v>
      </c>
      <c r="B27" s="121"/>
      <c r="C27" s="67">
        <f>C11*SUM(C21:C25)+C26*$B$17</f>
        <v>450</v>
      </c>
      <c r="D27" s="67">
        <f t="shared" ref="D27:F27" si="1">D11*SUM(D21:D25)+D26*$B$17</f>
        <v>256</v>
      </c>
      <c r="E27" s="67">
        <f t="shared" si="1"/>
        <v>288</v>
      </c>
      <c r="F27" s="67">
        <f t="shared" si="1"/>
        <v>0</v>
      </c>
      <c r="G27" s="67">
        <f>G11*SUM(G21:G25)+G26*$B$17</f>
        <v>192</v>
      </c>
      <c r="H27" s="24">
        <f>SUM(H21:H26)</f>
        <v>1186</v>
      </c>
      <c r="J27" s="106" t="s">
        <v>174</v>
      </c>
    </row>
    <row r="28" spans="1:10" ht="14.5" thickBot="1" x14ac:dyDescent="0.35">
      <c r="A28" s="14"/>
      <c r="B28" s="122"/>
      <c r="C28" s="15"/>
      <c r="D28" s="15"/>
      <c r="E28" s="15"/>
      <c r="F28" s="15"/>
      <c r="G28" s="19"/>
      <c r="H28" s="13"/>
      <c r="J28" s="106"/>
    </row>
    <row r="29" spans="1:10" ht="15.5" x14ac:dyDescent="0.35">
      <c r="A29" s="180" t="s">
        <v>49</v>
      </c>
      <c r="B29" s="119"/>
      <c r="C29" s="25"/>
      <c r="D29" s="25"/>
      <c r="E29" s="25"/>
      <c r="F29" s="25"/>
      <c r="G29" s="25"/>
      <c r="H29" s="26"/>
      <c r="J29" s="102"/>
    </row>
    <row r="30" spans="1:10" x14ac:dyDescent="0.3">
      <c r="A30" s="27" t="s">
        <v>50</v>
      </c>
      <c r="B30" s="134"/>
      <c r="C30" s="7" t="s">
        <v>2</v>
      </c>
      <c r="D30" s="7" t="s">
        <v>3</v>
      </c>
      <c r="E30" s="7" t="s">
        <v>4</v>
      </c>
      <c r="F30" s="7" t="s">
        <v>5</v>
      </c>
      <c r="G30" s="7" t="s">
        <v>41</v>
      </c>
      <c r="H30" s="28" t="s">
        <v>7</v>
      </c>
      <c r="J30" s="106"/>
    </row>
    <row r="31" spans="1:10" x14ac:dyDescent="0.3">
      <c r="A31" s="109" t="s">
        <v>9</v>
      </c>
      <c r="B31" s="11"/>
      <c r="C31" s="144" t="s">
        <v>40</v>
      </c>
      <c r="D31" s="144" t="s">
        <v>40</v>
      </c>
      <c r="E31" s="144" t="s">
        <v>40</v>
      </c>
      <c r="F31" s="144" t="s">
        <v>68</v>
      </c>
      <c r="G31" s="144" t="s">
        <v>68</v>
      </c>
      <c r="H31" s="12"/>
      <c r="J31" s="102"/>
    </row>
    <row r="32" spans="1:10" x14ac:dyDescent="0.3">
      <c r="A32" s="175" t="s">
        <v>197</v>
      </c>
      <c r="B32" s="178" t="s">
        <v>202</v>
      </c>
      <c r="C32" s="148">
        <v>175</v>
      </c>
      <c r="D32" s="148">
        <v>175</v>
      </c>
      <c r="E32" s="148">
        <v>175</v>
      </c>
      <c r="F32" s="148">
        <v>50</v>
      </c>
      <c r="G32" s="148">
        <v>50</v>
      </c>
      <c r="H32" s="12"/>
      <c r="J32" s="331"/>
    </row>
    <row r="33" spans="1:10" x14ac:dyDescent="0.3">
      <c r="A33" s="175" t="s">
        <v>195</v>
      </c>
      <c r="B33" s="173" t="s">
        <v>194</v>
      </c>
      <c r="C33" s="147">
        <v>3.25</v>
      </c>
      <c r="D33" s="147">
        <v>3.25</v>
      </c>
      <c r="E33" s="147">
        <v>3.25</v>
      </c>
      <c r="F33" s="147">
        <v>9</v>
      </c>
      <c r="G33" s="147">
        <v>9</v>
      </c>
      <c r="H33" s="12"/>
      <c r="J33" s="331"/>
    </row>
    <row r="34" spans="1:10" x14ac:dyDescent="0.3">
      <c r="A34" s="139" t="s">
        <v>192</v>
      </c>
      <c r="B34" s="177" t="s">
        <v>193</v>
      </c>
      <c r="C34" s="149">
        <v>0.01</v>
      </c>
      <c r="D34" s="149">
        <v>0.01</v>
      </c>
      <c r="E34" s="149">
        <v>0.01</v>
      </c>
      <c r="F34" s="149">
        <v>0.02</v>
      </c>
      <c r="G34" s="149">
        <v>0.02</v>
      </c>
      <c r="H34" s="12"/>
      <c r="J34" s="332" t="s">
        <v>97</v>
      </c>
    </row>
    <row r="35" spans="1:10" x14ac:dyDescent="0.3">
      <c r="A35" s="175" t="s">
        <v>196</v>
      </c>
      <c r="B35" s="173" t="s">
        <v>177</v>
      </c>
      <c r="C35" s="171">
        <f>C32*C33*C34</f>
        <v>5.6875</v>
      </c>
      <c r="D35" s="171">
        <f>D32*D33*D34</f>
        <v>5.6875</v>
      </c>
      <c r="E35" s="171">
        <f>E32*E33*E34</f>
        <v>5.6875</v>
      </c>
      <c r="F35" s="171">
        <f>F32*F33*F34</f>
        <v>9</v>
      </c>
      <c r="G35" s="171">
        <f>G32*G33*G34</f>
        <v>9</v>
      </c>
      <c r="H35" s="172">
        <f>SUMPRODUCT(C35:G35,C11:G11)</f>
        <v>928.6875</v>
      </c>
      <c r="J35" s="331"/>
    </row>
    <row r="36" spans="1:10" x14ac:dyDescent="0.3">
      <c r="A36" s="9"/>
      <c r="B36" s="11"/>
      <c r="C36" s="11"/>
      <c r="D36" s="11"/>
      <c r="E36" s="11"/>
      <c r="F36" s="11"/>
      <c r="G36" s="11"/>
      <c r="H36" s="10"/>
      <c r="J36" s="332" t="s">
        <v>130</v>
      </c>
    </row>
    <row r="37" spans="1:10" x14ac:dyDescent="0.3">
      <c r="A37" s="32" t="s">
        <v>98</v>
      </c>
      <c r="B37" s="75"/>
      <c r="C37" s="33"/>
      <c r="D37" s="11"/>
      <c r="E37" s="11"/>
      <c r="F37" s="11"/>
      <c r="G37" s="11"/>
      <c r="H37" s="12"/>
      <c r="J37" s="332"/>
    </row>
    <row r="38" spans="1:10" x14ac:dyDescent="0.3">
      <c r="A38" s="175" t="s">
        <v>198</v>
      </c>
      <c r="B38" s="173" t="s">
        <v>177</v>
      </c>
      <c r="C38" s="150">
        <v>25</v>
      </c>
      <c r="D38" s="151">
        <v>20</v>
      </c>
      <c r="E38" s="151">
        <v>30</v>
      </c>
      <c r="F38" s="151">
        <v>28</v>
      </c>
      <c r="G38" s="152"/>
      <c r="H38" s="12">
        <f>SUMPRODUCT(C38:G38,C$40:G$40)</f>
        <v>2029</v>
      </c>
      <c r="J38" s="332"/>
    </row>
    <row r="39" spans="1:10" x14ac:dyDescent="0.3">
      <c r="A39" s="176" t="s">
        <v>199</v>
      </c>
      <c r="B39" s="173" t="s">
        <v>177</v>
      </c>
      <c r="C39" s="151"/>
      <c r="D39" s="151"/>
      <c r="E39" s="151"/>
      <c r="F39" s="151"/>
      <c r="G39" s="151">
        <v>5</v>
      </c>
      <c r="H39" s="12">
        <f>SUMPRODUCT(C39:G39,C$40:G$40)</f>
        <v>70</v>
      </c>
      <c r="J39" s="332"/>
    </row>
    <row r="40" spans="1:10" x14ac:dyDescent="0.3">
      <c r="A40" s="176" t="s">
        <v>186</v>
      </c>
      <c r="B40" s="179" t="s">
        <v>176</v>
      </c>
      <c r="C40" s="148">
        <v>25</v>
      </c>
      <c r="D40" s="148">
        <v>21</v>
      </c>
      <c r="E40" s="148">
        <v>16</v>
      </c>
      <c r="F40" s="148">
        <v>18</v>
      </c>
      <c r="G40" s="148">
        <v>14</v>
      </c>
      <c r="H40" s="12"/>
      <c r="J40" s="332" t="s">
        <v>129</v>
      </c>
    </row>
    <row r="41" spans="1:10" x14ac:dyDescent="0.3">
      <c r="A41" s="21"/>
      <c r="B41" s="2"/>
      <c r="C41" s="92"/>
      <c r="D41" s="92"/>
      <c r="E41" s="92"/>
      <c r="F41" s="92"/>
      <c r="G41" s="92"/>
      <c r="H41" s="12"/>
      <c r="I41" s="107"/>
    </row>
    <row r="42" spans="1:10" x14ac:dyDescent="0.3">
      <c r="A42" s="32" t="s">
        <v>117</v>
      </c>
      <c r="B42" s="75"/>
      <c r="C42" s="92"/>
      <c r="D42" s="92"/>
      <c r="E42" s="92"/>
      <c r="F42" s="92"/>
      <c r="G42" s="92"/>
      <c r="H42" s="12"/>
      <c r="I42" s="13"/>
    </row>
    <row r="43" spans="1:10" x14ac:dyDescent="0.3">
      <c r="A43" s="175" t="s">
        <v>200</v>
      </c>
      <c r="B43" s="173" t="s">
        <v>177</v>
      </c>
      <c r="C43" s="147">
        <v>5</v>
      </c>
      <c r="D43" s="147"/>
      <c r="E43" s="147"/>
      <c r="F43" s="147"/>
      <c r="G43" s="147"/>
      <c r="H43" s="12">
        <f>SUMPRODUCT(C43:G43,C$11:G$11)</f>
        <v>125</v>
      </c>
      <c r="I43" s="13"/>
    </row>
    <row r="44" spans="1:10" ht="14.5" thickBot="1" x14ac:dyDescent="0.35">
      <c r="A44" s="182" t="s">
        <v>201</v>
      </c>
      <c r="B44" s="181" t="s">
        <v>177</v>
      </c>
      <c r="C44" s="255"/>
      <c r="D44" s="255"/>
      <c r="E44" s="255"/>
      <c r="F44" s="255">
        <v>3</v>
      </c>
      <c r="G44" s="255">
        <v>3</v>
      </c>
      <c r="H44" s="24">
        <f>SUMPRODUCT(C44:G44,C$11:G$11)</f>
        <v>156</v>
      </c>
      <c r="I44" s="13"/>
    </row>
    <row r="45" spans="1:10" hidden="1" x14ac:dyDescent="0.3">
      <c r="A45" s="9"/>
      <c r="B45" s="11"/>
      <c r="C45" s="11"/>
      <c r="D45" s="11"/>
      <c r="E45" s="11"/>
      <c r="F45" s="11"/>
      <c r="G45" s="11"/>
      <c r="H45" s="13"/>
      <c r="I45" s="13"/>
    </row>
    <row r="46" spans="1:10" ht="14.5" thickBot="1" x14ac:dyDescent="0.35">
      <c r="I46" s="13"/>
    </row>
    <row r="47" spans="1:10" s="188" customFormat="1" ht="15.5" x14ac:dyDescent="0.35">
      <c r="A47" s="183" t="s">
        <v>143</v>
      </c>
      <c r="B47" s="184"/>
      <c r="C47" s="185" t="str">
        <f>C9</f>
        <v>Field 1</v>
      </c>
      <c r="D47" s="185" t="str">
        <f t="shared" ref="D47:G47" si="2">D9</f>
        <v>Field 2</v>
      </c>
      <c r="E47" s="185" t="str">
        <f t="shared" si="2"/>
        <v>Field 3</v>
      </c>
      <c r="F47" s="185" t="str">
        <f t="shared" si="2"/>
        <v>Field 4</v>
      </c>
      <c r="G47" s="185" t="str">
        <f t="shared" si="2"/>
        <v>Field 5</v>
      </c>
      <c r="H47" s="186" t="s">
        <v>23</v>
      </c>
      <c r="I47" s="187" t="s">
        <v>24</v>
      </c>
      <c r="J47" s="329"/>
    </row>
    <row r="48" spans="1:10" x14ac:dyDescent="0.3">
      <c r="A48" s="109" t="s">
        <v>146</v>
      </c>
      <c r="B48" s="104"/>
      <c r="C48" s="13">
        <f>C35*C11</f>
        <v>142.1875</v>
      </c>
      <c r="D48" s="13">
        <f>D35*D11</f>
        <v>227.5</v>
      </c>
      <c r="E48" s="13">
        <f>E35*E11</f>
        <v>91</v>
      </c>
      <c r="F48" s="13">
        <f>F35*F11</f>
        <v>342</v>
      </c>
      <c r="G48" s="13">
        <f>G35*G11</f>
        <v>126</v>
      </c>
      <c r="H48" s="13">
        <f>H35</f>
        <v>928.6875</v>
      </c>
      <c r="I48" s="31">
        <f>IF(SUM(C$11:G$11)&gt;0,H48/SUM(C$11:G$11),0)</f>
        <v>6.9826127819548871</v>
      </c>
      <c r="J48" s="333"/>
    </row>
    <row r="49" spans="1:10" x14ac:dyDescent="0.3">
      <c r="A49" s="109"/>
      <c r="B49" s="104"/>
      <c r="C49" s="13"/>
      <c r="D49" s="13"/>
      <c r="E49" s="13"/>
      <c r="F49" s="13"/>
      <c r="G49" s="13"/>
      <c r="H49" s="13"/>
      <c r="I49" s="31"/>
      <c r="J49" s="333"/>
    </row>
    <row r="50" spans="1:10" x14ac:dyDescent="0.3">
      <c r="A50" s="32" t="s">
        <v>59</v>
      </c>
      <c r="B50" s="75"/>
      <c r="C50" s="11"/>
      <c r="D50" s="11"/>
      <c r="E50" s="11"/>
      <c r="F50" s="11"/>
      <c r="G50" s="11"/>
      <c r="H50" s="68"/>
      <c r="I50" s="35"/>
      <c r="J50" s="333"/>
    </row>
    <row r="51" spans="1:10" x14ac:dyDescent="0.3">
      <c r="A51" s="109" t="s">
        <v>25</v>
      </c>
      <c r="B51" s="104"/>
      <c r="C51" s="13">
        <f>C38*C40</f>
        <v>625</v>
      </c>
      <c r="D51" s="13">
        <f t="shared" ref="D51:G51" si="3">D38*D40</f>
        <v>420</v>
      </c>
      <c r="E51" s="13">
        <f t="shared" si="3"/>
        <v>480</v>
      </c>
      <c r="F51" s="13">
        <f t="shared" si="3"/>
        <v>504</v>
      </c>
      <c r="G51" s="13">
        <f t="shared" si="3"/>
        <v>0</v>
      </c>
      <c r="H51" s="69">
        <f>H38</f>
        <v>2029</v>
      </c>
      <c r="I51" s="31">
        <f>IF(SUM(C$11:G$11)&gt;0,H51/SUM(C$11:G$11),0)</f>
        <v>15.255639097744361</v>
      </c>
      <c r="J51" s="333"/>
    </row>
    <row r="52" spans="1:10" x14ac:dyDescent="0.3">
      <c r="A52" s="111" t="s">
        <v>55</v>
      </c>
      <c r="B52" s="120"/>
      <c r="C52" s="13">
        <f>C39*C40</f>
        <v>0</v>
      </c>
      <c r="D52" s="13">
        <f t="shared" ref="D52:G52" si="4">D39*D40</f>
        <v>0</v>
      </c>
      <c r="E52" s="13">
        <f t="shared" si="4"/>
        <v>0</v>
      </c>
      <c r="F52" s="13">
        <f t="shared" si="4"/>
        <v>0</v>
      </c>
      <c r="G52" s="13">
        <f t="shared" si="4"/>
        <v>70</v>
      </c>
      <c r="H52" s="69">
        <f>H39</f>
        <v>70</v>
      </c>
      <c r="I52" s="31">
        <f>IF(SUM(C$11:G$11)&gt;0,H52/SUM(C$11:G$11),0)</f>
        <v>0.52631578947368418</v>
      </c>
      <c r="J52" s="333"/>
    </row>
    <row r="53" spans="1:10" ht="17" x14ac:dyDescent="0.6">
      <c r="A53" s="111" t="s">
        <v>119</v>
      </c>
      <c r="B53" s="120"/>
      <c r="C53" s="66">
        <f>C44*C11</f>
        <v>0</v>
      </c>
      <c r="D53" s="66">
        <f>D44*D11</f>
        <v>0</v>
      </c>
      <c r="E53" s="66">
        <f>E44*E11</f>
        <v>0</v>
      </c>
      <c r="F53" s="66">
        <f>F44*F11</f>
        <v>114</v>
      </c>
      <c r="G53" s="66">
        <f>G44*G11</f>
        <v>42</v>
      </c>
      <c r="H53" s="135">
        <f>H44</f>
        <v>156</v>
      </c>
      <c r="I53" s="70">
        <f>IF(SUM(C$11:G$11)&gt;0,H53/SUM(C$11:G$11),0)</f>
        <v>1.1729323308270676</v>
      </c>
      <c r="J53" s="333"/>
    </row>
    <row r="54" spans="1:10" x14ac:dyDescent="0.3">
      <c r="A54" s="32" t="s">
        <v>26</v>
      </c>
      <c r="B54" s="75"/>
      <c r="C54" s="71">
        <f t="shared" ref="C54:G54" si="5">SUM(C51:C53)</f>
        <v>625</v>
      </c>
      <c r="D54" s="71">
        <f t="shared" si="5"/>
        <v>420</v>
      </c>
      <c r="E54" s="71">
        <f t="shared" si="5"/>
        <v>480</v>
      </c>
      <c r="F54" s="71">
        <f t="shared" si="5"/>
        <v>618</v>
      </c>
      <c r="G54" s="71">
        <f t="shared" si="5"/>
        <v>112</v>
      </c>
      <c r="H54" s="71">
        <f>SUM(H51:H53)</f>
        <v>2255</v>
      </c>
      <c r="I54" s="72">
        <f>SUM(I51:I53)</f>
        <v>16.954887218045112</v>
      </c>
      <c r="J54" s="333"/>
    </row>
    <row r="55" spans="1:10" x14ac:dyDescent="0.3">
      <c r="A55" s="32"/>
      <c r="B55" s="75"/>
      <c r="C55" s="71"/>
      <c r="D55" s="71"/>
      <c r="E55" s="71"/>
      <c r="F55" s="71"/>
      <c r="G55" s="71"/>
      <c r="H55" s="71"/>
      <c r="I55" s="72"/>
      <c r="J55" s="333"/>
    </row>
    <row r="56" spans="1:10" x14ac:dyDescent="0.3">
      <c r="A56" s="32" t="s">
        <v>60</v>
      </c>
      <c r="B56" s="75"/>
      <c r="C56" s="13"/>
      <c r="D56" s="13"/>
      <c r="E56" s="13"/>
      <c r="F56" s="13"/>
      <c r="G56" s="13"/>
      <c r="H56" s="13"/>
      <c r="I56" s="31"/>
      <c r="J56" s="333"/>
    </row>
    <row r="57" spans="1:10" x14ac:dyDescent="0.3">
      <c r="A57" s="109" t="s">
        <v>56</v>
      </c>
      <c r="B57" s="104"/>
      <c r="C57" s="13">
        <f>SUM(C12:C15)*C11+C16*$B17</f>
        <v>661</v>
      </c>
      <c r="D57" s="13">
        <f>SUM(D12:D15)*D11+D16*$B17</f>
        <v>1020</v>
      </c>
      <c r="E57" s="13">
        <f>SUM(E12:E15)*E11+E16*$B17</f>
        <v>248</v>
      </c>
      <c r="F57" s="13">
        <f>SUM(F12:F15)*F11+F16*$B17</f>
        <v>744</v>
      </c>
      <c r="G57" s="13">
        <f>SUM(G12:G15)*G11+G16*$B17</f>
        <v>296</v>
      </c>
      <c r="H57" s="13">
        <f>H18</f>
        <v>2969</v>
      </c>
      <c r="I57" s="31">
        <f>IF(SUM(C$11:G$11)&gt;0,H57/SUM(C$11:G$11),0)</f>
        <v>22.323308270676691</v>
      </c>
      <c r="J57" s="333"/>
    </row>
    <row r="58" spans="1:10" x14ac:dyDescent="0.3">
      <c r="A58" s="109" t="s">
        <v>57</v>
      </c>
      <c r="B58" s="104"/>
      <c r="C58" s="13">
        <f>SUM(C21:C25)*C11+C26*$B17</f>
        <v>450</v>
      </c>
      <c r="D58" s="13">
        <f>SUM(D21:D25)*D11+D26*$B17</f>
        <v>256</v>
      </c>
      <c r="E58" s="13">
        <f>SUM(E21:E25)*E11+E26*$B17</f>
        <v>288</v>
      </c>
      <c r="F58" s="13">
        <f>SUM(F21:F25)*F11+F26*$B17</f>
        <v>0</v>
      </c>
      <c r="G58" s="13">
        <f>SUM(G21:G25)*G11+G26*$B17</f>
        <v>192</v>
      </c>
      <c r="H58" s="13">
        <f>H27</f>
        <v>1186</v>
      </c>
      <c r="I58" s="31">
        <f>IF(SUM(C$11:G$11)&gt;0,H58/SUM(C$11:G$11),0)</f>
        <v>8.9172932330827059</v>
      </c>
      <c r="J58" s="333"/>
    </row>
    <row r="59" spans="1:10" ht="17" x14ac:dyDescent="0.6">
      <c r="A59" s="109" t="s">
        <v>118</v>
      </c>
      <c r="B59" s="104"/>
      <c r="C59" s="66">
        <f>C43*C11</f>
        <v>125</v>
      </c>
      <c r="D59" s="66">
        <f>D43*D11</f>
        <v>0</v>
      </c>
      <c r="E59" s="66">
        <f>E43*E11</f>
        <v>0</v>
      </c>
      <c r="F59" s="66">
        <f>F43*F11</f>
        <v>0</v>
      </c>
      <c r="G59" s="66">
        <f>G43*G11</f>
        <v>0</v>
      </c>
      <c r="H59" s="66">
        <f>H43</f>
        <v>125</v>
      </c>
      <c r="I59" s="70">
        <f>IF(SUM(C$11:G$11)&gt;0,H59/SUM(C$11:G$11),0)</f>
        <v>0.93984962406015038</v>
      </c>
      <c r="J59" s="333"/>
    </row>
    <row r="60" spans="1:10" x14ac:dyDescent="0.3">
      <c r="A60" s="32" t="s">
        <v>27</v>
      </c>
      <c r="B60" s="75"/>
      <c r="C60" s="74">
        <f>SUM(C57:C59)</f>
        <v>1236</v>
      </c>
      <c r="D60" s="74">
        <f t="shared" ref="D60:G60" si="6">SUM(D57:D59)</f>
        <v>1276</v>
      </c>
      <c r="E60" s="74">
        <f t="shared" si="6"/>
        <v>536</v>
      </c>
      <c r="F60" s="74">
        <f t="shared" si="6"/>
        <v>744</v>
      </c>
      <c r="G60" s="74">
        <f t="shared" si="6"/>
        <v>488</v>
      </c>
      <c r="H60" s="74">
        <f>SUM(H57:H59)</f>
        <v>4280</v>
      </c>
      <c r="I60" s="73">
        <f>SUM(I57:I59)</f>
        <v>32.180451127819545</v>
      </c>
      <c r="J60" s="333"/>
    </row>
    <row r="61" spans="1:10" x14ac:dyDescent="0.3">
      <c r="A61" s="32"/>
      <c r="B61" s="75"/>
      <c r="C61" s="13"/>
      <c r="D61" s="13"/>
      <c r="E61" s="13"/>
      <c r="F61" s="13"/>
      <c r="G61" s="13"/>
      <c r="H61" s="74"/>
      <c r="I61" s="73"/>
      <c r="J61" s="333"/>
    </row>
    <row r="62" spans="1:10" x14ac:dyDescent="0.3">
      <c r="A62" s="32" t="s">
        <v>28</v>
      </c>
      <c r="B62" s="75"/>
      <c r="C62" s="74">
        <f>C48+C54-C60</f>
        <v>-468.8125</v>
      </c>
      <c r="D62" s="74">
        <f t="shared" ref="D62:G62" si="7">D48+D54-D60</f>
        <v>-628.5</v>
      </c>
      <c r="E62" s="74">
        <f t="shared" si="7"/>
        <v>35</v>
      </c>
      <c r="F62" s="74">
        <f t="shared" si="7"/>
        <v>216</v>
      </c>
      <c r="G62" s="74">
        <f t="shared" si="7"/>
        <v>-250</v>
      </c>
      <c r="H62" s="74">
        <f>H48+H54-H60</f>
        <v>-1096.3125</v>
      </c>
      <c r="I62" s="73">
        <f>I48+I54-I60</f>
        <v>-8.2429511278195449</v>
      </c>
      <c r="J62" s="333"/>
    </row>
    <row r="63" spans="1:10" x14ac:dyDescent="0.3">
      <c r="A63" s="32" t="s">
        <v>142</v>
      </c>
      <c r="B63" s="75"/>
      <c r="C63" s="136">
        <f t="shared" ref="C63:H63" si="8">IF(C11&gt;0,C62/C11,0)</f>
        <v>-18.752500000000001</v>
      </c>
      <c r="D63" s="136">
        <f t="shared" si="8"/>
        <v>-15.7125</v>
      </c>
      <c r="E63" s="136">
        <f t="shared" si="8"/>
        <v>2.1875</v>
      </c>
      <c r="F63" s="136">
        <f t="shared" si="8"/>
        <v>5.6842105263157894</v>
      </c>
      <c r="G63" s="136">
        <f t="shared" si="8"/>
        <v>-17.857142857142858</v>
      </c>
      <c r="H63" s="136">
        <f t="shared" si="8"/>
        <v>-8.2429511278195484</v>
      </c>
      <c r="I63" s="73"/>
    </row>
    <row r="64" spans="1:10" ht="6.75" customHeight="1" x14ac:dyDescent="0.3">
      <c r="A64" s="32"/>
      <c r="B64" s="75"/>
      <c r="C64" s="11"/>
      <c r="D64" s="11"/>
      <c r="E64" s="11"/>
      <c r="F64" s="11"/>
      <c r="G64" s="11"/>
      <c r="H64" s="74"/>
      <c r="I64" s="73"/>
    </row>
    <row r="65" spans="1:9" ht="14.5" thickBot="1" x14ac:dyDescent="0.35">
      <c r="A65" s="17" t="s">
        <v>144</v>
      </c>
      <c r="B65" s="41"/>
      <c r="C65" s="41"/>
      <c r="D65" s="41"/>
      <c r="E65" s="41"/>
      <c r="F65" s="41"/>
      <c r="G65" s="41"/>
      <c r="H65" s="137">
        <f>(H60-H54)/SUMPRODUCT(C11:G11,C32:G32,C33:G33)</f>
        <v>2.9149797570850202E-2</v>
      </c>
      <c r="I65" s="77"/>
    </row>
    <row r="66" spans="1:9" x14ac:dyDescent="0.3">
      <c r="C66" s="78"/>
    </row>
    <row r="67" spans="1:9" ht="15.5" x14ac:dyDescent="0.35">
      <c r="A67" s="209" t="s">
        <v>236</v>
      </c>
      <c r="B67" s="93"/>
    </row>
    <row r="68" spans="1:9" ht="15.5" x14ac:dyDescent="0.35">
      <c r="A68" s="209"/>
      <c r="B68" s="93"/>
    </row>
    <row r="69" spans="1:9" x14ac:dyDescent="0.3">
      <c r="A69" s="106" t="s">
        <v>299</v>
      </c>
    </row>
    <row r="70" spans="1:9" x14ac:dyDescent="0.3">
      <c r="A70" s="106" t="s">
        <v>264</v>
      </c>
    </row>
    <row r="71" spans="1:9" x14ac:dyDescent="0.3">
      <c r="A71" s="102" t="s">
        <v>263</v>
      </c>
    </row>
    <row r="72" spans="1:9" x14ac:dyDescent="0.3">
      <c r="A72" s="106" t="s">
        <v>265</v>
      </c>
      <c r="I72" s="100"/>
    </row>
    <row r="73" spans="1:9" x14ac:dyDescent="0.3">
      <c r="A73" s="206" t="s">
        <v>274</v>
      </c>
    </row>
    <row r="74" spans="1:9" x14ac:dyDescent="0.3">
      <c r="A74" s="11"/>
    </row>
    <row r="75" spans="1:9" x14ac:dyDescent="0.3">
      <c r="A75" s="260" t="s">
        <v>272</v>
      </c>
      <c r="B75" s="101"/>
    </row>
    <row r="76" spans="1:9" x14ac:dyDescent="0.3">
      <c r="A76" s="261" t="s">
        <v>273</v>
      </c>
      <c r="B76" s="101"/>
    </row>
    <row r="77" spans="1:9" x14ac:dyDescent="0.3">
      <c r="A77" s="11"/>
    </row>
  </sheetData>
  <sheetProtection sheet="1" objects="1" scenarios="1"/>
  <hyperlinks>
    <hyperlink ref="J16" r:id="rId1" location="page=12" display="Link to estimated variable machinery costs, page 15" xr:uid="{00000000-0004-0000-0100-000000000000}"/>
    <hyperlink ref="J15" r:id="rId2" display="Custom rates" xr:uid="{00000000-0004-0000-0100-000001000000}"/>
    <hyperlink ref="A73" r:id="rId3" xr:uid="{00000000-0004-0000-0100-000002000000}"/>
    <hyperlink ref="A3" r:id="rId4" display="See the Ag Decision Maker page, Economics of Cover Crops for more information." xr:uid="{00000000-0004-0000-0100-000003000000}"/>
  </hyperlinks>
  <pageMargins left="0.7" right="0.7" top="0.75" bottom="0.75" header="0.3" footer="0.3"/>
  <pageSetup scale="46" orientation="landscape" r:id="rId5"/>
  <rowBreaks count="1" manualBreakCount="1">
    <brk id="46" max="8" man="1"/>
  </rowBrea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8"/>
  <sheetViews>
    <sheetView showGridLines="0" zoomScale="80" zoomScaleNormal="80" workbookViewId="0"/>
  </sheetViews>
  <sheetFormatPr defaultColWidth="9" defaultRowHeight="14" x14ac:dyDescent="0.3"/>
  <cols>
    <col min="1" max="1" width="62.5" style="1" customWidth="1"/>
    <col min="2" max="2" width="17.1640625" style="1" bestFit="1" customWidth="1"/>
    <col min="3" max="7" width="15.6640625" style="1" customWidth="1"/>
    <col min="8" max="8" width="16.33203125" style="1" customWidth="1"/>
    <col min="9" max="9" width="16.1640625" style="1" customWidth="1"/>
    <col min="10" max="10" width="16.1640625" style="267" customWidth="1"/>
    <col min="11" max="11" width="14" style="268" customWidth="1"/>
    <col min="12" max="13" width="15.6640625" style="268" customWidth="1"/>
    <col min="14" max="14" width="19.6640625" style="1" customWidth="1"/>
    <col min="15" max="15" width="8.33203125" style="1" bestFit="1" customWidth="1"/>
    <col min="16" max="16384" width="9" style="1"/>
  </cols>
  <sheetData>
    <row r="1" spans="1:13" s="167" customFormat="1" ht="20.5" thickBot="1" x14ac:dyDescent="0.45">
      <c r="A1" s="167" t="s">
        <v>155</v>
      </c>
      <c r="J1" s="264"/>
      <c r="K1" s="264"/>
      <c r="L1" s="264"/>
      <c r="M1" s="264"/>
    </row>
    <row r="2" spans="1:13" s="97" customFormat="1" ht="16" thickTop="1" x14ac:dyDescent="0.35">
      <c r="A2" s="94" t="s">
        <v>126</v>
      </c>
      <c r="B2" s="94"/>
      <c r="J2" s="265"/>
      <c r="K2" s="266"/>
      <c r="L2" s="266"/>
      <c r="M2" s="266"/>
    </row>
    <row r="3" spans="1:13" s="96" customFormat="1" x14ac:dyDescent="0.3">
      <c r="A3" s="312" t="s">
        <v>278</v>
      </c>
      <c r="B3" s="95"/>
    </row>
    <row r="4" spans="1:13" s="96" customFormat="1" ht="12.5" x14ac:dyDescent="0.25">
      <c r="A4" s="95"/>
      <c r="B4" s="95"/>
      <c r="J4" s="265"/>
      <c r="K4" s="266"/>
      <c r="L4" s="266"/>
      <c r="M4" s="266"/>
    </row>
    <row r="5" spans="1:13" x14ac:dyDescent="0.3">
      <c r="A5" s="140" t="s">
        <v>0</v>
      </c>
      <c r="B5" s="2"/>
    </row>
    <row r="6" spans="1:13" x14ac:dyDescent="0.3">
      <c r="A6" s="2"/>
      <c r="B6" s="2"/>
    </row>
    <row r="7" spans="1:13" x14ac:dyDescent="0.3">
      <c r="A7" s="2" t="s">
        <v>1</v>
      </c>
      <c r="B7" s="2"/>
      <c r="C7" s="141" t="s">
        <v>62</v>
      </c>
      <c r="D7" s="142"/>
      <c r="E7" s="252"/>
      <c r="F7" s="253"/>
      <c r="G7" s="3" t="s">
        <v>61</v>
      </c>
      <c r="H7" s="144" t="s">
        <v>82</v>
      </c>
      <c r="J7" s="318" t="s">
        <v>286</v>
      </c>
    </row>
    <row r="8" spans="1:13" ht="15" thickBot="1" x14ac:dyDescent="0.4">
      <c r="A8" s="315" t="s">
        <v>280</v>
      </c>
      <c r="B8" s="2"/>
      <c r="C8" s="4"/>
      <c r="D8" s="4"/>
      <c r="E8" s="11"/>
      <c r="F8" s="11"/>
      <c r="G8" s="11"/>
      <c r="H8" s="41"/>
    </row>
    <row r="9" spans="1:13" x14ac:dyDescent="0.3">
      <c r="A9" s="118" t="s">
        <v>141</v>
      </c>
      <c r="B9" s="80"/>
      <c r="C9" s="196" t="s">
        <v>2</v>
      </c>
      <c r="D9" s="196" t="s">
        <v>3</v>
      </c>
      <c r="E9" s="196" t="s">
        <v>4</v>
      </c>
      <c r="F9" s="196" t="s">
        <v>5</v>
      </c>
      <c r="G9" s="196" t="s">
        <v>41</v>
      </c>
      <c r="H9" s="197" t="s">
        <v>23</v>
      </c>
      <c r="I9" s="7"/>
      <c r="J9" s="320" t="s">
        <v>285</v>
      </c>
    </row>
    <row r="10" spans="1:13" ht="15.5" x14ac:dyDescent="0.35">
      <c r="A10" s="191" t="s">
        <v>125</v>
      </c>
      <c r="B10" s="75"/>
      <c r="C10" s="11"/>
      <c r="D10" s="11"/>
      <c r="E10" s="11"/>
      <c r="F10" s="11"/>
      <c r="G10" s="11"/>
      <c r="H10" s="10"/>
      <c r="I10" s="11"/>
    </row>
    <row r="11" spans="1:13" ht="30.25" customHeight="1" x14ac:dyDescent="0.3">
      <c r="A11" s="109" t="s">
        <v>73</v>
      </c>
      <c r="B11" s="75"/>
      <c r="C11" s="145" t="s">
        <v>63</v>
      </c>
      <c r="D11" s="145" t="s">
        <v>78</v>
      </c>
      <c r="E11" s="145" t="s">
        <v>86</v>
      </c>
      <c r="F11" s="145" t="s">
        <v>79</v>
      </c>
      <c r="G11" s="145" t="s">
        <v>83</v>
      </c>
      <c r="H11" s="10"/>
      <c r="I11" s="11"/>
    </row>
    <row r="12" spans="1:13" x14ac:dyDescent="0.3">
      <c r="A12" s="109" t="s">
        <v>6</v>
      </c>
      <c r="B12" s="178" t="s">
        <v>84</v>
      </c>
      <c r="C12" s="148">
        <v>50</v>
      </c>
      <c r="D12" s="148">
        <v>40</v>
      </c>
      <c r="E12" s="148">
        <v>66</v>
      </c>
      <c r="F12" s="148">
        <v>18</v>
      </c>
      <c r="G12" s="148">
        <v>48</v>
      </c>
      <c r="H12" s="36">
        <f>SUM(C12:G12)</f>
        <v>222</v>
      </c>
      <c r="I12" s="11"/>
    </row>
    <row r="13" spans="1:13" x14ac:dyDescent="0.3">
      <c r="A13" s="175" t="s">
        <v>178</v>
      </c>
      <c r="B13" s="173" t="s">
        <v>177</v>
      </c>
      <c r="C13" s="147">
        <v>10</v>
      </c>
      <c r="D13" s="147">
        <v>5</v>
      </c>
      <c r="E13" s="147">
        <v>9</v>
      </c>
      <c r="F13" s="147">
        <v>5</v>
      </c>
      <c r="G13" s="147">
        <v>12</v>
      </c>
      <c r="H13" s="12">
        <f>SUMPRODUCT(C$12:G$12,C13:G13)</f>
        <v>1960</v>
      </c>
      <c r="J13" s="269" t="s">
        <v>257</v>
      </c>
    </row>
    <row r="14" spans="1:13" x14ac:dyDescent="0.3">
      <c r="A14" s="175" t="s">
        <v>203</v>
      </c>
      <c r="B14" s="173" t="s">
        <v>177</v>
      </c>
      <c r="C14" s="147"/>
      <c r="D14" s="147">
        <v>7</v>
      </c>
      <c r="E14" s="147"/>
      <c r="F14" s="147">
        <v>8</v>
      </c>
      <c r="G14" s="147"/>
      <c r="H14" s="12">
        <f>SUMPRODUCT(C$12:G$12,C14:G14)</f>
        <v>424</v>
      </c>
      <c r="J14" s="270"/>
    </row>
    <row r="15" spans="1:13" ht="14.5" x14ac:dyDescent="0.35">
      <c r="A15" s="175" t="s">
        <v>180</v>
      </c>
      <c r="B15" s="173" t="s">
        <v>177</v>
      </c>
      <c r="C15" s="147">
        <v>15</v>
      </c>
      <c r="D15" s="147">
        <v>17</v>
      </c>
      <c r="E15" s="147"/>
      <c r="F15" s="147"/>
      <c r="G15" s="147"/>
      <c r="H15" s="12">
        <f>SUMPRODUCT(C$12:G$12,C15:G15)</f>
        <v>1430</v>
      </c>
      <c r="J15" s="271" t="s">
        <v>207</v>
      </c>
    </row>
    <row r="16" spans="1:13" ht="14.5" x14ac:dyDescent="0.35">
      <c r="A16" s="175" t="s">
        <v>181</v>
      </c>
      <c r="B16" s="173" t="s">
        <v>177</v>
      </c>
      <c r="C16" s="147"/>
      <c r="D16" s="147"/>
      <c r="E16" s="147">
        <v>5</v>
      </c>
      <c r="F16" s="147">
        <v>5</v>
      </c>
      <c r="G16" s="147"/>
      <c r="H16" s="12">
        <f>SUMPRODUCT(C$12:G$12,C16:G16)</f>
        <v>420</v>
      </c>
      <c r="J16" s="271" t="s">
        <v>208</v>
      </c>
    </row>
    <row r="17" spans="1:10" x14ac:dyDescent="0.3">
      <c r="A17" s="110" t="s">
        <v>183</v>
      </c>
      <c r="B17" s="174" t="s">
        <v>253</v>
      </c>
      <c r="C17" s="148">
        <v>3</v>
      </c>
      <c r="D17" s="148">
        <v>5</v>
      </c>
      <c r="E17" s="148">
        <v>2</v>
      </c>
      <c r="F17" s="148">
        <v>5</v>
      </c>
      <c r="G17" s="148"/>
      <c r="H17" s="10"/>
      <c r="J17" s="270"/>
    </row>
    <row r="18" spans="1:10" ht="17" x14ac:dyDescent="0.6">
      <c r="A18" s="175" t="s">
        <v>185</v>
      </c>
      <c r="B18" s="147">
        <v>12</v>
      </c>
      <c r="C18" s="190" t="s">
        <v>184</v>
      </c>
      <c r="D18" s="15"/>
      <c r="E18" s="15"/>
      <c r="F18" s="15"/>
      <c r="G18" s="15"/>
      <c r="H18" s="16">
        <f>SUM(C17:G17)*B18</f>
        <v>180</v>
      </c>
    </row>
    <row r="19" spans="1:10" ht="14.5" thickBot="1" x14ac:dyDescent="0.35">
      <c r="A19" s="230" t="s">
        <v>250</v>
      </c>
      <c r="B19" s="41"/>
      <c r="C19" s="67">
        <f>C12*SUM(C13:C16)+C17*$B18</f>
        <v>1286</v>
      </c>
      <c r="D19" s="67">
        <f>D12*SUM(D13:D16)+D17*$B18</f>
        <v>1220</v>
      </c>
      <c r="E19" s="67">
        <f>E12*SUM(E13:E16)+E17*$B18</f>
        <v>948</v>
      </c>
      <c r="F19" s="67">
        <f>F12*SUM(F13:F16)+F17*$B18</f>
        <v>384</v>
      </c>
      <c r="G19" s="67">
        <f>G12*SUM(G13:G16)+G17*$B18</f>
        <v>576</v>
      </c>
      <c r="H19" s="18">
        <f>SUM(H13:H18)</f>
        <v>4414</v>
      </c>
    </row>
    <row r="20" spans="1:10" ht="14.5" thickBot="1" x14ac:dyDescent="0.35">
      <c r="A20" s="9"/>
      <c r="B20" s="11"/>
      <c r="C20" s="19"/>
      <c r="D20" s="15"/>
      <c r="E20" s="15"/>
      <c r="F20" s="15"/>
      <c r="G20" s="19"/>
      <c r="H20" s="15"/>
      <c r="J20" s="272"/>
    </row>
    <row r="21" spans="1:10" ht="15.5" x14ac:dyDescent="0.35">
      <c r="A21" s="180" t="s">
        <v>74</v>
      </c>
      <c r="B21" s="119"/>
      <c r="C21" s="79" t="str">
        <f>C9</f>
        <v>Field 1</v>
      </c>
      <c r="D21" s="79" t="str">
        <f t="shared" ref="D21:G21" si="0">D9</f>
        <v>Field 2</v>
      </c>
      <c r="E21" s="79" t="str">
        <f t="shared" si="0"/>
        <v>Field 3</v>
      </c>
      <c r="F21" s="79" t="str">
        <f t="shared" si="0"/>
        <v>Field 4</v>
      </c>
      <c r="G21" s="79" t="str">
        <f t="shared" si="0"/>
        <v>Field 5</v>
      </c>
      <c r="H21" s="20" t="str">
        <f>H9</f>
        <v>Whole Farm</v>
      </c>
      <c r="J21" s="272"/>
    </row>
    <row r="22" spans="1:10" x14ac:dyDescent="0.3">
      <c r="A22" s="176" t="s">
        <v>187</v>
      </c>
      <c r="B22" s="173" t="s">
        <v>177</v>
      </c>
      <c r="C22" s="147"/>
      <c r="D22" s="147"/>
      <c r="E22" s="147"/>
      <c r="F22" s="147"/>
      <c r="G22" s="147"/>
      <c r="H22" s="12">
        <f>SUMPRODUCT(C$12:G$12,C22:G22)</f>
        <v>0</v>
      </c>
      <c r="I22" s="65"/>
      <c r="J22" s="273" t="s">
        <v>171</v>
      </c>
    </row>
    <row r="23" spans="1:10" ht="14.5" x14ac:dyDescent="0.35">
      <c r="A23" s="176" t="s">
        <v>188</v>
      </c>
      <c r="B23" s="173" t="s">
        <v>177</v>
      </c>
      <c r="C23" s="147"/>
      <c r="D23" s="147"/>
      <c r="E23" s="147"/>
      <c r="F23" s="147"/>
      <c r="G23" s="147"/>
      <c r="H23" s="12">
        <f>SUMPRODUCT(C$12:G$12,C23:G23)</f>
        <v>0</v>
      </c>
      <c r="J23" s="273" t="s">
        <v>172</v>
      </c>
    </row>
    <row r="24" spans="1:10" ht="14.5" x14ac:dyDescent="0.35">
      <c r="A24" s="176" t="s">
        <v>189</v>
      </c>
      <c r="B24" s="173" t="s">
        <v>177</v>
      </c>
      <c r="C24" s="147"/>
      <c r="D24" s="147"/>
      <c r="E24" s="147"/>
      <c r="F24" s="147"/>
      <c r="G24" s="147"/>
      <c r="H24" s="12">
        <f>SUMPRODUCT(C$12:G$12,C24:G24)</f>
        <v>0</v>
      </c>
      <c r="J24" s="273" t="s">
        <v>172</v>
      </c>
    </row>
    <row r="25" spans="1:10" ht="14.5" x14ac:dyDescent="0.35">
      <c r="A25" s="175" t="s">
        <v>190</v>
      </c>
      <c r="B25" s="173" t="s">
        <v>177</v>
      </c>
      <c r="C25" s="147"/>
      <c r="D25" s="147"/>
      <c r="E25" s="147"/>
      <c r="F25" s="147"/>
      <c r="G25" s="147"/>
      <c r="H25" s="12">
        <f>SUMPRODUCT(C$12:G$12,C25:G25)</f>
        <v>0</v>
      </c>
      <c r="J25" s="273" t="s">
        <v>173</v>
      </c>
    </row>
    <row r="26" spans="1:10" ht="14.5" x14ac:dyDescent="0.35">
      <c r="A26" s="175" t="s">
        <v>225</v>
      </c>
      <c r="B26" s="173" t="s">
        <v>177</v>
      </c>
      <c r="C26" s="147"/>
      <c r="D26" s="148"/>
      <c r="E26" s="147"/>
      <c r="F26" s="147"/>
      <c r="G26" s="147"/>
      <c r="H26" s="12">
        <f>SUMPRODUCT(C$12:G$12,C26:G26)</f>
        <v>0</v>
      </c>
      <c r="J26" s="273" t="s">
        <v>173</v>
      </c>
    </row>
    <row r="27" spans="1:10" ht="17" x14ac:dyDescent="0.6">
      <c r="A27" s="110" t="s">
        <v>191</v>
      </c>
      <c r="B27" s="174" t="s">
        <v>253</v>
      </c>
      <c r="C27" s="148"/>
      <c r="D27" s="148"/>
      <c r="E27" s="148"/>
      <c r="F27" s="148"/>
      <c r="G27" s="148"/>
      <c r="H27" s="16">
        <f>SUM(C27:G27)*B18</f>
        <v>0</v>
      </c>
      <c r="J27" s="273" t="s">
        <v>174</v>
      </c>
    </row>
    <row r="28" spans="1:10" ht="14.5" thickBot="1" x14ac:dyDescent="0.35">
      <c r="A28" s="23" t="s">
        <v>251</v>
      </c>
      <c r="B28" s="121"/>
      <c r="C28" s="67">
        <f>C12*SUM(C22:C26)+C27*$B$18</f>
        <v>0</v>
      </c>
      <c r="D28" s="67">
        <f>D12*SUM(D22:D26)+D27*$B$18</f>
        <v>0</v>
      </c>
      <c r="E28" s="67">
        <f>E12*SUM(E22:E26)+E27*$B$18</f>
        <v>0</v>
      </c>
      <c r="F28" s="67">
        <f t="shared" ref="F28" si="1">F12*SUM(F22:F26)+F27*$B$18</f>
        <v>0</v>
      </c>
      <c r="G28" s="67">
        <f>G12*SUM(G22:G26)+G27*$B$18</f>
        <v>0</v>
      </c>
      <c r="H28" s="24">
        <f>SUM(H22:H27)</f>
        <v>0</v>
      </c>
      <c r="J28" s="270"/>
    </row>
    <row r="29" spans="1:10" ht="14.5" thickBot="1" x14ac:dyDescent="0.35">
      <c r="A29" s="14"/>
      <c r="B29" s="122"/>
      <c r="C29" s="15"/>
      <c r="D29" s="15"/>
      <c r="E29" s="15"/>
      <c r="F29" s="15"/>
      <c r="G29" s="19"/>
      <c r="H29" s="13"/>
    </row>
    <row r="30" spans="1:10" ht="15.5" x14ac:dyDescent="0.35">
      <c r="A30" s="180" t="s">
        <v>49</v>
      </c>
      <c r="B30" s="119"/>
      <c r="C30" s="25"/>
      <c r="D30" s="25"/>
      <c r="E30" s="25"/>
      <c r="F30" s="25"/>
      <c r="G30" s="25"/>
      <c r="H30" s="26"/>
      <c r="J30" s="269"/>
    </row>
    <row r="31" spans="1:10" ht="15" customHeight="1" x14ac:dyDescent="0.3">
      <c r="A31" s="27" t="s">
        <v>50</v>
      </c>
      <c r="B31" s="134"/>
      <c r="C31" s="115" t="str">
        <f>C9</f>
        <v>Field 1</v>
      </c>
      <c r="D31" s="115" t="str">
        <f t="shared" ref="D31:G31" si="2">D9</f>
        <v>Field 2</v>
      </c>
      <c r="E31" s="115" t="str">
        <f t="shared" si="2"/>
        <v>Field 3</v>
      </c>
      <c r="F31" s="115" t="str">
        <f t="shared" si="2"/>
        <v>Field 4</v>
      </c>
      <c r="G31" s="115" t="str">
        <f t="shared" si="2"/>
        <v>Field 5</v>
      </c>
      <c r="H31" s="35" t="s">
        <v>23</v>
      </c>
    </row>
    <row r="32" spans="1:10" x14ac:dyDescent="0.3">
      <c r="A32" s="109" t="s">
        <v>9</v>
      </c>
      <c r="B32" s="11"/>
      <c r="C32" s="144" t="s">
        <v>40</v>
      </c>
      <c r="D32" s="144"/>
      <c r="E32" s="144"/>
      <c r="F32" s="144" t="s">
        <v>68</v>
      </c>
      <c r="G32" s="144" t="s">
        <v>68</v>
      </c>
      <c r="H32" s="12"/>
      <c r="J32" s="274" t="s">
        <v>97</v>
      </c>
    </row>
    <row r="33" spans="1:10" x14ac:dyDescent="0.3">
      <c r="A33" s="175" t="s">
        <v>226</v>
      </c>
      <c r="B33" s="178" t="s">
        <v>255</v>
      </c>
      <c r="C33" s="148">
        <v>200</v>
      </c>
      <c r="D33" s="148"/>
      <c r="E33" s="148"/>
      <c r="F33" s="148">
        <v>50</v>
      </c>
      <c r="G33" s="148">
        <v>50</v>
      </c>
      <c r="H33" s="12"/>
    </row>
    <row r="34" spans="1:10" x14ac:dyDescent="0.3">
      <c r="A34" s="175" t="s">
        <v>195</v>
      </c>
      <c r="B34" s="173" t="s">
        <v>194</v>
      </c>
      <c r="C34" s="147">
        <v>3.2</v>
      </c>
      <c r="D34" s="147"/>
      <c r="E34" s="147"/>
      <c r="F34" s="147">
        <v>9</v>
      </c>
      <c r="G34" s="147">
        <v>9</v>
      </c>
      <c r="H34" s="12"/>
    </row>
    <row r="35" spans="1:10" x14ac:dyDescent="0.3">
      <c r="A35" s="139" t="s">
        <v>192</v>
      </c>
      <c r="B35" s="177" t="s">
        <v>193</v>
      </c>
      <c r="C35" s="149">
        <v>0.01</v>
      </c>
      <c r="D35" s="153"/>
      <c r="E35" s="153"/>
      <c r="F35" s="153">
        <v>0.02</v>
      </c>
      <c r="G35" s="153">
        <v>0.02</v>
      </c>
      <c r="H35" s="12"/>
    </row>
    <row r="36" spans="1:10" x14ac:dyDescent="0.3">
      <c r="A36" s="175" t="s">
        <v>205</v>
      </c>
      <c r="B36" s="173" t="s">
        <v>177</v>
      </c>
      <c r="C36" s="30">
        <f>C33*C34*C35</f>
        <v>6.4</v>
      </c>
      <c r="D36" s="30">
        <f t="shared" ref="D36:G36" si="3">D33*D34*D35</f>
        <v>0</v>
      </c>
      <c r="E36" s="30">
        <f t="shared" si="3"/>
        <v>0</v>
      </c>
      <c r="F36" s="30">
        <f t="shared" si="3"/>
        <v>9</v>
      </c>
      <c r="G36" s="30">
        <f t="shared" si="3"/>
        <v>9</v>
      </c>
      <c r="H36" s="12">
        <f>SUMPRODUCT(C36:G36,C$12:G$12)</f>
        <v>914</v>
      </c>
      <c r="J36" s="269" t="s">
        <v>131</v>
      </c>
    </row>
    <row r="37" spans="1:10" x14ac:dyDescent="0.3">
      <c r="A37" s="9"/>
      <c r="B37" s="11"/>
      <c r="C37" s="30"/>
      <c r="D37" s="30"/>
      <c r="E37" s="30"/>
      <c r="F37" s="30"/>
      <c r="G37" s="30"/>
      <c r="H37" s="12"/>
    </row>
    <row r="38" spans="1:10" ht="15" customHeight="1" x14ac:dyDescent="0.3">
      <c r="A38" s="32" t="s">
        <v>98</v>
      </c>
      <c r="B38" s="75"/>
      <c r="C38" s="195"/>
      <c r="D38" s="195"/>
      <c r="E38" s="195"/>
      <c r="F38" s="195"/>
      <c r="G38" s="195"/>
      <c r="H38" s="35"/>
    </row>
    <row r="39" spans="1:10" x14ac:dyDescent="0.3">
      <c r="A39" s="175" t="s">
        <v>198</v>
      </c>
      <c r="B39" s="173" t="s">
        <v>177</v>
      </c>
      <c r="C39" s="150">
        <v>25</v>
      </c>
      <c r="D39" s="151">
        <v>20</v>
      </c>
      <c r="E39" s="151"/>
      <c r="F39" s="151">
        <v>14</v>
      </c>
      <c r="G39" s="256">
        <v>15</v>
      </c>
      <c r="H39" s="12">
        <f>SUMPRODUCT(C41:G41,C$39:G$39)</f>
        <v>3822</v>
      </c>
    </row>
    <row r="40" spans="1:10" x14ac:dyDescent="0.3">
      <c r="A40" s="176" t="s">
        <v>206</v>
      </c>
      <c r="B40" s="173" t="s">
        <v>177</v>
      </c>
      <c r="C40" s="151"/>
      <c r="D40" s="151"/>
      <c r="E40" s="151">
        <v>5</v>
      </c>
      <c r="F40" s="151"/>
      <c r="G40" s="151"/>
      <c r="H40" s="12">
        <f>SUMPRODUCT(C41:G41,C$40:G$40)</f>
        <v>330</v>
      </c>
      <c r="J40" s="269" t="s">
        <v>301</v>
      </c>
    </row>
    <row r="41" spans="1:10" x14ac:dyDescent="0.3">
      <c r="A41" s="176" t="s">
        <v>186</v>
      </c>
      <c r="B41" s="179" t="s">
        <v>84</v>
      </c>
      <c r="C41" s="148">
        <v>50</v>
      </c>
      <c r="D41" s="148">
        <v>80</v>
      </c>
      <c r="E41" s="148">
        <v>66</v>
      </c>
      <c r="F41" s="148">
        <v>18</v>
      </c>
      <c r="G41" s="148">
        <v>48</v>
      </c>
      <c r="H41" s="12"/>
    </row>
    <row r="42" spans="1:10" x14ac:dyDescent="0.3">
      <c r="A42" s="9"/>
      <c r="B42" s="11"/>
      <c r="C42" s="30"/>
      <c r="D42" s="30"/>
      <c r="E42" s="30"/>
      <c r="F42" s="30"/>
      <c r="G42" s="30"/>
      <c r="H42" s="31"/>
    </row>
    <row r="43" spans="1:10" x14ac:dyDescent="0.3">
      <c r="A43" s="32" t="s">
        <v>117</v>
      </c>
      <c r="B43" s="75"/>
      <c r="C43" s="194"/>
      <c r="D43" s="194"/>
      <c r="E43" s="194"/>
      <c r="F43" s="194"/>
      <c r="G43" s="194"/>
      <c r="H43" s="35"/>
    </row>
    <row r="44" spans="1:10" x14ac:dyDescent="0.3">
      <c r="A44" s="176" t="s">
        <v>267</v>
      </c>
      <c r="B44" s="173" t="s">
        <v>177</v>
      </c>
      <c r="C44" s="150"/>
      <c r="D44" s="150"/>
      <c r="E44" s="150"/>
      <c r="F44" s="150"/>
      <c r="G44" s="150"/>
      <c r="H44" s="12">
        <f>SUMPRODUCT(C44:G44,C$12:G$12)</f>
        <v>0</v>
      </c>
    </row>
    <row r="45" spans="1:10" x14ac:dyDescent="0.3">
      <c r="A45" s="175" t="s">
        <v>269</v>
      </c>
      <c r="B45" s="173" t="s">
        <v>177</v>
      </c>
      <c r="C45" s="150"/>
      <c r="D45" s="150"/>
      <c r="E45" s="150"/>
      <c r="F45" s="150"/>
      <c r="G45" s="150"/>
      <c r="H45" s="12">
        <f>SUMPRODUCT(C45:G45,C$12:G$12)</f>
        <v>0</v>
      </c>
    </row>
    <row r="46" spans="1:10" ht="14.5" thickBot="1" x14ac:dyDescent="0.35">
      <c r="A46" s="182" t="s">
        <v>270</v>
      </c>
      <c r="B46" s="181" t="s">
        <v>177</v>
      </c>
      <c r="C46" s="154">
        <v>20</v>
      </c>
      <c r="D46" s="154"/>
      <c r="E46" s="154"/>
      <c r="F46" s="154"/>
      <c r="G46" s="154"/>
      <c r="H46" s="24">
        <f>SUMPRODUCT(C46:G46,C$12:G$12)</f>
        <v>1000</v>
      </c>
    </row>
    <row r="47" spans="1:10" ht="14.5" thickBot="1" x14ac:dyDescent="0.35">
      <c r="A47" s="175"/>
      <c r="B47" s="173"/>
      <c r="C47" s="217"/>
      <c r="D47" s="217"/>
      <c r="E47" s="217"/>
      <c r="F47" s="217"/>
      <c r="G47" s="217"/>
      <c r="H47" s="13"/>
    </row>
    <row r="48" spans="1:10" ht="15.5" x14ac:dyDescent="0.35">
      <c r="A48" s="220" t="s">
        <v>248</v>
      </c>
      <c r="B48" s="221"/>
      <c r="C48" s="222"/>
      <c r="D48" s="222"/>
      <c r="E48" s="222"/>
      <c r="F48" s="222"/>
      <c r="G48" s="223"/>
      <c r="H48" s="233"/>
      <c r="I48" s="224"/>
      <c r="J48" s="268"/>
    </row>
    <row r="49" spans="1:13" x14ac:dyDescent="0.3">
      <c r="A49" s="225" t="s">
        <v>77</v>
      </c>
      <c r="B49" s="7" t="s">
        <v>10</v>
      </c>
      <c r="C49" s="226"/>
      <c r="D49" s="11"/>
      <c r="E49" s="11"/>
      <c r="F49" s="11"/>
      <c r="G49" s="11"/>
      <c r="H49" s="7" t="s">
        <v>23</v>
      </c>
      <c r="I49" s="10"/>
      <c r="J49" s="275" t="s">
        <v>34</v>
      </c>
      <c r="K49" s="276" t="s">
        <v>36</v>
      </c>
      <c r="L49" s="277" t="s">
        <v>35</v>
      </c>
    </row>
    <row r="50" spans="1:13" x14ac:dyDescent="0.3">
      <c r="A50" s="139" t="s">
        <v>287</v>
      </c>
      <c r="B50" s="148">
        <v>20</v>
      </c>
      <c r="C50" s="227" t="s">
        <v>256</v>
      </c>
      <c r="D50" s="11"/>
      <c r="E50" s="11"/>
      <c r="F50" s="11"/>
      <c r="G50" s="11"/>
      <c r="H50" s="13">
        <f>B50*B52</f>
        <v>240</v>
      </c>
      <c r="I50" s="10"/>
      <c r="J50" s="278" t="s">
        <v>30</v>
      </c>
      <c r="K50" s="279">
        <v>1.93</v>
      </c>
      <c r="L50" s="280">
        <v>20</v>
      </c>
    </row>
    <row r="51" spans="1:13" x14ac:dyDescent="0.3">
      <c r="A51" s="175" t="s">
        <v>292</v>
      </c>
      <c r="B51" s="148">
        <v>12</v>
      </c>
      <c r="C51" s="227" t="s">
        <v>256</v>
      </c>
      <c r="D51" s="11"/>
      <c r="E51" s="11"/>
      <c r="F51" s="11"/>
      <c r="G51" s="11"/>
      <c r="H51" s="249">
        <f>B51*B52</f>
        <v>144</v>
      </c>
      <c r="I51" s="10"/>
      <c r="J51" s="278" t="s">
        <v>31</v>
      </c>
      <c r="K51" s="279">
        <v>1.48</v>
      </c>
      <c r="L51" s="280">
        <v>20</v>
      </c>
    </row>
    <row r="52" spans="1:13" x14ac:dyDescent="0.3">
      <c r="A52" s="175" t="s">
        <v>288</v>
      </c>
      <c r="B52" s="163">
        <v>12</v>
      </c>
      <c r="C52" s="228" t="s">
        <v>43</v>
      </c>
      <c r="D52" s="11"/>
      <c r="E52" s="11"/>
      <c r="F52" s="11"/>
      <c r="G52" s="11"/>
      <c r="H52" s="13"/>
      <c r="I52" s="10"/>
      <c r="J52" s="278" t="s">
        <v>32</v>
      </c>
      <c r="K52" s="279">
        <v>1.24</v>
      </c>
      <c r="L52" s="280">
        <v>25</v>
      </c>
    </row>
    <row r="53" spans="1:13" x14ac:dyDescent="0.3">
      <c r="A53" s="34"/>
      <c r="B53" s="44"/>
      <c r="C53" s="2"/>
      <c r="D53" s="11"/>
      <c r="E53" s="11"/>
      <c r="F53" s="11"/>
      <c r="G53" s="11"/>
      <c r="H53" s="11"/>
      <c r="I53" s="10"/>
      <c r="J53" s="278" t="s">
        <v>33</v>
      </c>
      <c r="K53" s="279">
        <v>0.89</v>
      </c>
      <c r="L53" s="280">
        <v>25</v>
      </c>
    </row>
    <row r="54" spans="1:13" x14ac:dyDescent="0.3">
      <c r="A54" s="32" t="s">
        <v>261</v>
      </c>
      <c r="B54" s="75"/>
      <c r="C54" s="7"/>
      <c r="D54" s="8"/>
      <c r="E54" s="8"/>
      <c r="F54" s="8"/>
      <c r="G54" s="8"/>
      <c r="H54" s="11"/>
      <c r="I54" s="10"/>
      <c r="J54" s="281" t="s">
        <v>139</v>
      </c>
      <c r="K54" s="282">
        <v>0.2</v>
      </c>
      <c r="L54" s="283">
        <v>4</v>
      </c>
    </row>
    <row r="55" spans="1:13" x14ac:dyDescent="0.3">
      <c r="A55" s="32"/>
      <c r="B55" s="75"/>
      <c r="C55" s="7" t="s">
        <v>2</v>
      </c>
      <c r="D55" s="8" t="s">
        <v>3</v>
      </c>
      <c r="E55" s="8" t="s">
        <v>4</v>
      </c>
      <c r="F55" s="8" t="s">
        <v>5</v>
      </c>
      <c r="G55" s="8" t="s">
        <v>41</v>
      </c>
      <c r="H55" s="11" t="s">
        <v>23</v>
      </c>
      <c r="I55" s="10"/>
    </row>
    <row r="56" spans="1:13" x14ac:dyDescent="0.3">
      <c r="A56" s="175" t="s">
        <v>212</v>
      </c>
      <c r="B56" s="173" t="s">
        <v>209</v>
      </c>
      <c r="C56" s="147">
        <v>0.89</v>
      </c>
      <c r="D56" s="147"/>
      <c r="E56" s="147">
        <v>0.89</v>
      </c>
      <c r="F56" s="147"/>
      <c r="G56" s="147"/>
      <c r="H56" s="13"/>
      <c r="I56" s="10"/>
      <c r="J56" s="269" t="s">
        <v>132</v>
      </c>
    </row>
    <row r="57" spans="1:13" x14ac:dyDescent="0.3">
      <c r="A57" s="175" t="s">
        <v>210</v>
      </c>
      <c r="B57" s="173" t="s">
        <v>156</v>
      </c>
      <c r="C57" s="148">
        <v>25</v>
      </c>
      <c r="D57" s="148"/>
      <c r="E57" s="148">
        <v>25</v>
      </c>
      <c r="F57" s="148"/>
      <c r="G57" s="148"/>
      <c r="H57" s="13"/>
      <c r="I57" s="10"/>
    </row>
    <row r="58" spans="1:13" x14ac:dyDescent="0.3">
      <c r="A58" s="109" t="s">
        <v>37</v>
      </c>
      <c r="B58" s="173" t="s">
        <v>158</v>
      </c>
      <c r="C58" s="19">
        <f>IF(C56&gt;0,4*(C12*43560)^0.5,0)</f>
        <v>5903.2194605994446</v>
      </c>
      <c r="D58" s="19">
        <f t="shared" ref="D58:G58" si="4">IF(D56&gt;0,4*(D12*43560)^0.5,0)</f>
        <v>0</v>
      </c>
      <c r="E58" s="19">
        <f t="shared" si="4"/>
        <v>6782.2828015351879</v>
      </c>
      <c r="F58" s="19">
        <f t="shared" si="4"/>
        <v>0</v>
      </c>
      <c r="G58" s="19">
        <f t="shared" si="4"/>
        <v>0</v>
      </c>
      <c r="H58" s="50">
        <f>SUM(C58:G58)</f>
        <v>12685.502262134632</v>
      </c>
      <c r="I58" s="239" t="s">
        <v>158</v>
      </c>
    </row>
    <row r="59" spans="1:13" x14ac:dyDescent="0.3">
      <c r="A59" s="175" t="s">
        <v>211</v>
      </c>
      <c r="B59" s="173" t="s">
        <v>209</v>
      </c>
      <c r="C59" s="147">
        <v>0.2</v>
      </c>
      <c r="D59" s="147"/>
      <c r="E59" s="147">
        <v>0.2</v>
      </c>
      <c r="F59" s="147"/>
      <c r="G59" s="147"/>
      <c r="H59" s="11"/>
      <c r="I59" s="10"/>
      <c r="J59" s="269" t="s">
        <v>132</v>
      </c>
    </row>
    <row r="60" spans="1:13" x14ac:dyDescent="0.3">
      <c r="A60" s="175" t="s">
        <v>213</v>
      </c>
      <c r="B60" s="173" t="s">
        <v>156</v>
      </c>
      <c r="C60" s="148">
        <v>4</v>
      </c>
      <c r="D60" s="148"/>
      <c r="E60" s="148">
        <v>4</v>
      </c>
      <c r="F60" s="148"/>
      <c r="G60" s="148"/>
      <c r="H60" s="11"/>
      <c r="I60" s="218"/>
    </row>
    <row r="61" spans="1:13" x14ac:dyDescent="0.3">
      <c r="A61" s="109" t="s">
        <v>39</v>
      </c>
      <c r="B61" s="173" t="s">
        <v>157</v>
      </c>
      <c r="C61" s="148">
        <v>2</v>
      </c>
      <c r="D61" s="148"/>
      <c r="E61" s="148">
        <v>2</v>
      </c>
      <c r="F61" s="148"/>
      <c r="G61" s="148"/>
      <c r="H61" s="13"/>
      <c r="I61" s="12"/>
      <c r="J61" s="270"/>
      <c r="K61" s="279"/>
      <c r="L61" s="279"/>
      <c r="M61" s="284"/>
    </row>
    <row r="62" spans="1:13" x14ac:dyDescent="0.3">
      <c r="A62" s="109" t="s">
        <v>38</v>
      </c>
      <c r="B62" s="173" t="s">
        <v>158</v>
      </c>
      <c r="C62" s="19">
        <f>IF(C59&gt;0,C61*(C12*43560)^0.5,0)</f>
        <v>2951.6097302997223</v>
      </c>
      <c r="D62" s="19">
        <f>IF(D59&gt;0,D61*(D12*43560)^0.5,0)</f>
        <v>0</v>
      </c>
      <c r="E62" s="19">
        <f>IF(E59&gt;0,E61*(E12*43560)^0.5,0)</f>
        <v>3391.141400767594</v>
      </c>
      <c r="F62" s="19">
        <f>IF(F59&gt;0,F61*(F12*43560)^0.5,0)</f>
        <v>0</v>
      </c>
      <c r="G62" s="19">
        <f>IF(G59&gt;0,G61*(G12*43560)^0.5,0)</f>
        <v>0</v>
      </c>
      <c r="H62" s="50">
        <f>SUM(C62:G62)</f>
        <v>6342.7511310673162</v>
      </c>
      <c r="I62" s="240" t="s">
        <v>158</v>
      </c>
      <c r="J62" s="270"/>
      <c r="K62" s="279"/>
      <c r="L62" s="279"/>
      <c r="M62" s="284"/>
    </row>
    <row r="63" spans="1:13" x14ac:dyDescent="0.3">
      <c r="A63" s="109" t="s">
        <v>75</v>
      </c>
      <c r="B63" s="11"/>
      <c r="C63" s="38">
        <f>IF(C57&gt;0,PMT(0.1,C57,-C56*C58),0)+IF(C60&gt;0,PMT(0.1,C60,-C59*C62),0)</f>
        <v>765.03755261195988</v>
      </c>
      <c r="D63" s="38">
        <f>IF(D57&gt;0,PMT(0.1,D57,-D56*D58),0)+IF(D60&gt;0,PMT(0.1,D60,-D59*D62),0)</f>
        <v>0</v>
      </c>
      <c r="E63" s="38">
        <f>IF(E57&gt;0,PMT(0.1,E57,-E56*E58),0)+IF(E60&gt;0,PMT(0.1,E60,-E59*E62),0)</f>
        <v>878.9612295867073</v>
      </c>
      <c r="F63" s="38">
        <f>IF(F57&gt;0,PMT(0.1,F57,-F56*F58),0)+IF(F60&gt;0,PMT(0.1,F60,-F59*F62),0)</f>
        <v>0</v>
      </c>
      <c r="G63" s="38">
        <f>IF(G57&gt;0,PMT(0.1,G57,-G56*G58),0)+IF(G60&gt;0,PMT(0.1,G60,-G59*G62),0)</f>
        <v>0</v>
      </c>
      <c r="H63" s="64">
        <f>SUM(C63:G63)</f>
        <v>1643.9987821986672</v>
      </c>
      <c r="I63" s="219"/>
      <c r="J63" s="269" t="s">
        <v>137</v>
      </c>
    </row>
    <row r="64" spans="1:13" x14ac:dyDescent="0.3">
      <c r="A64" s="175" t="s">
        <v>321</v>
      </c>
      <c r="B64" s="179" t="s">
        <v>260</v>
      </c>
      <c r="C64" s="156">
        <v>500</v>
      </c>
      <c r="D64" s="156"/>
      <c r="E64" s="156"/>
      <c r="F64" s="156"/>
      <c r="G64" s="156"/>
      <c r="H64" s="237"/>
      <c r="I64" s="219"/>
      <c r="J64" s="285"/>
    </row>
    <row r="65" spans="1:13" ht="17" x14ac:dyDescent="0.6">
      <c r="A65" s="109" t="s">
        <v>85</v>
      </c>
      <c r="B65" s="11"/>
      <c r="C65" s="42">
        <f>PMT(0.1,10,-C64)</f>
        <v>81.372697441255809</v>
      </c>
      <c r="D65" s="42">
        <f>PMT(0.1,10,-D64)</f>
        <v>0</v>
      </c>
      <c r="E65" s="42">
        <f t="shared" ref="E65:G65" si="5">PMT(0.1,10,-E64)</f>
        <v>0</v>
      </c>
      <c r="F65" s="42">
        <f t="shared" si="5"/>
        <v>0</v>
      </c>
      <c r="G65" s="42">
        <f t="shared" si="5"/>
        <v>0</v>
      </c>
      <c r="H65" s="238">
        <f>SUM(C65:G65)</f>
        <v>81.372697441255809</v>
      </c>
      <c r="I65" s="219"/>
      <c r="J65" s="269" t="s">
        <v>137</v>
      </c>
    </row>
    <row r="66" spans="1:13" x14ac:dyDescent="0.3">
      <c r="A66" s="231" t="s">
        <v>268</v>
      </c>
      <c r="B66" s="11"/>
      <c r="C66" s="13">
        <f>C63+C65</f>
        <v>846.41025005321569</v>
      </c>
      <c r="D66" s="13">
        <f t="shared" ref="D66:G66" si="6">D63+D65</f>
        <v>0</v>
      </c>
      <c r="E66" s="13">
        <f t="shared" si="6"/>
        <v>878.9612295867073</v>
      </c>
      <c r="F66" s="13">
        <f t="shared" si="6"/>
        <v>0</v>
      </c>
      <c r="G66" s="13">
        <f t="shared" si="6"/>
        <v>0</v>
      </c>
      <c r="H66" s="64">
        <f>SUM(H63:H65)</f>
        <v>1725.3714796399231</v>
      </c>
      <c r="I66" s="219"/>
    </row>
    <row r="67" spans="1:13" x14ac:dyDescent="0.3">
      <c r="A67" s="34"/>
      <c r="B67" s="44"/>
      <c r="C67" s="42"/>
      <c r="D67" s="11"/>
      <c r="E67" s="11"/>
      <c r="F67" s="11"/>
      <c r="G67" s="11"/>
      <c r="H67" s="39"/>
      <c r="I67" s="219"/>
    </row>
    <row r="68" spans="1:13" x14ac:dyDescent="0.3">
      <c r="A68" s="32" t="s">
        <v>51</v>
      </c>
      <c r="B68" s="75"/>
      <c r="C68" s="11"/>
      <c r="D68" s="11"/>
      <c r="E68" s="11"/>
      <c r="F68" s="11"/>
      <c r="G68" s="11"/>
      <c r="H68" s="11"/>
      <c r="I68" s="10"/>
    </row>
    <row r="69" spans="1:13" x14ac:dyDescent="0.3">
      <c r="A69" s="175" t="s">
        <v>215</v>
      </c>
      <c r="B69" s="173" t="s">
        <v>214</v>
      </c>
      <c r="C69" s="150">
        <v>80</v>
      </c>
      <c r="D69" s="126" t="s">
        <v>45</v>
      </c>
      <c r="E69" s="11"/>
      <c r="F69" s="37"/>
      <c r="G69" s="37"/>
      <c r="H69" s="126"/>
      <c r="I69" s="10"/>
      <c r="J69" s="286"/>
    </row>
    <row r="70" spans="1:13" x14ac:dyDescent="0.3">
      <c r="A70" s="193" t="s">
        <v>29</v>
      </c>
      <c r="B70" s="198" t="s">
        <v>216</v>
      </c>
      <c r="C70" s="157">
        <v>0.9</v>
      </c>
      <c r="D70" s="11"/>
      <c r="E70" s="11"/>
      <c r="F70" s="37"/>
      <c r="G70" s="37"/>
      <c r="H70" s="11"/>
      <c r="I70" s="10"/>
    </row>
    <row r="71" spans="1:13" x14ac:dyDescent="0.3">
      <c r="A71" s="43"/>
      <c r="B71" s="124"/>
      <c r="C71" s="116"/>
      <c r="D71" s="116"/>
      <c r="E71" s="116"/>
      <c r="F71" s="116"/>
      <c r="G71" s="116"/>
      <c r="H71" s="7"/>
      <c r="I71" s="10"/>
    </row>
    <row r="72" spans="1:13" x14ac:dyDescent="0.3">
      <c r="A72" s="109" t="s">
        <v>73</v>
      </c>
      <c r="B72" s="11"/>
      <c r="C72" s="117" t="str">
        <f>C11</f>
        <v>Cereal rye</v>
      </c>
      <c r="D72" s="117" t="str">
        <f>D11</f>
        <v>Cereal rye, oats</v>
      </c>
      <c r="E72" s="117" t="str">
        <f>E11</f>
        <v>Winter wheat</v>
      </c>
      <c r="F72" s="117" t="str">
        <f>F11</f>
        <v>Cereal rye, turnips</v>
      </c>
      <c r="G72" s="117" t="str">
        <f>G11</f>
        <v>Triticale</v>
      </c>
      <c r="H72" s="7"/>
      <c r="I72" s="10"/>
    </row>
    <row r="73" spans="1:13" x14ac:dyDescent="0.3">
      <c r="A73" s="175" t="s">
        <v>218</v>
      </c>
      <c r="B73" s="178" t="s">
        <v>227</v>
      </c>
      <c r="C73" s="158">
        <v>500</v>
      </c>
      <c r="D73" s="159">
        <v>500</v>
      </c>
      <c r="E73" s="159">
        <v>600</v>
      </c>
      <c r="F73" s="160">
        <v>800</v>
      </c>
      <c r="G73" s="160"/>
      <c r="H73" s="11"/>
      <c r="I73" s="10"/>
    </row>
    <row r="74" spans="1:13" x14ac:dyDescent="0.3">
      <c r="A74" s="109" t="s">
        <v>148</v>
      </c>
      <c r="B74" s="178" t="s">
        <v>293</v>
      </c>
      <c r="C74" s="84">
        <f>C12*C73/2000</f>
        <v>12.5</v>
      </c>
      <c r="D74" s="84">
        <f>D12*D73/2000</f>
        <v>10</v>
      </c>
      <c r="E74" s="84">
        <f>E12*E73/2000</f>
        <v>19.8</v>
      </c>
      <c r="F74" s="84">
        <f>F12*F73/2000</f>
        <v>7.2</v>
      </c>
      <c r="G74" s="84">
        <f>G12*G73/2000</f>
        <v>0</v>
      </c>
      <c r="H74" s="257">
        <f>SUM(C74:G74)</f>
        <v>49.5</v>
      </c>
      <c r="I74" s="205" t="s">
        <v>120</v>
      </c>
      <c r="J74" s="269" t="s">
        <v>133</v>
      </c>
    </row>
    <row r="75" spans="1:13" x14ac:dyDescent="0.3">
      <c r="A75" s="199" t="s">
        <v>217</v>
      </c>
      <c r="B75" s="125"/>
      <c r="C75" s="85"/>
      <c r="D75" s="85"/>
      <c r="E75" s="85"/>
      <c r="F75" s="85"/>
      <c r="G75" s="85"/>
      <c r="H75" s="257"/>
      <c r="I75" s="10"/>
      <c r="J75" s="269"/>
    </row>
    <row r="76" spans="1:13" x14ac:dyDescent="0.3">
      <c r="A76" s="175" t="s">
        <v>219</v>
      </c>
      <c r="B76" s="178" t="s">
        <v>227</v>
      </c>
      <c r="C76" s="158">
        <v>500</v>
      </c>
      <c r="D76" s="146">
        <v>600</v>
      </c>
      <c r="E76" s="146">
        <v>600</v>
      </c>
      <c r="F76" s="148">
        <v>400</v>
      </c>
      <c r="G76" s="144"/>
      <c r="H76" s="257"/>
      <c r="I76" s="10"/>
    </row>
    <row r="77" spans="1:13" x14ac:dyDescent="0.3">
      <c r="A77" s="109" t="s">
        <v>149</v>
      </c>
      <c r="B77" s="178" t="s">
        <v>293</v>
      </c>
      <c r="C77" s="84">
        <f>C12*C76/2000</f>
        <v>12.5</v>
      </c>
      <c r="D77" s="84">
        <f>D12*D76/2000</f>
        <v>12</v>
      </c>
      <c r="E77" s="84">
        <f>E12*E76/2000</f>
        <v>19.8</v>
      </c>
      <c r="F77" s="84">
        <f>F12*F76/2000</f>
        <v>3.6</v>
      </c>
      <c r="G77" s="84">
        <f>G12*G76/2000</f>
        <v>0</v>
      </c>
      <c r="H77" s="257">
        <f>SUM(C77:G77)</f>
        <v>47.9</v>
      </c>
      <c r="I77" s="205" t="s">
        <v>120</v>
      </c>
      <c r="J77" s="269"/>
    </row>
    <row r="78" spans="1:13" x14ac:dyDescent="0.3">
      <c r="A78" s="231" t="s">
        <v>304</v>
      </c>
      <c r="B78" s="178" t="s">
        <v>293</v>
      </c>
      <c r="C78" s="84">
        <f>C74+C77</f>
        <v>25</v>
      </c>
      <c r="D78" s="84">
        <f t="shared" ref="D78:H78" si="7">D74+D77</f>
        <v>22</v>
      </c>
      <c r="E78" s="84">
        <f t="shared" si="7"/>
        <v>39.6</v>
      </c>
      <c r="F78" s="84">
        <f t="shared" si="7"/>
        <v>10.8</v>
      </c>
      <c r="G78" s="84">
        <f t="shared" si="7"/>
        <v>0</v>
      </c>
      <c r="H78" s="258">
        <f t="shared" si="7"/>
        <v>97.4</v>
      </c>
      <c r="I78" s="205" t="s">
        <v>120</v>
      </c>
      <c r="J78" s="269"/>
    </row>
    <row r="79" spans="1:13" x14ac:dyDescent="0.3">
      <c r="A79" s="32"/>
      <c r="B79" s="75"/>
      <c r="C79" s="85"/>
      <c r="D79" s="85"/>
      <c r="E79" s="85"/>
      <c r="F79" s="85"/>
      <c r="G79" s="85"/>
      <c r="H79" s="85"/>
      <c r="I79" s="10"/>
      <c r="J79" s="269"/>
    </row>
    <row r="80" spans="1:13" x14ac:dyDescent="0.3">
      <c r="A80" s="32" t="s">
        <v>92</v>
      </c>
      <c r="B80" s="75"/>
      <c r="C80" s="45"/>
      <c r="D80" s="46"/>
      <c r="E80" s="7"/>
      <c r="F80" s="7"/>
      <c r="G80" s="7"/>
      <c r="H80" s="201"/>
      <c r="I80" s="10"/>
      <c r="J80" s="287"/>
      <c r="K80" s="288"/>
      <c r="L80" s="288"/>
      <c r="M80" s="286"/>
    </row>
    <row r="81" spans="1:16" ht="30.25" customHeight="1" x14ac:dyDescent="0.3">
      <c r="A81" s="109" t="s">
        <v>87</v>
      </c>
      <c r="B81" s="11"/>
      <c r="C81" s="145" t="s">
        <v>66</v>
      </c>
      <c r="D81" s="145" t="s">
        <v>88</v>
      </c>
      <c r="E81" s="145" t="s">
        <v>89</v>
      </c>
      <c r="F81" s="145" t="s">
        <v>90</v>
      </c>
      <c r="G81" s="145" t="s">
        <v>91</v>
      </c>
      <c r="H81" s="11"/>
      <c r="I81" s="10"/>
      <c r="J81" s="374" t="s">
        <v>291</v>
      </c>
      <c r="K81" s="375"/>
      <c r="L81" s="375"/>
      <c r="M81" s="375"/>
      <c r="N81" s="375"/>
      <c r="O81" s="375"/>
      <c r="P81" s="375"/>
    </row>
    <row r="82" spans="1:16" x14ac:dyDescent="0.3">
      <c r="A82" s="109" t="s">
        <v>150</v>
      </c>
      <c r="B82" s="11"/>
      <c r="C82" s="148">
        <v>51</v>
      </c>
      <c r="D82" s="148">
        <v>6</v>
      </c>
      <c r="E82" s="148">
        <v>18</v>
      </c>
      <c r="F82" s="148">
        <v>12</v>
      </c>
      <c r="G82" s="148">
        <v>2</v>
      </c>
      <c r="H82" s="11"/>
      <c r="I82" s="10"/>
      <c r="J82" s="269"/>
      <c r="L82" s="289"/>
      <c r="M82" s="286"/>
    </row>
    <row r="83" spans="1:16" x14ac:dyDescent="0.3">
      <c r="A83" s="175" t="s">
        <v>221</v>
      </c>
      <c r="B83" s="173" t="s">
        <v>220</v>
      </c>
      <c r="C83" s="148">
        <v>1300</v>
      </c>
      <c r="D83" s="148">
        <v>1200</v>
      </c>
      <c r="E83" s="148">
        <v>550</v>
      </c>
      <c r="F83" s="148">
        <v>900</v>
      </c>
      <c r="G83" s="148">
        <v>1800</v>
      </c>
      <c r="H83" s="232">
        <f>SUMPRODUCT(C82:G82,C83:G83)/1000</f>
        <v>97.8</v>
      </c>
      <c r="I83" s="10" t="s">
        <v>124</v>
      </c>
      <c r="J83" s="268" t="s">
        <v>298</v>
      </c>
      <c r="K83" s="290"/>
      <c r="L83" s="290"/>
      <c r="M83" s="286"/>
    </row>
    <row r="84" spans="1:16" x14ac:dyDescent="0.3">
      <c r="A84" s="175" t="s">
        <v>105</v>
      </c>
      <c r="B84" s="335" t="s">
        <v>305</v>
      </c>
      <c r="C84" s="86">
        <f>C82*C83*0.04/2000</f>
        <v>1.3260000000000001</v>
      </c>
      <c r="D84" s="86">
        <f>D82*D83*0.04/2000</f>
        <v>0.14399999999999999</v>
      </c>
      <c r="E84" s="86">
        <f>E82*E83*0.04/2000</f>
        <v>0.19800000000000001</v>
      </c>
      <c r="F84" s="86">
        <f>F82*F83*0.04/2000</f>
        <v>0.216</v>
      </c>
      <c r="G84" s="86">
        <f>G82*G83*0.04/2000</f>
        <v>7.1999999999999995E-2</v>
      </c>
      <c r="H84" s="86">
        <f>SUM(C84:G84)</f>
        <v>1.956</v>
      </c>
      <c r="I84" s="366" t="s">
        <v>306</v>
      </c>
      <c r="J84" s="273" t="s">
        <v>231</v>
      </c>
      <c r="K84" s="290"/>
      <c r="L84" s="290"/>
      <c r="M84" s="286"/>
    </row>
    <row r="85" spans="1:16" x14ac:dyDescent="0.3">
      <c r="A85" s="200" t="s">
        <v>106</v>
      </c>
      <c r="B85" s="126"/>
      <c r="C85" s="47"/>
      <c r="D85" s="11"/>
      <c r="E85" s="11"/>
      <c r="F85" s="11"/>
      <c r="G85" s="11"/>
      <c r="H85" s="11"/>
      <c r="I85" s="10"/>
      <c r="J85" s="359" t="s">
        <v>300</v>
      </c>
      <c r="K85" s="290"/>
      <c r="L85" s="290"/>
      <c r="M85" s="286"/>
    </row>
    <row r="86" spans="1:16" ht="17" x14ac:dyDescent="0.6">
      <c r="A86" s="9"/>
      <c r="B86" s="11"/>
      <c r="C86" s="11"/>
      <c r="D86" s="132" t="s">
        <v>123</v>
      </c>
      <c r="E86" s="81"/>
      <c r="F86" s="81"/>
      <c r="G86" s="81"/>
      <c r="H86" s="202"/>
      <c r="I86" s="213"/>
      <c r="J86" s="269"/>
      <c r="L86" s="290"/>
      <c r="M86" s="286"/>
    </row>
    <row r="87" spans="1:16" x14ac:dyDescent="0.3">
      <c r="A87" s="9" t="s">
        <v>115</v>
      </c>
      <c r="B87" s="161">
        <v>43054</v>
      </c>
      <c r="C87" s="11"/>
      <c r="D87" s="367" t="s">
        <v>307</v>
      </c>
      <c r="E87" s="11"/>
      <c r="F87" s="11"/>
      <c r="G87" s="11"/>
      <c r="H87" s="130">
        <f>H84*$B89</f>
        <v>326.65199999999999</v>
      </c>
      <c r="I87" s="205" t="s">
        <v>120</v>
      </c>
      <c r="J87" s="273" t="s">
        <v>151</v>
      </c>
      <c r="K87" s="291"/>
      <c r="L87" s="291"/>
      <c r="M87" s="286"/>
    </row>
    <row r="88" spans="1:16" ht="17" x14ac:dyDescent="0.6">
      <c r="A88" s="9" t="s">
        <v>116</v>
      </c>
      <c r="B88" s="161">
        <v>43221</v>
      </c>
      <c r="C88" s="11"/>
      <c r="D88" s="208" t="s">
        <v>232</v>
      </c>
      <c r="E88" s="11"/>
      <c r="F88" s="11"/>
      <c r="G88" s="11"/>
      <c r="H88" s="131">
        <f>MIN(H78,H87)</f>
        <v>97.4</v>
      </c>
      <c r="I88" s="205" t="s">
        <v>120</v>
      </c>
      <c r="J88" s="273" t="s">
        <v>233</v>
      </c>
      <c r="K88" s="291"/>
      <c r="L88" s="291"/>
      <c r="M88" s="286"/>
    </row>
    <row r="89" spans="1:16" x14ac:dyDescent="0.3">
      <c r="A89" s="9" t="s">
        <v>100</v>
      </c>
      <c r="B89" s="47">
        <f>B88-B87</f>
        <v>167</v>
      </c>
      <c r="C89" s="129"/>
      <c r="D89" s="208" t="s">
        <v>308</v>
      </c>
      <c r="E89" s="11"/>
      <c r="F89" s="11"/>
      <c r="G89" s="11"/>
      <c r="H89" s="130">
        <f>MAX(H87-H88,0)</f>
        <v>229.25199999999998</v>
      </c>
      <c r="I89" s="205" t="s">
        <v>120</v>
      </c>
      <c r="J89" s="273" t="s">
        <v>134</v>
      </c>
      <c r="K89" s="291"/>
      <c r="L89" s="291"/>
      <c r="M89" s="286"/>
    </row>
    <row r="90" spans="1:16" x14ac:dyDescent="0.3">
      <c r="A90" s="9"/>
      <c r="B90" s="47"/>
      <c r="C90" s="129"/>
      <c r="D90" s="208" t="s">
        <v>311</v>
      </c>
      <c r="E90" s="11"/>
      <c r="F90" s="11"/>
      <c r="G90" s="11"/>
      <c r="H90" s="130">
        <f>IF(C70&gt;0,(H89/C70)*(0.03/0.04),0)</f>
        <v>191.04333333333332</v>
      </c>
      <c r="I90" s="366" t="s">
        <v>309</v>
      </c>
      <c r="J90" s="273" t="s">
        <v>310</v>
      </c>
      <c r="K90" s="291"/>
      <c r="L90" s="291"/>
      <c r="M90" s="286"/>
    </row>
    <row r="91" spans="1:16" x14ac:dyDescent="0.3">
      <c r="A91" s="9"/>
      <c r="B91" s="11"/>
      <c r="C91" s="130"/>
      <c r="D91" s="82" t="s">
        <v>140</v>
      </c>
      <c r="E91" s="11"/>
      <c r="F91" s="11"/>
      <c r="G91" s="11"/>
      <c r="H91" s="203">
        <f>IF(H87&gt;0,MIN(H78/H87,1)," ")</f>
        <v>0.29817665282931072</v>
      </c>
      <c r="I91" s="205"/>
      <c r="J91" s="273" t="s">
        <v>154</v>
      </c>
      <c r="K91" s="291"/>
      <c r="L91" s="291"/>
      <c r="M91" s="286"/>
    </row>
    <row r="92" spans="1:16" ht="17" x14ac:dyDescent="0.6">
      <c r="A92" s="9"/>
      <c r="B92" s="11"/>
      <c r="C92" s="131"/>
      <c r="D92" s="87" t="s">
        <v>121</v>
      </c>
      <c r="E92" s="11"/>
      <c r="F92" s="11"/>
      <c r="G92" s="11"/>
      <c r="H92" s="48">
        <f>IF(H84&gt;0,H78/H84," ")</f>
        <v>49.795501022494889</v>
      </c>
      <c r="I92" s="205"/>
      <c r="J92" s="273" t="s">
        <v>152</v>
      </c>
      <c r="K92" s="291"/>
      <c r="L92" s="291"/>
      <c r="M92" s="286"/>
    </row>
    <row r="93" spans="1:16" x14ac:dyDescent="0.3">
      <c r="A93" s="9"/>
      <c r="B93" s="11"/>
      <c r="C93" s="130"/>
      <c r="D93" s="87" t="s">
        <v>122</v>
      </c>
      <c r="E93" s="11"/>
      <c r="F93" s="11"/>
      <c r="G93" s="11"/>
      <c r="H93" s="48">
        <f>H83*H92</f>
        <v>4870</v>
      </c>
      <c r="I93" s="205"/>
      <c r="J93" s="273" t="s">
        <v>153</v>
      </c>
      <c r="K93" s="291"/>
      <c r="L93" s="291"/>
      <c r="M93" s="286"/>
    </row>
    <row r="94" spans="1:16" ht="14.5" thickBot="1" x14ac:dyDescent="0.35">
      <c r="A94" s="17"/>
      <c r="B94" s="41"/>
      <c r="C94" s="41"/>
      <c r="D94" s="88" t="s">
        <v>312</v>
      </c>
      <c r="E94" s="41"/>
      <c r="F94" s="41"/>
      <c r="G94" s="41"/>
      <c r="H94" s="204">
        <f>IF(C70&gt;0,((H87/C70)*(0.03/0.04)-H90)*C69,0)</f>
        <v>6493.3333333333321</v>
      </c>
      <c r="I94" s="63"/>
      <c r="J94" s="376" t="s">
        <v>313</v>
      </c>
      <c r="K94" s="376"/>
      <c r="L94" s="376"/>
      <c r="M94" s="376"/>
      <c r="N94" s="376"/>
    </row>
    <row r="95" spans="1:16" ht="14.5" thickBot="1" x14ac:dyDescent="0.35">
      <c r="A95" s="112"/>
      <c r="B95" s="127"/>
      <c r="C95" s="89"/>
      <c r="D95" s="11"/>
      <c r="E95" s="11"/>
      <c r="F95" s="11"/>
      <c r="G95" s="11"/>
      <c r="H95" s="11"/>
      <c r="J95" s="376"/>
      <c r="K95" s="376"/>
      <c r="L95" s="376"/>
      <c r="M95" s="376"/>
      <c r="N95" s="376"/>
    </row>
    <row r="96" spans="1:16" ht="15.5" x14ac:dyDescent="0.35">
      <c r="A96" s="220" t="s">
        <v>266</v>
      </c>
      <c r="B96" s="221"/>
      <c r="C96" s="222"/>
      <c r="D96" s="222"/>
      <c r="E96" s="222"/>
      <c r="F96" s="222"/>
      <c r="G96" s="223"/>
      <c r="H96" s="224"/>
      <c r="J96" s="268"/>
    </row>
    <row r="97" spans="1:13" x14ac:dyDescent="0.3">
      <c r="A97" s="53" t="s">
        <v>252</v>
      </c>
      <c r="B97" s="11"/>
      <c r="C97" s="115" t="str">
        <f>C9</f>
        <v>Field 1</v>
      </c>
      <c r="D97" s="115" t="str">
        <f>D9</f>
        <v>Field 2</v>
      </c>
      <c r="E97" s="115" t="str">
        <f>E9</f>
        <v>Field 3</v>
      </c>
      <c r="F97" s="115" t="str">
        <f>F9</f>
        <v>Field 4</v>
      </c>
      <c r="G97" s="115" t="str">
        <f>G9</f>
        <v>Field 5</v>
      </c>
      <c r="H97" s="35" t="s">
        <v>23</v>
      </c>
      <c r="I97" s="37"/>
      <c r="J97" s="273"/>
    </row>
    <row r="98" spans="1:13" x14ac:dyDescent="0.3">
      <c r="A98" s="29" t="s">
        <v>319</v>
      </c>
      <c r="B98" s="11"/>
      <c r="C98" s="371"/>
      <c r="D98" s="371"/>
      <c r="E98" s="371"/>
      <c r="F98" s="371"/>
      <c r="G98" s="371">
        <v>48</v>
      </c>
      <c r="H98" s="36">
        <f>SUM(C98:G98)</f>
        <v>48</v>
      </c>
      <c r="I98" s="37"/>
      <c r="J98" s="273"/>
    </row>
    <row r="99" spans="1:13" x14ac:dyDescent="0.3">
      <c r="A99" s="110" t="s">
        <v>103</v>
      </c>
      <c r="B99" s="174" t="s">
        <v>245</v>
      </c>
      <c r="C99" s="148"/>
      <c r="D99" s="148"/>
      <c r="E99" s="148"/>
      <c r="F99" s="148"/>
      <c r="G99" s="148">
        <v>1700</v>
      </c>
      <c r="H99" s="12"/>
      <c r="I99" s="212"/>
      <c r="J99" s="271" t="s">
        <v>175</v>
      </c>
    </row>
    <row r="100" spans="1:13" x14ac:dyDescent="0.3">
      <c r="A100" s="110" t="s">
        <v>104</v>
      </c>
      <c r="B100" s="174" t="s">
        <v>193</v>
      </c>
      <c r="C100" s="149"/>
      <c r="D100" s="149"/>
      <c r="E100" s="149"/>
      <c r="F100" s="149"/>
      <c r="G100" s="149">
        <v>0.25</v>
      </c>
      <c r="H100" s="12"/>
      <c r="I100" s="13"/>
    </row>
    <row r="101" spans="1:13" x14ac:dyDescent="0.3">
      <c r="A101" s="193" t="s">
        <v>320</v>
      </c>
      <c r="B101" s="198" t="s">
        <v>228</v>
      </c>
      <c r="C101" s="90">
        <f>C99*(1-C100)/2000</f>
        <v>0</v>
      </c>
      <c r="D101" s="90">
        <f>D99*(1-D100)/2000</f>
        <v>0</v>
      </c>
      <c r="E101" s="90">
        <f>E99*(1-E100)/2000</f>
        <v>0</v>
      </c>
      <c r="F101" s="90">
        <f>F99*(1-F100)/2000</f>
        <v>0</v>
      </c>
      <c r="G101" s="90">
        <f>(G99*(1-G100)/2000)/C70</f>
        <v>0.70833333333333326</v>
      </c>
      <c r="H101" s="235">
        <f>SUM(C101:G101)</f>
        <v>0.70833333333333326</v>
      </c>
      <c r="I101" s="11"/>
    </row>
    <row r="102" spans="1:13" s="207" customFormat="1" x14ac:dyDescent="0.3">
      <c r="A102" s="139" t="s">
        <v>67</v>
      </c>
      <c r="B102" s="177" t="s">
        <v>214</v>
      </c>
      <c r="C102" s="251"/>
      <c r="D102" s="251"/>
      <c r="E102" s="251"/>
      <c r="F102" s="254"/>
      <c r="G102" s="251">
        <v>100</v>
      </c>
      <c r="H102" s="248"/>
      <c r="I102" s="249"/>
      <c r="J102" s="267"/>
      <c r="K102" s="268"/>
      <c r="L102" s="268"/>
      <c r="M102" s="268"/>
    </row>
    <row r="103" spans="1:13" ht="15" customHeight="1" x14ac:dyDescent="0.3">
      <c r="A103" s="236" t="s">
        <v>8</v>
      </c>
      <c r="B103" s="123"/>
      <c r="C103" s="42">
        <f>C101*C102</f>
        <v>0</v>
      </c>
      <c r="D103" s="42">
        <f>D101*D102</f>
        <v>0</v>
      </c>
      <c r="E103" s="42">
        <f>E101*E102</f>
        <v>0</v>
      </c>
      <c r="F103" s="42">
        <f>F101*F102</f>
        <v>0</v>
      </c>
      <c r="G103" s="42">
        <f>G98*G101*G102</f>
        <v>3400</v>
      </c>
      <c r="H103" s="12">
        <f>SUM(C103:G103)</f>
        <v>3400</v>
      </c>
      <c r="I103" s="13"/>
    </row>
    <row r="104" spans="1:13" x14ac:dyDescent="0.3">
      <c r="A104" s="9" t="s">
        <v>48</v>
      </c>
      <c r="B104" s="124"/>
      <c r="C104" s="90"/>
      <c r="D104" s="90"/>
      <c r="E104" s="90"/>
      <c r="F104" s="90"/>
      <c r="G104" s="90"/>
      <c r="H104" s="36"/>
      <c r="I104" s="11"/>
    </row>
    <row r="105" spans="1:13" x14ac:dyDescent="0.3">
      <c r="A105" s="139" t="s">
        <v>224</v>
      </c>
      <c r="B105" s="173" t="s">
        <v>177</v>
      </c>
      <c r="C105" s="150"/>
      <c r="D105" s="150"/>
      <c r="E105" s="150"/>
      <c r="F105" s="150"/>
      <c r="G105" s="150"/>
      <c r="H105" s="12">
        <f>SUMPRODUCT(C$98:G$98,C105:G105)</f>
        <v>0</v>
      </c>
      <c r="I105" s="13"/>
      <c r="J105" s="271" t="s">
        <v>207</v>
      </c>
    </row>
    <row r="106" spans="1:13" x14ac:dyDescent="0.3">
      <c r="A106" s="139" t="s">
        <v>223</v>
      </c>
      <c r="B106" s="173" t="s">
        <v>177</v>
      </c>
      <c r="C106" s="150"/>
      <c r="D106" s="150"/>
      <c r="E106" s="150"/>
      <c r="F106" s="150"/>
      <c r="G106" s="150">
        <v>10</v>
      </c>
      <c r="H106" s="12">
        <f>SUMPRODUCT(C$98:G$98,C106:G106)</f>
        <v>480</v>
      </c>
      <c r="I106" s="13"/>
      <c r="J106" s="271" t="s">
        <v>208</v>
      </c>
    </row>
    <row r="107" spans="1:13" x14ac:dyDescent="0.3">
      <c r="A107" s="139" t="s">
        <v>318</v>
      </c>
      <c r="B107" s="148">
        <v>1300</v>
      </c>
      <c r="C107" s="368"/>
      <c r="D107" s="368"/>
      <c r="E107" s="368"/>
      <c r="F107" s="368"/>
      <c r="G107" s="369"/>
      <c r="H107" s="12"/>
      <c r="I107" s="13"/>
      <c r="J107" s="271"/>
    </row>
    <row r="108" spans="1:13" x14ac:dyDescent="0.3">
      <c r="A108" s="139" t="s">
        <v>243</v>
      </c>
      <c r="B108" s="178" t="s">
        <v>316</v>
      </c>
      <c r="C108" s="147"/>
      <c r="D108" s="147"/>
      <c r="E108" s="147"/>
      <c r="F108" s="147"/>
      <c r="G108" s="147">
        <v>15</v>
      </c>
      <c r="H108" s="372">
        <f>SUMPRODUCT(C$98:G$98,C$101:G$101,C108:G108)*2000/B$107</f>
        <v>784.61538461538464</v>
      </c>
      <c r="I108" s="13"/>
    </row>
    <row r="109" spans="1:13" ht="17" x14ac:dyDescent="0.6">
      <c r="A109" s="139" t="s">
        <v>244</v>
      </c>
      <c r="B109" s="178" t="s">
        <v>316</v>
      </c>
      <c r="C109" s="147"/>
      <c r="D109" s="147"/>
      <c r="E109" s="147"/>
      <c r="F109" s="147"/>
      <c r="G109" s="147">
        <v>5</v>
      </c>
      <c r="H109" s="372">
        <f t="shared" ref="H109:H110" si="8">SUMPRODUCT(C$98:G$98,C$101:G$101,C109:G109)*2000/B$107</f>
        <v>261.53846153846155</v>
      </c>
      <c r="I109" s="66"/>
    </row>
    <row r="110" spans="1:13" x14ac:dyDescent="0.3">
      <c r="A110" s="139" t="s">
        <v>317</v>
      </c>
      <c r="B110" s="178" t="s">
        <v>316</v>
      </c>
      <c r="C110" s="147"/>
      <c r="D110" s="147"/>
      <c r="E110" s="147"/>
      <c r="F110" s="147"/>
      <c r="G110" s="147"/>
      <c r="H110" s="372">
        <f t="shared" si="8"/>
        <v>0</v>
      </c>
      <c r="I110" s="13"/>
    </row>
    <row r="111" spans="1:13" x14ac:dyDescent="0.3">
      <c r="A111" s="110" t="s">
        <v>222</v>
      </c>
      <c r="B111" s="174" t="s">
        <v>253</v>
      </c>
      <c r="C111" s="148"/>
      <c r="D111" s="148"/>
      <c r="E111" s="148"/>
      <c r="F111" s="148"/>
      <c r="G111" s="148">
        <v>10</v>
      </c>
      <c r="H111" s="12">
        <f>SUM(C111:G111)*B18</f>
        <v>120</v>
      </c>
      <c r="I111" s="13"/>
    </row>
    <row r="112" spans="1:13" ht="14.5" hidden="1" thickBot="1" x14ac:dyDescent="0.35">
      <c r="A112" s="23" t="s">
        <v>7</v>
      </c>
      <c r="B112" s="121"/>
      <c r="C112" s="259">
        <f>SUM(C105:C106)*C4+SUM(C108:C109)*C101+C111*$B10</f>
        <v>0</v>
      </c>
      <c r="D112" s="67">
        <f>SUM(D105:D106)*D4+SUM(D108:D109)*D101+D111*$B10</f>
        <v>0</v>
      </c>
      <c r="E112" s="67">
        <f>SUM(E105:E106)*E4+SUM(E108:E109)*E101+E111*$B10</f>
        <v>0</v>
      </c>
      <c r="F112" s="67">
        <f>SUM(F105:F106)*F4+SUM(F108:F109)*F101+F111*$B10</f>
        <v>0</v>
      </c>
      <c r="G112" s="67">
        <f>SUM(G105:G106)*G100+SUM(G108:G110)*(G101*2000/B107)+G111*$B10</f>
        <v>24.294871794871792</v>
      </c>
      <c r="H112" s="24">
        <f>SUM(H105:H111)</f>
        <v>1646.1538461538462</v>
      </c>
      <c r="I112" s="13"/>
    </row>
    <row r="113" spans="1:13" ht="14.5" thickBot="1" x14ac:dyDescent="0.35">
      <c r="C113" s="67">
        <f t="shared" ref="C113:F113" si="9">SUM(C105:C106)*C98+SUM(C108:C110)*C98*(C101*2000/$B107)+C111*$B18</f>
        <v>0</v>
      </c>
      <c r="D113" s="67">
        <f t="shared" si="9"/>
        <v>0</v>
      </c>
      <c r="E113" s="67">
        <f t="shared" si="9"/>
        <v>0</v>
      </c>
      <c r="F113" s="67">
        <f t="shared" si="9"/>
        <v>0</v>
      </c>
      <c r="G113" s="67">
        <f>SUM(G105:G106)*G98+SUM(G108:G110)*G98*(G101*2000/$B107)+G111*$B18</f>
        <v>1646.153846153846</v>
      </c>
      <c r="H113" s="373">
        <f>SUM(H105:H111)</f>
        <v>1646.1538461538462</v>
      </c>
      <c r="I113" s="13"/>
    </row>
    <row r="114" spans="1:13" ht="15.5" x14ac:dyDescent="0.35">
      <c r="A114" s="183" t="s">
        <v>143</v>
      </c>
      <c r="B114" s="184"/>
      <c r="C114" s="185" t="str">
        <f>C9</f>
        <v>Field 1</v>
      </c>
      <c r="D114" s="185" t="str">
        <f>D9</f>
        <v>Field 2</v>
      </c>
      <c r="E114" s="185" t="str">
        <f>E9</f>
        <v>Field 3</v>
      </c>
      <c r="F114" s="185" t="str">
        <f>F9</f>
        <v>Field 4</v>
      </c>
      <c r="G114" s="185" t="str">
        <f>G9</f>
        <v>Field 5</v>
      </c>
      <c r="H114" s="186" t="s">
        <v>23</v>
      </c>
      <c r="I114" s="185" t="s">
        <v>24</v>
      </c>
      <c r="J114" s="348" t="s">
        <v>295</v>
      </c>
    </row>
    <row r="115" spans="1:13" ht="15.5" x14ac:dyDescent="0.35">
      <c r="A115" s="109" t="s">
        <v>6</v>
      </c>
      <c r="B115" s="178" t="s">
        <v>84</v>
      </c>
      <c r="C115" s="334">
        <f>C12</f>
        <v>50</v>
      </c>
      <c r="D115" s="334">
        <f t="shared" ref="D115:H115" si="10">D12</f>
        <v>40</v>
      </c>
      <c r="E115" s="334">
        <f t="shared" si="10"/>
        <v>66</v>
      </c>
      <c r="F115" s="334">
        <f t="shared" si="10"/>
        <v>18</v>
      </c>
      <c r="G115" s="334">
        <f t="shared" si="10"/>
        <v>48</v>
      </c>
      <c r="H115" s="334">
        <f t="shared" si="10"/>
        <v>222</v>
      </c>
      <c r="I115" s="337"/>
      <c r="J115" s="345"/>
    </row>
    <row r="116" spans="1:13" s="103" customFormat="1" x14ac:dyDescent="0.3">
      <c r="A116" s="109" t="s">
        <v>53</v>
      </c>
      <c r="B116" s="104"/>
      <c r="C116" s="351">
        <f>C12*C36</f>
        <v>320</v>
      </c>
      <c r="D116" s="351">
        <f>D12*D36</f>
        <v>0</v>
      </c>
      <c r="E116" s="351">
        <f>E12*E36</f>
        <v>0</v>
      </c>
      <c r="F116" s="351">
        <f>F12*F36</f>
        <v>162</v>
      </c>
      <c r="G116" s="351">
        <f>G12*G36</f>
        <v>432</v>
      </c>
      <c r="H116" s="351">
        <f>H36</f>
        <v>914</v>
      </c>
      <c r="I116" s="352">
        <f>IF(SUM(C$12:G$12)&gt;0,H116/SUM(C$12:G$12),0)</f>
        <v>4.1171171171171173</v>
      </c>
      <c r="J116" s="350">
        <f>IF(H$83&gt;0,H116/H$83,0)</f>
        <v>9.3456032719836397</v>
      </c>
      <c r="K116" s="269"/>
      <c r="L116" s="269"/>
      <c r="M116" s="269"/>
    </row>
    <row r="117" spans="1:13" s="103" customFormat="1" x14ac:dyDescent="0.3">
      <c r="A117" s="109"/>
      <c r="B117" s="104"/>
      <c r="C117" s="108"/>
      <c r="D117" s="108"/>
      <c r="E117" s="108"/>
      <c r="F117" s="108"/>
      <c r="G117" s="108"/>
      <c r="H117" s="108"/>
      <c r="I117" s="343"/>
      <c r="J117" s="346"/>
      <c r="K117" s="269"/>
      <c r="L117" s="269"/>
      <c r="M117" s="269"/>
    </row>
    <row r="118" spans="1:13" x14ac:dyDescent="0.3">
      <c r="A118" s="32" t="s">
        <v>59</v>
      </c>
      <c r="B118" s="75"/>
      <c r="C118" s="13"/>
      <c r="D118" s="13"/>
      <c r="E118" s="13"/>
      <c r="F118" s="13"/>
      <c r="G118" s="13"/>
      <c r="H118" s="68"/>
      <c r="I118" s="7"/>
      <c r="J118" s="346"/>
    </row>
    <row r="119" spans="1:13" x14ac:dyDescent="0.3">
      <c r="A119" s="175" t="s">
        <v>289</v>
      </c>
      <c r="B119" s="104"/>
      <c r="C119" s="13">
        <f>IF($H115&gt;0,$H119*C115/$H115,0)</f>
        <v>257.65765765765764</v>
      </c>
      <c r="D119" s="13">
        <f t="shared" ref="D119:G119" si="11">IF($H115&gt;0,$H119*D115/$H115,0)</f>
        <v>206.12612612612614</v>
      </c>
      <c r="E119" s="13">
        <f t="shared" si="11"/>
        <v>340.10810810810813</v>
      </c>
      <c r="F119" s="13">
        <f t="shared" si="11"/>
        <v>92.756756756756758</v>
      </c>
      <c r="G119" s="13">
        <f t="shared" si="11"/>
        <v>247.35135135135135</v>
      </c>
      <c r="H119" s="13">
        <f>H46+H51</f>
        <v>1144</v>
      </c>
      <c r="I119" s="89">
        <f>IF(SUM(C$12:G$12)&gt;0,H119/SUM(C$12:G$12),0)</f>
        <v>5.1531531531531529</v>
      </c>
      <c r="J119" s="346">
        <f t="shared" ref="J119:J134" si="12">IF(H$83&gt;0,H119/H$83,0)</f>
        <v>11.697341513292434</v>
      </c>
    </row>
    <row r="120" spans="1:13" x14ac:dyDescent="0.3">
      <c r="A120" s="109" t="s">
        <v>93</v>
      </c>
      <c r="B120" s="104"/>
      <c r="C120" s="13">
        <f>(C39+C40)*C41</f>
        <v>1250</v>
      </c>
      <c r="D120" s="13">
        <f>(D39+D40)*D41</f>
        <v>1600</v>
      </c>
      <c r="E120" s="13">
        <f>(E39+E40)*E41</f>
        <v>330</v>
      </c>
      <c r="F120" s="13">
        <f>(F39+F40)*F41</f>
        <v>252</v>
      </c>
      <c r="G120" s="13">
        <f>(G39+G40)*G41</f>
        <v>720</v>
      </c>
      <c r="H120" s="69">
        <f>H39+H40</f>
        <v>4152</v>
      </c>
      <c r="I120" s="89">
        <f>IF(SUM(C$12:G$12)&gt;0,H120/SUM(C$12:G$12),0)</f>
        <v>18.702702702702702</v>
      </c>
      <c r="J120" s="346">
        <f t="shared" si="12"/>
        <v>42.45398773006135</v>
      </c>
    </row>
    <row r="121" spans="1:13" x14ac:dyDescent="0.3">
      <c r="A121" s="109" t="s">
        <v>94</v>
      </c>
      <c r="B121" s="104"/>
      <c r="C121" s="13">
        <f>IF($H78&gt;0,$H121*C78/$H78,0)</f>
        <v>1666.6666666666663</v>
      </c>
      <c r="D121" s="13">
        <f>IF($H78&gt;0,$H121*D78/$H78,0)</f>
        <v>1466.6666666666663</v>
      </c>
      <c r="E121" s="13">
        <f>IF($H78&gt;0,$H121*E78/$H78,0)</f>
        <v>2639.9999999999995</v>
      </c>
      <c r="F121" s="13">
        <f>IF($H78&gt;0,$H121*F78/$H78,0)</f>
        <v>719.99999999999977</v>
      </c>
      <c r="G121" s="13">
        <f>IF($H78&gt;0,$H121*G78/$H78,0)</f>
        <v>0</v>
      </c>
      <c r="H121" s="13">
        <f>H94</f>
        <v>6493.3333333333321</v>
      </c>
      <c r="I121" s="89">
        <f>IF(SUM(C$12:G$12)&gt;0,H121/SUM(C$12:G$12),0)</f>
        <v>29.249249249249242</v>
      </c>
      <c r="J121" s="346">
        <f t="shared" si="12"/>
        <v>66.39400136332651</v>
      </c>
    </row>
    <row r="122" spans="1:13" ht="17" x14ac:dyDescent="0.6">
      <c r="A122" s="109" t="s">
        <v>52</v>
      </c>
      <c r="B122" s="104"/>
      <c r="C122" s="66">
        <f t="shared" ref="C122:H122" si="13">C103</f>
        <v>0</v>
      </c>
      <c r="D122" s="66">
        <f t="shared" si="13"/>
        <v>0</v>
      </c>
      <c r="E122" s="66">
        <f>E103</f>
        <v>0</v>
      </c>
      <c r="F122" s="66">
        <f t="shared" si="13"/>
        <v>0</v>
      </c>
      <c r="G122" s="66">
        <f t="shared" si="13"/>
        <v>3400</v>
      </c>
      <c r="H122" s="66">
        <f t="shared" si="13"/>
        <v>3400</v>
      </c>
      <c r="I122" s="338">
        <f>IF(SUM(C$12:G$12)&gt;0,H122/SUM(C$12:G$12),0)</f>
        <v>15.315315315315315</v>
      </c>
      <c r="J122" s="349">
        <f t="shared" si="12"/>
        <v>34.764826175869125</v>
      </c>
    </row>
    <row r="123" spans="1:13" x14ac:dyDescent="0.3">
      <c r="A123" s="32" t="s">
        <v>26</v>
      </c>
      <c r="B123" s="75"/>
      <c r="C123" s="71">
        <f>SUM(C119:C122)</f>
        <v>3174.3243243243242</v>
      </c>
      <c r="D123" s="71">
        <f t="shared" ref="D123:H123" si="14">SUM(D119:D122)</f>
        <v>3272.7927927927922</v>
      </c>
      <c r="E123" s="71">
        <f t="shared" si="14"/>
        <v>3310.1081081081074</v>
      </c>
      <c r="F123" s="71">
        <f t="shared" si="14"/>
        <v>1064.7567567567567</v>
      </c>
      <c r="G123" s="71">
        <f t="shared" si="14"/>
        <v>4367.3513513513517</v>
      </c>
      <c r="H123" s="71">
        <f t="shared" si="14"/>
        <v>15189.333333333332</v>
      </c>
      <c r="I123" s="339">
        <f>SUM(I119:I122)</f>
        <v>68.420420420420413</v>
      </c>
      <c r="J123" s="350">
        <f t="shared" si="12"/>
        <v>155.3101567825494</v>
      </c>
    </row>
    <row r="124" spans="1:13" x14ac:dyDescent="0.3">
      <c r="A124" s="32"/>
      <c r="B124" s="75"/>
      <c r="C124" s="11"/>
      <c r="D124" s="11"/>
      <c r="E124" s="11"/>
      <c r="F124" s="126"/>
      <c r="G124" s="11"/>
      <c r="H124" s="71"/>
      <c r="I124" s="136"/>
      <c r="J124" s="346"/>
    </row>
    <row r="125" spans="1:13" x14ac:dyDescent="0.3">
      <c r="A125" s="32" t="s">
        <v>60</v>
      </c>
      <c r="B125" s="75"/>
      <c r="C125" s="11"/>
      <c r="D125" s="11"/>
      <c r="E125" s="11"/>
      <c r="F125" s="11"/>
      <c r="G125" s="11"/>
      <c r="H125" s="11"/>
      <c r="I125" s="89"/>
      <c r="J125" s="346"/>
    </row>
    <row r="126" spans="1:13" x14ac:dyDescent="0.3">
      <c r="A126" s="109" t="s">
        <v>56</v>
      </c>
      <c r="B126" s="104"/>
      <c r="C126" s="13">
        <f t="shared" ref="C126:H126" si="15">C19</f>
        <v>1286</v>
      </c>
      <c r="D126" s="13">
        <f t="shared" si="15"/>
        <v>1220</v>
      </c>
      <c r="E126" s="13">
        <f t="shared" si="15"/>
        <v>948</v>
      </c>
      <c r="F126" s="13">
        <f t="shared" si="15"/>
        <v>384</v>
      </c>
      <c r="G126" s="13">
        <f t="shared" si="15"/>
        <v>576</v>
      </c>
      <c r="H126" s="13">
        <f t="shared" si="15"/>
        <v>4414</v>
      </c>
      <c r="I126" s="89">
        <f t="shared" ref="I126:I131" si="16">IF(SUM(C$12:G$12)&gt;0,H126/SUM(C$12:G$12),0)</f>
        <v>19.882882882882882</v>
      </c>
      <c r="J126" s="346">
        <f t="shared" si="12"/>
        <v>45.132924335378327</v>
      </c>
    </row>
    <row r="127" spans="1:13" x14ac:dyDescent="0.3">
      <c r="A127" s="109" t="s">
        <v>57</v>
      </c>
      <c r="B127" s="104"/>
      <c r="C127" s="13">
        <f t="shared" ref="C127:H127" si="17">C28</f>
        <v>0</v>
      </c>
      <c r="D127" s="13">
        <f t="shared" si="17"/>
        <v>0</v>
      </c>
      <c r="E127" s="13">
        <f t="shared" si="17"/>
        <v>0</v>
      </c>
      <c r="F127" s="13">
        <f t="shared" si="17"/>
        <v>0</v>
      </c>
      <c r="G127" s="13">
        <f t="shared" si="17"/>
        <v>0</v>
      </c>
      <c r="H127" s="13">
        <f t="shared" si="17"/>
        <v>0</v>
      </c>
      <c r="I127" s="89">
        <f t="shared" si="16"/>
        <v>0</v>
      </c>
      <c r="J127" s="346">
        <f t="shared" si="12"/>
        <v>0</v>
      </c>
    </row>
    <row r="128" spans="1:13" x14ac:dyDescent="0.3">
      <c r="A128" s="109" t="s">
        <v>95</v>
      </c>
      <c r="B128" s="104"/>
      <c r="C128" s="13">
        <f t="shared" ref="C128:H128" si="18">C12*SUM(C44:C45)</f>
        <v>0</v>
      </c>
      <c r="D128" s="13">
        <f t="shared" si="18"/>
        <v>0</v>
      </c>
      <c r="E128" s="13">
        <f t="shared" si="18"/>
        <v>0</v>
      </c>
      <c r="F128" s="13">
        <f t="shared" si="18"/>
        <v>0</v>
      </c>
      <c r="G128" s="13">
        <f t="shared" si="18"/>
        <v>0</v>
      </c>
      <c r="H128" s="13">
        <f t="shared" si="18"/>
        <v>0</v>
      </c>
      <c r="I128" s="89">
        <f t="shared" si="16"/>
        <v>0</v>
      </c>
      <c r="J128" s="346">
        <f t="shared" si="12"/>
        <v>0</v>
      </c>
    </row>
    <row r="129" spans="1:10" x14ac:dyDescent="0.3">
      <c r="A129" s="109" t="s">
        <v>71</v>
      </c>
      <c r="B129" s="104"/>
      <c r="C129" s="13">
        <f>IF($H115&gt;0,$H129*C$115/$H$115,0)</f>
        <v>54.054054054054056</v>
      </c>
      <c r="D129" s="13">
        <f t="shared" ref="D129:G129" si="19">IF($H115&gt;0,$H129*D$115/$H$115,0)</f>
        <v>43.243243243243242</v>
      </c>
      <c r="E129" s="13">
        <f t="shared" si="19"/>
        <v>71.351351351351354</v>
      </c>
      <c r="F129" s="13">
        <f t="shared" si="19"/>
        <v>19.45945945945946</v>
      </c>
      <c r="G129" s="13">
        <f t="shared" si="19"/>
        <v>51.891891891891895</v>
      </c>
      <c r="H129" s="13">
        <f>H50</f>
        <v>240</v>
      </c>
      <c r="I129" s="89">
        <f t="shared" si="16"/>
        <v>1.0810810810810811</v>
      </c>
      <c r="J129" s="346">
        <f t="shared" si="12"/>
        <v>2.4539877300613497</v>
      </c>
    </row>
    <row r="130" spans="1:10" x14ac:dyDescent="0.3">
      <c r="A130" s="109" t="s">
        <v>72</v>
      </c>
      <c r="B130" s="104"/>
      <c r="C130" s="13">
        <f t="shared" ref="C130:H130" si="20">C66</f>
        <v>846.41025005321569</v>
      </c>
      <c r="D130" s="13">
        <f t="shared" si="20"/>
        <v>0</v>
      </c>
      <c r="E130" s="13">
        <f t="shared" si="20"/>
        <v>878.9612295867073</v>
      </c>
      <c r="F130" s="13">
        <f t="shared" si="20"/>
        <v>0</v>
      </c>
      <c r="G130" s="13">
        <f t="shared" si="20"/>
        <v>0</v>
      </c>
      <c r="H130" s="13">
        <f t="shared" si="20"/>
        <v>1725.3714796399231</v>
      </c>
      <c r="I130" s="89">
        <f>IF(SUM(C$12:G$12)&gt;0,H130/SUM(C$12:G$12),0)</f>
        <v>7.7719436019816355</v>
      </c>
      <c r="J130" s="346">
        <f t="shared" si="12"/>
        <v>17.641835170142365</v>
      </c>
    </row>
    <row r="131" spans="1:10" ht="17" x14ac:dyDescent="0.6">
      <c r="A131" s="109" t="s">
        <v>58</v>
      </c>
      <c r="B131" s="104"/>
      <c r="C131" s="66">
        <f t="shared" ref="C131:F131" si="21">C113</f>
        <v>0</v>
      </c>
      <c r="D131" s="66">
        <f t="shared" si="21"/>
        <v>0</v>
      </c>
      <c r="E131" s="66">
        <f t="shared" si="21"/>
        <v>0</v>
      </c>
      <c r="F131" s="66">
        <f t="shared" si="21"/>
        <v>0</v>
      </c>
      <c r="G131" s="66">
        <f>G113</f>
        <v>1646.153846153846</v>
      </c>
      <c r="H131" s="66">
        <f>H113</f>
        <v>1646.1538461538462</v>
      </c>
      <c r="I131" s="338">
        <f t="shared" si="16"/>
        <v>7.415107415107415</v>
      </c>
      <c r="J131" s="349">
        <f t="shared" si="12"/>
        <v>16.83183891772849</v>
      </c>
    </row>
    <row r="132" spans="1:10" x14ac:dyDescent="0.3">
      <c r="A132" s="32" t="s">
        <v>27</v>
      </c>
      <c r="B132" s="75"/>
      <c r="C132" s="74">
        <f>SUM(C126:C131)</f>
        <v>2186.4643041072695</v>
      </c>
      <c r="D132" s="74">
        <f t="shared" ref="D132:G132" si="22">SUM(D126:D131)</f>
        <v>1263.2432432432433</v>
      </c>
      <c r="E132" s="74">
        <f t="shared" si="22"/>
        <v>1898.3125809380585</v>
      </c>
      <c r="F132" s="74">
        <f t="shared" si="22"/>
        <v>403.45945945945948</v>
      </c>
      <c r="G132" s="74">
        <f t="shared" si="22"/>
        <v>2274.0457380457378</v>
      </c>
      <c r="H132" s="74">
        <f>SUM(H126:H131)</f>
        <v>8025.5253257937693</v>
      </c>
      <c r="I132" s="136">
        <f>SUM(I126:I131)</f>
        <v>36.151014981053017</v>
      </c>
      <c r="J132" s="350">
        <f t="shared" si="12"/>
        <v>82.060586153310524</v>
      </c>
    </row>
    <row r="133" spans="1:10" x14ac:dyDescent="0.3">
      <c r="A133" s="32"/>
      <c r="B133" s="75"/>
      <c r="C133" s="11"/>
      <c r="D133" s="11"/>
      <c r="E133" s="11"/>
      <c r="F133" s="11"/>
      <c r="G133" s="11"/>
      <c r="H133" s="75"/>
      <c r="I133" s="136"/>
      <c r="J133" s="350"/>
    </row>
    <row r="134" spans="1:10" x14ac:dyDescent="0.3">
      <c r="A134" s="32" t="s">
        <v>28</v>
      </c>
      <c r="B134" s="75"/>
      <c r="C134" s="74">
        <f>C116+C123-C132</f>
        <v>1307.8600202170546</v>
      </c>
      <c r="D134" s="74">
        <f t="shared" ref="D134:I134" si="23">D116+D123-D132</f>
        <v>2009.5495495495488</v>
      </c>
      <c r="E134" s="74">
        <f t="shared" si="23"/>
        <v>1411.7955271700489</v>
      </c>
      <c r="F134" s="74">
        <f t="shared" si="23"/>
        <v>823.29729729729718</v>
      </c>
      <c r="G134" s="74">
        <f t="shared" si="23"/>
        <v>2525.3056133056139</v>
      </c>
      <c r="H134" s="74">
        <f t="shared" si="23"/>
        <v>8077.8080075395628</v>
      </c>
      <c r="I134" s="344">
        <f t="shared" si="23"/>
        <v>36.386522556484515</v>
      </c>
      <c r="J134" s="350">
        <f t="shared" si="12"/>
        <v>82.595173901222523</v>
      </c>
    </row>
    <row r="135" spans="1:10" ht="14.5" thickBot="1" x14ac:dyDescent="0.35">
      <c r="A135" s="76" t="s">
        <v>142</v>
      </c>
      <c r="B135" s="128"/>
      <c r="C135" s="133">
        <f t="shared" ref="C135:H135" si="24">IF(C12&gt;0,C134/C12,0)</f>
        <v>26.157200404341094</v>
      </c>
      <c r="D135" s="133">
        <f t="shared" si="24"/>
        <v>50.238738738738718</v>
      </c>
      <c r="E135" s="133">
        <f t="shared" si="24"/>
        <v>21.390841320758316</v>
      </c>
      <c r="F135" s="133">
        <f t="shared" si="24"/>
        <v>45.738738738738732</v>
      </c>
      <c r="G135" s="133">
        <f t="shared" si="24"/>
        <v>52.610533610533622</v>
      </c>
      <c r="H135" s="133">
        <f t="shared" si="24"/>
        <v>36.386522556484515</v>
      </c>
      <c r="I135" s="133"/>
      <c r="J135" s="347"/>
    </row>
    <row r="136" spans="1:10" x14ac:dyDescent="0.3">
      <c r="A136" s="75"/>
      <c r="B136" s="75"/>
      <c r="C136" s="136"/>
      <c r="D136" s="136"/>
      <c r="E136" s="136"/>
      <c r="F136" s="136"/>
      <c r="G136" s="136"/>
      <c r="H136" s="136"/>
      <c r="I136" s="136"/>
      <c r="J136" s="292"/>
    </row>
    <row r="137" spans="1:10" ht="15.5" x14ac:dyDescent="0.35">
      <c r="A137" s="209" t="s">
        <v>236</v>
      </c>
      <c r="B137" s="91"/>
    </row>
    <row r="138" spans="1:10" ht="15.5" x14ac:dyDescent="0.35">
      <c r="A138" s="209"/>
      <c r="B138" s="91"/>
    </row>
    <row r="139" spans="1:10" x14ac:dyDescent="0.3">
      <c r="A139" s="106" t="s">
        <v>299</v>
      </c>
      <c r="C139" s="78"/>
    </row>
    <row r="140" spans="1:10" x14ac:dyDescent="0.3">
      <c r="A140" s="106" t="s">
        <v>264</v>
      </c>
    </row>
    <row r="141" spans="1:10" x14ac:dyDescent="0.3">
      <c r="A141" s="102" t="s">
        <v>262</v>
      </c>
    </row>
    <row r="142" spans="1:10" x14ac:dyDescent="0.3">
      <c r="A142" s="106" t="s">
        <v>265</v>
      </c>
    </row>
    <row r="143" spans="1:10" x14ac:dyDescent="0.3">
      <c r="A143" s="206" t="s">
        <v>274</v>
      </c>
    </row>
    <row r="145" spans="1:2" x14ac:dyDescent="0.3">
      <c r="A145" s="11"/>
    </row>
    <row r="146" spans="1:2" x14ac:dyDescent="0.3">
      <c r="A146" s="260" t="s">
        <v>272</v>
      </c>
      <c r="B146" s="101"/>
    </row>
    <row r="147" spans="1:2" x14ac:dyDescent="0.3">
      <c r="A147" s="261" t="s">
        <v>273</v>
      </c>
      <c r="B147" s="101"/>
    </row>
    <row r="148" spans="1:2" x14ac:dyDescent="0.3">
      <c r="A148" s="11"/>
    </row>
  </sheetData>
  <sheetProtection sheet="1" objects="1" scenarios="1"/>
  <mergeCells count="2">
    <mergeCell ref="J81:P81"/>
    <mergeCell ref="J94:N95"/>
  </mergeCells>
  <hyperlinks>
    <hyperlink ref="J16" r:id="rId1" display="(mach. vc, p. 15" xr:uid="{00000000-0004-0000-0200-000000000000}"/>
    <hyperlink ref="J15" r:id="rId2" display="Custom rates" xr:uid="{00000000-0004-0000-0200-000001000000}"/>
    <hyperlink ref="J49" r:id="rId3" xr:uid="{00000000-0004-0000-0200-000002000000}"/>
    <hyperlink ref="A75" r:id="rId4" display="See the PFI Grazing Cover Crops fact sheet for on-farm results, http://www.practicalfarmers.org/app/uploads/2013/11/Grazing-Cover-Crops-Fact-Sheet-2013.pdf" xr:uid="{00000000-0004-0000-0200-000003000000}"/>
    <hyperlink ref="J99" r:id="rId5" tooltip="On-farm results of cover crop research from Practical Farmers of Iowa" xr:uid="{00000000-0004-0000-0200-000004000000}"/>
    <hyperlink ref="J106" r:id="rId6" display="(mach. vc, p. 15" xr:uid="{00000000-0004-0000-0200-000005000000}"/>
    <hyperlink ref="J105" r:id="rId7" display="Custom rates" xr:uid="{00000000-0004-0000-0200-000006000000}"/>
    <hyperlink ref="A143" r:id="rId8" xr:uid="{00000000-0004-0000-0200-000007000000}"/>
    <hyperlink ref="A3" r:id="rId9" display="See the Ag Decision Maker page, Economics of Cover Crops for more information." xr:uid="{00000000-0004-0000-0200-000008000000}"/>
    <hyperlink ref="J9" r:id="rId10" xr:uid="{00000000-0004-0000-0200-000009000000}"/>
    <hyperlink ref="J85" r:id="rId11" xr:uid="{00000000-0004-0000-0200-00000A000000}"/>
  </hyperlinks>
  <pageMargins left="0.7" right="0.7" top="0.75" bottom="0.75" header="0.3" footer="0.3"/>
  <pageSetup scale="49" fitToHeight="2" orientation="landscape" r:id="rId12"/>
  <rowBreaks count="1" manualBreakCount="1">
    <brk id="67" max="8" man="1"/>
  </rowBreaks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P155"/>
  <sheetViews>
    <sheetView showGridLines="0" zoomScale="80" zoomScaleNormal="80" workbookViewId="0"/>
  </sheetViews>
  <sheetFormatPr defaultColWidth="9" defaultRowHeight="14" x14ac:dyDescent="0.3"/>
  <cols>
    <col min="1" max="1" width="62.33203125" style="1" customWidth="1"/>
    <col min="2" max="2" width="17.1640625" style="1" customWidth="1"/>
    <col min="3" max="7" width="15.6640625" style="1" customWidth="1"/>
    <col min="8" max="8" width="16.33203125" style="1" customWidth="1"/>
    <col min="9" max="9" width="15.6640625" style="1" customWidth="1"/>
    <col min="10" max="10" width="15.6640625" style="268" customWidth="1"/>
    <col min="11" max="12" width="15.6640625" style="295" customWidth="1"/>
    <col min="13" max="13" width="19.6640625" style="295" customWidth="1"/>
    <col min="14" max="14" width="9.5" style="1" customWidth="1"/>
    <col min="15" max="16384" width="9" style="1"/>
  </cols>
  <sheetData>
    <row r="1" spans="1:13" s="99" customFormat="1" ht="20.5" thickBot="1" x14ac:dyDescent="0.45">
      <c r="A1" s="98" t="s">
        <v>164</v>
      </c>
      <c r="B1" s="98"/>
      <c r="J1" s="319"/>
      <c r="K1" s="293"/>
      <c r="L1" s="293"/>
      <c r="M1" s="293"/>
    </row>
    <row r="2" spans="1:13" s="97" customFormat="1" ht="16" thickTop="1" x14ac:dyDescent="0.35">
      <c r="A2" s="94" t="s">
        <v>126</v>
      </c>
      <c r="B2" s="94"/>
      <c r="J2" s="266"/>
      <c r="K2" s="294"/>
      <c r="L2" s="294"/>
      <c r="M2" s="294"/>
    </row>
    <row r="3" spans="1:13" s="96" customFormat="1" x14ac:dyDescent="0.3">
      <c r="A3" s="312" t="s">
        <v>278</v>
      </c>
      <c r="B3" s="95"/>
    </row>
    <row r="4" spans="1:13" s="96" customFormat="1" ht="12.5" x14ac:dyDescent="0.25">
      <c r="A4" s="95"/>
      <c r="B4" s="95"/>
      <c r="J4" s="266"/>
      <c r="K4" s="266"/>
      <c r="L4" s="266"/>
      <c r="M4" s="266"/>
    </row>
    <row r="5" spans="1:13" x14ac:dyDescent="0.3">
      <c r="A5" s="140" t="s">
        <v>0</v>
      </c>
      <c r="B5" s="2"/>
    </row>
    <row r="6" spans="1:13" x14ac:dyDescent="0.3">
      <c r="A6" s="2"/>
      <c r="B6" s="2"/>
    </row>
    <row r="7" spans="1:13" x14ac:dyDescent="0.3">
      <c r="A7" s="2" t="s">
        <v>1</v>
      </c>
      <c r="B7" s="2"/>
      <c r="C7" s="141" t="s">
        <v>62</v>
      </c>
      <c r="D7" s="142"/>
      <c r="E7" s="142"/>
      <c r="F7" s="143"/>
      <c r="G7" s="316" t="s">
        <v>61</v>
      </c>
      <c r="H7" s="144" t="s">
        <v>82</v>
      </c>
      <c r="J7" s="318" t="s">
        <v>286</v>
      </c>
    </row>
    <row r="8" spans="1:13" ht="15" thickBot="1" x14ac:dyDescent="0.4">
      <c r="A8" s="314" t="s">
        <v>280</v>
      </c>
      <c r="B8" s="2"/>
      <c r="C8" s="4"/>
      <c r="D8" s="4"/>
      <c r="J8" s="267"/>
    </row>
    <row r="9" spans="1:13" x14ac:dyDescent="0.3">
      <c r="A9" s="118" t="s">
        <v>141</v>
      </c>
      <c r="B9" s="215"/>
      <c r="C9" s="196" t="s">
        <v>2</v>
      </c>
      <c r="D9" s="196" t="s">
        <v>3</v>
      </c>
      <c r="E9" s="196" t="s">
        <v>4</v>
      </c>
      <c r="F9" s="196" t="s">
        <v>5</v>
      </c>
      <c r="G9" s="196" t="s">
        <v>41</v>
      </c>
      <c r="H9" s="197" t="s">
        <v>23</v>
      </c>
      <c r="J9" s="320" t="s">
        <v>285</v>
      </c>
    </row>
    <row r="10" spans="1:13" ht="15.5" x14ac:dyDescent="0.35">
      <c r="A10" s="191" t="s">
        <v>125</v>
      </c>
      <c r="B10" s="75"/>
      <c r="C10" s="11"/>
      <c r="D10" s="11"/>
      <c r="E10" s="11"/>
      <c r="F10" s="11"/>
      <c r="G10" s="11"/>
      <c r="H10" s="10"/>
      <c r="I10" s="8"/>
    </row>
    <row r="11" spans="1:13" ht="30.25" customHeight="1" x14ac:dyDescent="0.3">
      <c r="A11" s="109" t="s">
        <v>80</v>
      </c>
      <c r="B11" s="11"/>
      <c r="C11" s="145" t="s">
        <v>63</v>
      </c>
      <c r="D11" s="145" t="s">
        <v>78</v>
      </c>
      <c r="E11" s="145" t="s">
        <v>64</v>
      </c>
      <c r="F11" s="145" t="s">
        <v>79</v>
      </c>
      <c r="G11" s="145" t="s">
        <v>65</v>
      </c>
      <c r="H11" s="10"/>
    </row>
    <row r="12" spans="1:13" x14ac:dyDescent="0.3">
      <c r="A12" s="175" t="s">
        <v>81</v>
      </c>
      <c r="B12" s="178" t="s">
        <v>84</v>
      </c>
      <c r="C12" s="148">
        <v>50</v>
      </c>
      <c r="D12" s="148">
        <v>40</v>
      </c>
      <c r="E12" s="148">
        <v>66</v>
      </c>
      <c r="F12" s="148">
        <v>18</v>
      </c>
      <c r="G12" s="148">
        <v>48</v>
      </c>
      <c r="H12" s="36">
        <f>SUM(C12:G12)</f>
        <v>222</v>
      </c>
    </row>
    <row r="13" spans="1:13" x14ac:dyDescent="0.3">
      <c r="A13" s="175" t="s">
        <v>178</v>
      </c>
      <c r="B13" s="173" t="s">
        <v>177</v>
      </c>
      <c r="C13" s="147">
        <v>10</v>
      </c>
      <c r="D13" s="147">
        <v>5</v>
      </c>
      <c r="E13" s="147">
        <v>9</v>
      </c>
      <c r="F13" s="147">
        <v>8</v>
      </c>
      <c r="G13" s="147">
        <v>10</v>
      </c>
      <c r="H13" s="12">
        <f>SUMPRODUCT(C$12:G$12,C13:G13)</f>
        <v>1918</v>
      </c>
      <c r="J13" s="269" t="s">
        <v>257</v>
      </c>
    </row>
    <row r="14" spans="1:13" x14ac:dyDescent="0.3">
      <c r="A14" s="175" t="s">
        <v>179</v>
      </c>
      <c r="B14" s="173" t="s">
        <v>177</v>
      </c>
      <c r="C14" s="147"/>
      <c r="D14" s="147">
        <v>7</v>
      </c>
      <c r="E14" s="147"/>
      <c r="F14" s="147">
        <v>5</v>
      </c>
      <c r="G14" s="147"/>
      <c r="H14" s="12">
        <f>SUMPRODUCT(C$12:G$12,C14:G14)</f>
        <v>370</v>
      </c>
      <c r="J14" s="273"/>
    </row>
    <row r="15" spans="1:13" ht="14.5" x14ac:dyDescent="0.35">
      <c r="A15" s="175" t="s">
        <v>180</v>
      </c>
      <c r="B15" s="173" t="s">
        <v>177</v>
      </c>
      <c r="C15" s="147">
        <v>15</v>
      </c>
      <c r="D15" s="147">
        <v>12</v>
      </c>
      <c r="E15" s="147"/>
      <c r="F15" s="147"/>
      <c r="G15" s="147"/>
      <c r="H15" s="12">
        <f>SUMPRODUCT(C$12:G$12,C15:G15)</f>
        <v>1230</v>
      </c>
      <c r="J15" s="271" t="s">
        <v>207</v>
      </c>
    </row>
    <row r="16" spans="1:13" ht="14.5" x14ac:dyDescent="0.35">
      <c r="A16" s="175" t="s">
        <v>181</v>
      </c>
      <c r="B16" s="173" t="s">
        <v>177</v>
      </c>
      <c r="C16" s="147"/>
      <c r="D16" s="147"/>
      <c r="E16" s="147">
        <v>5</v>
      </c>
      <c r="F16" s="147">
        <v>5</v>
      </c>
      <c r="G16" s="147">
        <v>5</v>
      </c>
      <c r="H16" s="12">
        <f>SUMPRODUCT(C$12:G$12,C16:G16)</f>
        <v>660</v>
      </c>
      <c r="J16" s="271" t="s">
        <v>208</v>
      </c>
    </row>
    <row r="17" spans="1:13" x14ac:dyDescent="0.3">
      <c r="A17" s="110" t="s">
        <v>183</v>
      </c>
      <c r="B17" s="174" t="s">
        <v>253</v>
      </c>
      <c r="C17" s="148">
        <v>3</v>
      </c>
      <c r="D17" s="148">
        <v>5</v>
      </c>
      <c r="E17" s="148">
        <v>2</v>
      </c>
      <c r="F17" s="148">
        <v>5</v>
      </c>
      <c r="G17" s="148">
        <v>4</v>
      </c>
      <c r="H17" s="216"/>
      <c r="J17" s="286"/>
    </row>
    <row r="18" spans="1:13" ht="17" x14ac:dyDescent="0.6">
      <c r="A18" s="175" t="s">
        <v>185</v>
      </c>
      <c r="B18" s="147">
        <v>12</v>
      </c>
      <c r="C18" s="190" t="s">
        <v>184</v>
      </c>
      <c r="D18" s="15"/>
      <c r="E18" s="15"/>
      <c r="F18" s="15"/>
      <c r="G18" s="15"/>
      <c r="H18" s="16">
        <f>SUM(C17:G17)*B18</f>
        <v>228</v>
      </c>
    </row>
    <row r="19" spans="1:13" ht="14.5" thickBot="1" x14ac:dyDescent="0.35">
      <c r="A19" s="230" t="s">
        <v>250</v>
      </c>
      <c r="B19" s="41"/>
      <c r="C19" s="67">
        <f t="shared" ref="C19:G19" si="0">SUM(C13:C16)*C12+C17*$B18</f>
        <v>1286</v>
      </c>
      <c r="D19" s="67">
        <f t="shared" si="0"/>
        <v>1020</v>
      </c>
      <c r="E19" s="67">
        <f t="shared" si="0"/>
        <v>948</v>
      </c>
      <c r="F19" s="67">
        <f t="shared" si="0"/>
        <v>384</v>
      </c>
      <c r="G19" s="67">
        <f t="shared" si="0"/>
        <v>768</v>
      </c>
      <c r="H19" s="18">
        <f>SUM(H13:H18)</f>
        <v>4406</v>
      </c>
      <c r="J19" s="272"/>
      <c r="M19" s="296"/>
    </row>
    <row r="20" spans="1:13" ht="14.5" thickBot="1" x14ac:dyDescent="0.35">
      <c r="A20" s="9"/>
      <c r="B20" s="11"/>
      <c r="C20" s="19"/>
      <c r="D20" s="15"/>
      <c r="E20" s="15"/>
      <c r="F20" s="15"/>
      <c r="G20" s="19"/>
      <c r="H20" s="15"/>
      <c r="J20" s="272"/>
    </row>
    <row r="21" spans="1:13" ht="15.5" x14ac:dyDescent="0.35">
      <c r="A21" s="180" t="s">
        <v>74</v>
      </c>
      <c r="B21" s="119"/>
      <c r="C21" s="5" t="str">
        <f>C$9</f>
        <v>Field 1</v>
      </c>
      <c r="D21" s="5" t="str">
        <f t="shared" ref="D21:H21" si="1">D$9</f>
        <v>Field 2</v>
      </c>
      <c r="E21" s="5" t="str">
        <f t="shared" si="1"/>
        <v>Field 3</v>
      </c>
      <c r="F21" s="5" t="str">
        <f t="shared" si="1"/>
        <v>Field 4</v>
      </c>
      <c r="G21" s="5" t="str">
        <f t="shared" si="1"/>
        <v>Field 5</v>
      </c>
      <c r="H21" s="6" t="str">
        <f t="shared" si="1"/>
        <v>Whole Farm</v>
      </c>
    </row>
    <row r="22" spans="1:13" x14ac:dyDescent="0.3">
      <c r="A22" s="176" t="s">
        <v>187</v>
      </c>
      <c r="B22" s="173" t="s">
        <v>177</v>
      </c>
      <c r="C22" s="147"/>
      <c r="D22" s="147"/>
      <c r="E22" s="147">
        <v>4</v>
      </c>
      <c r="F22" s="147"/>
      <c r="G22" s="147"/>
      <c r="H22" s="12">
        <f>SUMPRODUCT(C$12:G$12,C22:G22)</f>
        <v>264</v>
      </c>
      <c r="J22" s="273" t="s">
        <v>171</v>
      </c>
    </row>
    <row r="23" spans="1:13" ht="14.5" x14ac:dyDescent="0.35">
      <c r="A23" s="176" t="s">
        <v>188</v>
      </c>
      <c r="B23" s="173" t="s">
        <v>177</v>
      </c>
      <c r="C23" s="147"/>
      <c r="D23" s="147"/>
      <c r="E23" s="147"/>
      <c r="F23" s="147"/>
      <c r="G23" s="147"/>
      <c r="H23" s="12">
        <f>SUMPRODUCT(C$12:G$12,C23:G23)</f>
        <v>0</v>
      </c>
      <c r="J23" s="273" t="s">
        <v>172</v>
      </c>
    </row>
    <row r="24" spans="1:13" ht="14.5" x14ac:dyDescent="0.35">
      <c r="A24" s="176" t="s">
        <v>189</v>
      </c>
      <c r="B24" s="173" t="s">
        <v>177</v>
      </c>
      <c r="C24" s="147"/>
      <c r="D24" s="147"/>
      <c r="E24" s="147">
        <v>3</v>
      </c>
      <c r="F24" s="147"/>
      <c r="G24" s="147"/>
      <c r="H24" s="12">
        <f>SUMPRODUCT(C$12:G$12,C24:G24)</f>
        <v>198</v>
      </c>
      <c r="J24" s="273" t="s">
        <v>172</v>
      </c>
    </row>
    <row r="25" spans="1:13" ht="14.5" x14ac:dyDescent="0.35">
      <c r="A25" s="175" t="s">
        <v>190</v>
      </c>
      <c r="B25" s="173" t="s">
        <v>177</v>
      </c>
      <c r="C25" s="147"/>
      <c r="D25" s="147"/>
      <c r="E25" s="147"/>
      <c r="F25" s="147"/>
      <c r="G25" s="147"/>
      <c r="H25" s="12">
        <f>SUMPRODUCT(C$12:G$12,C25:G25)</f>
        <v>0</v>
      </c>
      <c r="J25" s="273" t="s">
        <v>173</v>
      </c>
    </row>
    <row r="26" spans="1:13" ht="14.5" x14ac:dyDescent="0.35">
      <c r="A26" s="175" t="s">
        <v>225</v>
      </c>
      <c r="B26" s="173" t="s">
        <v>177</v>
      </c>
      <c r="C26" s="147"/>
      <c r="D26" s="148"/>
      <c r="E26" s="147"/>
      <c r="F26" s="147"/>
      <c r="G26" s="147"/>
      <c r="H26" s="12">
        <f>SUMPRODUCT(C$12:G$12,C26:G26)</f>
        <v>0</v>
      </c>
      <c r="J26" s="273" t="s">
        <v>173</v>
      </c>
    </row>
    <row r="27" spans="1:13" ht="17" x14ac:dyDescent="0.6">
      <c r="A27" s="110" t="s">
        <v>191</v>
      </c>
      <c r="B27" s="174" t="s">
        <v>253</v>
      </c>
      <c r="C27" s="148"/>
      <c r="D27" s="148"/>
      <c r="E27" s="148">
        <v>3</v>
      </c>
      <c r="F27" s="148"/>
      <c r="G27" s="148"/>
      <c r="H27" s="22">
        <f>SUM(C27:G27)*B18</f>
        <v>36</v>
      </c>
      <c r="J27" s="273" t="s">
        <v>174</v>
      </c>
    </row>
    <row r="28" spans="1:13" ht="14.5" thickBot="1" x14ac:dyDescent="0.35">
      <c r="A28" s="23" t="s">
        <v>251</v>
      </c>
      <c r="B28" s="121"/>
      <c r="C28" s="67">
        <f t="shared" ref="C28:G28" si="2">SUM(C22:C26)*C12+C27*$B18</f>
        <v>0</v>
      </c>
      <c r="D28" s="67">
        <f t="shared" si="2"/>
        <v>0</v>
      </c>
      <c r="E28" s="67">
        <f t="shared" si="2"/>
        <v>498</v>
      </c>
      <c r="F28" s="67">
        <f t="shared" si="2"/>
        <v>0</v>
      </c>
      <c r="G28" s="67">
        <f t="shared" si="2"/>
        <v>0</v>
      </c>
      <c r="H28" s="24">
        <f>SUM(H22:H27)</f>
        <v>498</v>
      </c>
      <c r="J28" s="286"/>
    </row>
    <row r="29" spans="1:13" ht="14.5" thickBot="1" x14ac:dyDescent="0.35">
      <c r="A29" s="14"/>
      <c r="B29" s="122"/>
      <c r="C29" s="15"/>
      <c r="D29" s="15"/>
      <c r="E29" s="15"/>
      <c r="F29" s="15"/>
      <c r="G29" s="19"/>
      <c r="H29" s="13"/>
    </row>
    <row r="30" spans="1:13" ht="15.5" x14ac:dyDescent="0.35">
      <c r="A30" s="180" t="s">
        <v>49</v>
      </c>
      <c r="B30" s="119"/>
      <c r="C30" s="25"/>
      <c r="D30" s="25"/>
      <c r="E30" s="25"/>
      <c r="F30" s="25"/>
      <c r="G30" s="25"/>
      <c r="H30" s="26"/>
    </row>
    <row r="31" spans="1:13" x14ac:dyDescent="0.3">
      <c r="A31" s="27" t="s">
        <v>50</v>
      </c>
      <c r="B31" s="134"/>
      <c r="C31" s="7" t="str">
        <f>C$9</f>
        <v>Field 1</v>
      </c>
      <c r="D31" s="7" t="str">
        <f t="shared" ref="D31:H31" si="3">D$9</f>
        <v>Field 2</v>
      </c>
      <c r="E31" s="7" t="str">
        <f t="shared" si="3"/>
        <v>Field 3</v>
      </c>
      <c r="F31" s="7" t="str">
        <f t="shared" si="3"/>
        <v>Field 4</v>
      </c>
      <c r="G31" s="7" t="str">
        <f t="shared" si="3"/>
        <v>Field 5</v>
      </c>
      <c r="H31" s="28" t="str">
        <f t="shared" si="3"/>
        <v>Whole Farm</v>
      </c>
    </row>
    <row r="32" spans="1:13" x14ac:dyDescent="0.3">
      <c r="A32" s="109" t="s">
        <v>9</v>
      </c>
      <c r="B32" s="11"/>
      <c r="C32" s="144" t="s">
        <v>40</v>
      </c>
      <c r="D32" s="144" t="s">
        <v>40</v>
      </c>
      <c r="E32" s="144" t="s">
        <v>40</v>
      </c>
      <c r="F32" s="144" t="s">
        <v>68</v>
      </c>
      <c r="G32" s="144" t="s">
        <v>68</v>
      </c>
      <c r="H32" s="12"/>
      <c r="J32" s="274" t="s">
        <v>97</v>
      </c>
    </row>
    <row r="33" spans="1:10" x14ac:dyDescent="0.3">
      <c r="A33" s="175" t="s">
        <v>226</v>
      </c>
      <c r="B33" s="178" t="s">
        <v>255</v>
      </c>
      <c r="C33" s="148">
        <v>200</v>
      </c>
      <c r="D33" s="148">
        <v>200</v>
      </c>
      <c r="E33" s="148">
        <v>200</v>
      </c>
      <c r="F33" s="148">
        <v>50</v>
      </c>
      <c r="G33" s="148">
        <v>50</v>
      </c>
      <c r="H33" s="12"/>
      <c r="J33" s="269"/>
    </row>
    <row r="34" spans="1:10" x14ac:dyDescent="0.3">
      <c r="A34" s="175" t="s">
        <v>237</v>
      </c>
      <c r="B34" s="173" t="s">
        <v>194</v>
      </c>
      <c r="C34" s="147">
        <v>3.2</v>
      </c>
      <c r="D34" s="147">
        <v>3.2</v>
      </c>
      <c r="E34" s="147">
        <v>3.2</v>
      </c>
      <c r="F34" s="147">
        <v>9</v>
      </c>
      <c r="G34" s="147">
        <v>9</v>
      </c>
      <c r="H34" s="12"/>
      <c r="J34" s="269"/>
    </row>
    <row r="35" spans="1:10" x14ac:dyDescent="0.3">
      <c r="A35" s="139" t="s">
        <v>192</v>
      </c>
      <c r="B35" s="177" t="s">
        <v>193</v>
      </c>
      <c r="C35" s="149">
        <v>-0.01</v>
      </c>
      <c r="D35" s="149">
        <v>-0.01</v>
      </c>
      <c r="E35" s="149">
        <v>-0.01</v>
      </c>
      <c r="F35" s="153">
        <v>0.02</v>
      </c>
      <c r="G35" s="153">
        <v>0.02</v>
      </c>
      <c r="H35" s="12"/>
      <c r="J35" s="269"/>
    </row>
    <row r="36" spans="1:10" x14ac:dyDescent="0.3">
      <c r="A36" s="175" t="s">
        <v>204</v>
      </c>
      <c r="B36" s="173" t="s">
        <v>177</v>
      </c>
      <c r="C36" s="30">
        <f t="shared" ref="C36:G36" si="4">C33*C34*C35</f>
        <v>-6.4</v>
      </c>
      <c r="D36" s="30">
        <f t="shared" si="4"/>
        <v>-6.4</v>
      </c>
      <c r="E36" s="30">
        <f t="shared" si="4"/>
        <v>-6.4</v>
      </c>
      <c r="F36" s="30">
        <f t="shared" si="4"/>
        <v>9</v>
      </c>
      <c r="G36" s="30">
        <f t="shared" si="4"/>
        <v>9</v>
      </c>
      <c r="H36" s="12">
        <f>SUMPRODUCT(C36:G36,C12:G12)</f>
        <v>-404.40000000000009</v>
      </c>
      <c r="J36" s="269" t="s">
        <v>135</v>
      </c>
    </row>
    <row r="37" spans="1:10" x14ac:dyDescent="0.3">
      <c r="A37" s="9"/>
      <c r="B37" s="11"/>
      <c r="C37" s="11"/>
      <c r="D37" s="11"/>
      <c r="E37" s="11"/>
      <c r="F37" s="11"/>
      <c r="G37" s="11"/>
      <c r="H37" s="10"/>
      <c r="J37" s="269"/>
    </row>
    <row r="38" spans="1:10" x14ac:dyDescent="0.3">
      <c r="A38" s="32" t="s">
        <v>98</v>
      </c>
      <c r="B38" s="75"/>
      <c r="C38" s="33"/>
      <c r="D38" s="11"/>
      <c r="E38" s="11"/>
      <c r="F38" s="11"/>
      <c r="G38" s="11"/>
      <c r="H38" s="12"/>
      <c r="J38" s="269"/>
    </row>
    <row r="39" spans="1:10" x14ac:dyDescent="0.3">
      <c r="A39" s="175" t="s">
        <v>238</v>
      </c>
      <c r="B39" s="173" t="s">
        <v>177</v>
      </c>
      <c r="C39" s="150">
        <v>25</v>
      </c>
      <c r="D39" s="151">
        <v>20</v>
      </c>
      <c r="E39" s="151">
        <v>30</v>
      </c>
      <c r="F39" s="151">
        <v>28</v>
      </c>
      <c r="G39" s="155"/>
      <c r="H39" s="12">
        <f>SUMPRODUCT(C39:G39,C$41:G$41)</f>
        <v>2513</v>
      </c>
      <c r="J39" s="269"/>
    </row>
    <row r="40" spans="1:10" x14ac:dyDescent="0.3">
      <c r="A40" s="214" t="s">
        <v>239</v>
      </c>
      <c r="B40" s="173" t="s">
        <v>177</v>
      </c>
      <c r="C40" s="151"/>
      <c r="D40" s="162"/>
      <c r="E40" s="162"/>
      <c r="F40" s="162"/>
      <c r="G40" s="162">
        <v>5</v>
      </c>
      <c r="H40" s="12">
        <f>SUMPRODUCT(C40:G40,C$41:G$41)</f>
        <v>220</v>
      </c>
      <c r="J40" s="269" t="s">
        <v>301</v>
      </c>
    </row>
    <row r="41" spans="1:10" x14ac:dyDescent="0.3">
      <c r="A41" s="176" t="s">
        <v>186</v>
      </c>
      <c r="B41" s="179" t="s">
        <v>176</v>
      </c>
      <c r="C41" s="148">
        <v>25</v>
      </c>
      <c r="D41" s="148">
        <v>20</v>
      </c>
      <c r="E41" s="148">
        <v>16</v>
      </c>
      <c r="F41" s="148">
        <v>36</v>
      </c>
      <c r="G41" s="148">
        <v>44</v>
      </c>
      <c r="H41" s="12"/>
    </row>
    <row r="42" spans="1:10" x14ac:dyDescent="0.3">
      <c r="A42" s="34"/>
      <c r="B42" s="44"/>
      <c r="C42" s="64"/>
      <c r="D42" s="64"/>
      <c r="E42" s="13"/>
      <c r="F42" s="11"/>
      <c r="G42" s="11"/>
      <c r="H42" s="10"/>
    </row>
    <row r="43" spans="1:10" x14ac:dyDescent="0.3">
      <c r="A43" s="32" t="s">
        <v>117</v>
      </c>
      <c r="B43" s="75"/>
      <c r="C43" s="194" t="str">
        <f>C$9</f>
        <v>Field 1</v>
      </c>
      <c r="D43" s="194" t="str">
        <f t="shared" ref="D43:H43" si="5">D$9</f>
        <v>Field 2</v>
      </c>
      <c r="E43" s="194" t="str">
        <f t="shared" si="5"/>
        <v>Field 3</v>
      </c>
      <c r="F43" s="194" t="str">
        <f t="shared" si="5"/>
        <v>Field 4</v>
      </c>
      <c r="G43" s="194" t="str">
        <f t="shared" si="5"/>
        <v>Field 5</v>
      </c>
      <c r="H43" s="247" t="str">
        <f t="shared" si="5"/>
        <v>Whole Farm</v>
      </c>
    </row>
    <row r="44" spans="1:10" x14ac:dyDescent="0.3">
      <c r="A44" s="176" t="s">
        <v>267</v>
      </c>
      <c r="B44" s="173" t="s">
        <v>177</v>
      </c>
      <c r="C44" s="147"/>
      <c r="D44" s="147"/>
      <c r="E44" s="147"/>
      <c r="F44" s="147"/>
      <c r="G44" s="147"/>
      <c r="H44" s="12">
        <f>SUMPRODUCT(C44:G44,C$12:G$12)</f>
        <v>0</v>
      </c>
    </row>
    <row r="45" spans="1:10" x14ac:dyDescent="0.3">
      <c r="A45" s="175" t="s">
        <v>269</v>
      </c>
      <c r="B45" s="173" t="s">
        <v>177</v>
      </c>
      <c r="C45" s="150"/>
      <c r="D45" s="150"/>
      <c r="E45" s="150"/>
      <c r="F45" s="150"/>
      <c r="G45" s="150"/>
      <c r="H45" s="12">
        <f>SUMPRODUCT(C45:G45,C$12:G$12)</f>
        <v>0</v>
      </c>
    </row>
    <row r="46" spans="1:10" ht="14.5" thickBot="1" x14ac:dyDescent="0.35">
      <c r="A46" s="182" t="s">
        <v>276</v>
      </c>
      <c r="B46" s="181" t="s">
        <v>177</v>
      </c>
      <c r="C46" s="154"/>
      <c r="D46" s="154">
        <v>8</v>
      </c>
      <c r="E46" s="154"/>
      <c r="F46" s="154"/>
      <c r="G46" s="154"/>
      <c r="H46" s="24">
        <f>SUMPRODUCT(C46:G46,C$12:G$12)</f>
        <v>320</v>
      </c>
    </row>
    <row r="47" spans="1:10" ht="14.5" thickBot="1" x14ac:dyDescent="0.35">
      <c r="A47" s="34"/>
      <c r="B47" s="44"/>
      <c r="C47" s="2"/>
      <c r="D47" s="2"/>
      <c r="E47" s="2"/>
      <c r="F47" s="11"/>
      <c r="G47" s="7"/>
      <c r="H47" s="13"/>
    </row>
    <row r="48" spans="1:10" ht="15.5" x14ac:dyDescent="0.35">
      <c r="A48" s="220" t="s">
        <v>248</v>
      </c>
      <c r="B48" s="221"/>
      <c r="C48" s="222"/>
      <c r="D48" s="222"/>
      <c r="E48" s="222"/>
      <c r="F48" s="222"/>
      <c r="G48" s="223"/>
      <c r="H48" s="233"/>
      <c r="I48" s="224"/>
    </row>
    <row r="49" spans="1:13" x14ac:dyDescent="0.3">
      <c r="A49" s="225" t="s">
        <v>290</v>
      </c>
      <c r="B49" s="7" t="s">
        <v>10</v>
      </c>
      <c r="C49" s="226"/>
      <c r="D49" s="11"/>
      <c r="E49" s="11"/>
      <c r="F49" s="11"/>
      <c r="G49" s="11"/>
      <c r="H49" s="7" t="s">
        <v>7</v>
      </c>
      <c r="I49" s="10"/>
      <c r="J49" s="297" t="s">
        <v>34</v>
      </c>
      <c r="K49" s="298"/>
      <c r="L49" s="276" t="s">
        <v>36</v>
      </c>
      <c r="M49" s="277" t="s">
        <v>259</v>
      </c>
    </row>
    <row r="50" spans="1:13" x14ac:dyDescent="0.3">
      <c r="A50" s="139" t="s">
        <v>287</v>
      </c>
      <c r="B50" s="146">
        <v>30</v>
      </c>
      <c r="C50" s="227" t="s">
        <v>256</v>
      </c>
      <c r="D50" s="11"/>
      <c r="E50" s="11"/>
      <c r="F50" s="11"/>
      <c r="G50" s="11"/>
      <c r="H50" s="13">
        <f>B50*B52</f>
        <v>360</v>
      </c>
      <c r="I50" s="10"/>
      <c r="J50" s="299" t="s">
        <v>30</v>
      </c>
      <c r="K50" s="279"/>
      <c r="L50" s="279">
        <v>1.93</v>
      </c>
      <c r="M50" s="280">
        <v>20</v>
      </c>
    </row>
    <row r="51" spans="1:13" x14ac:dyDescent="0.3">
      <c r="A51" s="175" t="s">
        <v>292</v>
      </c>
      <c r="B51" s="146">
        <v>42</v>
      </c>
      <c r="C51" s="227" t="s">
        <v>256</v>
      </c>
      <c r="D51" s="11"/>
      <c r="E51" s="11"/>
      <c r="F51" s="11"/>
      <c r="G51" s="11"/>
      <c r="H51" s="249">
        <f>B51*B52</f>
        <v>504</v>
      </c>
      <c r="I51" s="10"/>
      <c r="J51" s="299" t="s">
        <v>31</v>
      </c>
      <c r="K51" s="279"/>
      <c r="L51" s="279">
        <v>1.48</v>
      </c>
      <c r="M51" s="280">
        <v>20</v>
      </c>
    </row>
    <row r="52" spans="1:13" x14ac:dyDescent="0.3">
      <c r="A52" s="175" t="s">
        <v>288</v>
      </c>
      <c r="B52" s="163">
        <v>12</v>
      </c>
      <c r="C52" s="229" t="s">
        <v>43</v>
      </c>
      <c r="D52" s="11"/>
      <c r="E52" s="11"/>
      <c r="F52" s="11"/>
      <c r="G52" s="11"/>
      <c r="H52" s="13"/>
      <c r="I52" s="10"/>
      <c r="J52" s="299" t="s">
        <v>32</v>
      </c>
      <c r="K52" s="279"/>
      <c r="L52" s="279">
        <v>1.24</v>
      </c>
      <c r="M52" s="280">
        <v>25</v>
      </c>
    </row>
    <row r="53" spans="1:13" x14ac:dyDescent="0.3">
      <c r="A53" s="9"/>
      <c r="B53" s="11"/>
      <c r="C53" s="2"/>
      <c r="D53" s="11"/>
      <c r="E53" s="11"/>
      <c r="F53" s="11"/>
      <c r="G53" s="11"/>
      <c r="H53" s="11"/>
      <c r="I53" s="10"/>
      <c r="J53" s="299" t="s">
        <v>33</v>
      </c>
      <c r="K53" s="279"/>
      <c r="L53" s="279">
        <v>0.89</v>
      </c>
      <c r="M53" s="280">
        <v>25</v>
      </c>
    </row>
    <row r="54" spans="1:13" x14ac:dyDescent="0.3">
      <c r="A54" s="32" t="s">
        <v>261</v>
      </c>
      <c r="B54" s="11"/>
      <c r="C54" s="2"/>
      <c r="D54" s="11"/>
      <c r="E54" s="11"/>
      <c r="F54" s="11"/>
      <c r="G54" s="11"/>
      <c r="H54" s="11"/>
      <c r="I54" s="10"/>
      <c r="J54" s="299"/>
      <c r="K54" s="279"/>
      <c r="L54" s="279"/>
      <c r="M54" s="280"/>
    </row>
    <row r="55" spans="1:13" x14ac:dyDescent="0.3">
      <c r="A55" s="9"/>
      <c r="B55" s="75"/>
      <c r="C55" s="7" t="str">
        <f>C$9</f>
        <v>Field 1</v>
      </c>
      <c r="D55" s="7" t="str">
        <f t="shared" ref="D55:H55" si="6">D$9</f>
        <v>Field 2</v>
      </c>
      <c r="E55" s="7" t="str">
        <f t="shared" si="6"/>
        <v>Field 3</v>
      </c>
      <c r="F55" s="7" t="str">
        <f t="shared" si="6"/>
        <v>Field 4</v>
      </c>
      <c r="G55" s="7" t="str">
        <f t="shared" si="6"/>
        <v>Field 5</v>
      </c>
      <c r="H55" s="7" t="str">
        <f t="shared" si="6"/>
        <v>Whole Farm</v>
      </c>
      <c r="I55" s="10"/>
      <c r="J55" s="300" t="s">
        <v>139</v>
      </c>
      <c r="K55" s="282"/>
      <c r="L55" s="282">
        <v>0.2</v>
      </c>
      <c r="M55" s="283">
        <v>4</v>
      </c>
    </row>
    <row r="56" spans="1:13" x14ac:dyDescent="0.3">
      <c r="A56" s="175" t="s">
        <v>212</v>
      </c>
      <c r="B56" s="173" t="s">
        <v>209</v>
      </c>
      <c r="C56" s="147">
        <v>0.89</v>
      </c>
      <c r="D56" s="147"/>
      <c r="E56" s="147">
        <v>0.89</v>
      </c>
      <c r="F56" s="147"/>
      <c r="G56" s="147">
        <v>0.89</v>
      </c>
      <c r="H56" s="13"/>
      <c r="I56" s="10"/>
      <c r="J56" s="269" t="s">
        <v>132</v>
      </c>
    </row>
    <row r="57" spans="1:13" x14ac:dyDescent="0.3">
      <c r="A57" s="175" t="s">
        <v>240</v>
      </c>
      <c r="B57" s="173" t="s">
        <v>156</v>
      </c>
      <c r="C57" s="148">
        <v>25</v>
      </c>
      <c r="D57" s="148"/>
      <c r="E57" s="148">
        <v>25</v>
      </c>
      <c r="F57" s="148"/>
      <c r="G57" s="148">
        <v>25</v>
      </c>
      <c r="H57" s="13"/>
      <c r="I57" s="234"/>
      <c r="J57" s="269"/>
    </row>
    <row r="58" spans="1:13" x14ac:dyDescent="0.3">
      <c r="A58" s="109" t="s">
        <v>37</v>
      </c>
      <c r="B58" s="173" t="s">
        <v>158</v>
      </c>
      <c r="C58" s="19">
        <f>IF(C56&gt;0,4*(C12*43560)^0.5,0)</f>
        <v>5903.2194605994446</v>
      </c>
      <c r="D58" s="19">
        <f t="shared" ref="D58:G58" si="7">IF(D56&gt;0,4*(D12*43560)^0.5,0)</f>
        <v>0</v>
      </c>
      <c r="E58" s="19">
        <f t="shared" si="7"/>
        <v>6782.2828015351879</v>
      </c>
      <c r="F58" s="19">
        <f t="shared" si="7"/>
        <v>0</v>
      </c>
      <c r="G58" s="19">
        <f t="shared" si="7"/>
        <v>5783.9502072545538</v>
      </c>
      <c r="H58" s="50">
        <f>SUM(C58:G58)</f>
        <v>18469.452469389187</v>
      </c>
      <c r="I58" s="241" t="s">
        <v>158</v>
      </c>
      <c r="J58" s="269"/>
    </row>
    <row r="59" spans="1:13" x14ac:dyDescent="0.3">
      <c r="A59" s="175" t="s">
        <v>211</v>
      </c>
      <c r="B59" s="173" t="s">
        <v>209</v>
      </c>
      <c r="C59" s="147"/>
      <c r="D59" s="147">
        <v>0.2</v>
      </c>
      <c r="E59" s="147"/>
      <c r="F59" s="147">
        <v>0.2</v>
      </c>
      <c r="G59" s="147"/>
      <c r="H59" s="11"/>
      <c r="I59" s="10"/>
      <c r="J59" s="269" t="s">
        <v>132</v>
      </c>
    </row>
    <row r="60" spans="1:13" x14ac:dyDescent="0.3">
      <c r="A60" s="175" t="s">
        <v>213</v>
      </c>
      <c r="B60" s="173" t="s">
        <v>156</v>
      </c>
      <c r="C60" s="148"/>
      <c r="D60" s="148">
        <v>4</v>
      </c>
      <c r="E60" s="148"/>
      <c r="F60" s="148">
        <v>4</v>
      </c>
      <c r="G60" s="148"/>
      <c r="H60" s="11"/>
      <c r="I60" s="234"/>
      <c r="J60" s="269"/>
    </row>
    <row r="61" spans="1:13" x14ac:dyDescent="0.3">
      <c r="A61" s="109" t="s">
        <v>39</v>
      </c>
      <c r="B61" s="179" t="s">
        <v>157</v>
      </c>
      <c r="C61" s="148"/>
      <c r="D61" s="148">
        <v>2</v>
      </c>
      <c r="E61" s="148"/>
      <c r="F61" s="148">
        <v>2</v>
      </c>
      <c r="G61" s="148"/>
      <c r="H61" s="13"/>
      <c r="I61" s="242"/>
      <c r="J61" s="269"/>
    </row>
    <row r="62" spans="1:13" x14ac:dyDescent="0.3">
      <c r="A62" s="109" t="s">
        <v>38</v>
      </c>
      <c r="B62" s="11"/>
      <c r="C62" s="19">
        <f>IF(C59&gt;0,C61*(C12*43560)^0.5,0)</f>
        <v>0</v>
      </c>
      <c r="D62" s="19">
        <f>IF(D59&gt;0,D61*(D12*43560)^0.5,0)</f>
        <v>2640</v>
      </c>
      <c r="E62" s="19">
        <f>IF(E59&gt;0,E61*(E12*43560)^0.5,0)</f>
        <v>0</v>
      </c>
      <c r="F62" s="19">
        <f>IF(F59&gt;0,F61*(F12*43560)^0.5,0)</f>
        <v>1770.9658381798333</v>
      </c>
      <c r="G62" s="19">
        <f>IF(G59&gt;0,G61*(G12*43560)^0.5,0)</f>
        <v>0</v>
      </c>
      <c r="H62" s="50">
        <f>SUM(C62:G62)</f>
        <v>4410.9658381798336</v>
      </c>
      <c r="I62" s="242" t="s">
        <v>158</v>
      </c>
      <c r="J62" s="321"/>
      <c r="K62" s="301"/>
      <c r="L62" s="302"/>
    </row>
    <row r="63" spans="1:13" x14ac:dyDescent="0.3">
      <c r="A63" s="109" t="s">
        <v>75</v>
      </c>
      <c r="B63" s="11"/>
      <c r="C63" s="38">
        <f t="shared" ref="C63:G63" si="8">IF(C57&gt;0,PMT(0.1,C57,-C56*C58),0)+IF(C60&gt;0,PMT(0.1,C60,-C59*C62),0)</f>
        <v>578.80821384308149</v>
      </c>
      <c r="D63" s="38">
        <f t="shared" si="8"/>
        <v>166.56858435681966</v>
      </c>
      <c r="E63" s="38">
        <f t="shared" si="8"/>
        <v>665.00000895047219</v>
      </c>
      <c r="F63" s="38">
        <f t="shared" si="8"/>
        <v>111.73760326132704</v>
      </c>
      <c r="G63" s="38">
        <f t="shared" si="8"/>
        <v>567.11391313891215</v>
      </c>
      <c r="H63" s="64">
        <f>SUM(C63:G63)</f>
        <v>2089.2283235506125</v>
      </c>
      <c r="I63" s="10"/>
      <c r="J63" s="273" t="s">
        <v>137</v>
      </c>
      <c r="K63" s="301"/>
      <c r="L63" s="302"/>
    </row>
    <row r="64" spans="1:13" x14ac:dyDescent="0.3">
      <c r="A64" s="175" t="s">
        <v>321</v>
      </c>
      <c r="B64" s="179" t="s">
        <v>254</v>
      </c>
      <c r="C64" s="156">
        <v>500</v>
      </c>
      <c r="D64" s="156"/>
      <c r="E64" s="156"/>
      <c r="F64" s="156"/>
      <c r="G64" s="156">
        <v>500</v>
      </c>
      <c r="H64" s="237"/>
      <c r="I64" s="10"/>
      <c r="J64" s="269" t="s">
        <v>136</v>
      </c>
    </row>
    <row r="65" spans="1:16" ht="17" x14ac:dyDescent="0.6">
      <c r="A65" s="109" t="s">
        <v>76</v>
      </c>
      <c r="B65" s="11"/>
      <c r="C65" s="40">
        <f>PMT(0.1,10,-C64)</f>
        <v>81.372697441255809</v>
      </c>
      <c r="D65" s="40">
        <f t="shared" ref="D65:G65" si="9">PMT(0.1,10,-D64)</f>
        <v>0</v>
      </c>
      <c r="E65" s="40">
        <f t="shared" si="9"/>
        <v>0</v>
      </c>
      <c r="F65" s="40">
        <f t="shared" si="9"/>
        <v>0</v>
      </c>
      <c r="G65" s="40">
        <f t="shared" si="9"/>
        <v>81.372697441255809</v>
      </c>
      <c r="H65" s="238">
        <f>SUM(C65:G65)</f>
        <v>162.74539488251162</v>
      </c>
      <c r="I65" s="10"/>
      <c r="J65" s="269" t="s">
        <v>137</v>
      </c>
    </row>
    <row r="66" spans="1:16" x14ac:dyDescent="0.3">
      <c r="A66" s="175" t="s">
        <v>268</v>
      </c>
      <c r="B66" s="11"/>
      <c r="C66" s="13">
        <f>C63+C65</f>
        <v>660.1809112843373</v>
      </c>
      <c r="D66" s="13">
        <f t="shared" ref="D66:F66" si="10">D63+D65</f>
        <v>166.56858435681966</v>
      </c>
      <c r="E66" s="13">
        <f t="shared" si="10"/>
        <v>665.00000895047219</v>
      </c>
      <c r="F66" s="13">
        <f t="shared" si="10"/>
        <v>111.73760326132704</v>
      </c>
      <c r="G66" s="13">
        <f>G63+G65</f>
        <v>648.48661058016796</v>
      </c>
      <c r="H66" s="64">
        <f>SUM(H63:H65)</f>
        <v>2251.9737184331243</v>
      </c>
      <c r="I66" s="234"/>
    </row>
    <row r="67" spans="1:16" x14ac:dyDescent="0.3">
      <c r="A67" s="34"/>
      <c r="B67" s="44"/>
      <c r="C67" s="42"/>
      <c r="D67" s="11"/>
      <c r="E67" s="11"/>
      <c r="F67" s="11"/>
      <c r="G67" s="11"/>
      <c r="H67" s="39"/>
      <c r="I67" s="234"/>
    </row>
    <row r="68" spans="1:16" x14ac:dyDescent="0.3">
      <c r="A68" s="32" t="s">
        <v>51</v>
      </c>
      <c r="B68" s="75"/>
      <c r="C68" s="11"/>
      <c r="D68" s="11"/>
      <c r="E68" s="11"/>
      <c r="F68" s="11"/>
      <c r="G68" s="11"/>
      <c r="H68" s="11"/>
      <c r="I68" s="234"/>
    </row>
    <row r="69" spans="1:16" x14ac:dyDescent="0.3">
      <c r="A69" s="175" t="s">
        <v>315</v>
      </c>
      <c r="B69" s="178" t="s">
        <v>214</v>
      </c>
      <c r="C69" s="150">
        <v>80</v>
      </c>
      <c r="D69" s="126" t="s">
        <v>45</v>
      </c>
      <c r="E69" s="11"/>
      <c r="F69" s="37"/>
      <c r="G69" s="37"/>
      <c r="H69" s="11"/>
      <c r="I69" s="234"/>
    </row>
    <row r="70" spans="1:16" x14ac:dyDescent="0.3">
      <c r="A70" s="193" t="s">
        <v>29</v>
      </c>
      <c r="B70" s="198" t="s">
        <v>216</v>
      </c>
      <c r="C70" s="157">
        <v>0.9</v>
      </c>
      <c r="D70" s="11"/>
      <c r="E70" s="11"/>
      <c r="F70" s="37"/>
      <c r="G70" s="37"/>
      <c r="H70" s="11"/>
      <c r="I70" s="234"/>
    </row>
    <row r="71" spans="1:16" x14ac:dyDescent="0.3">
      <c r="A71" s="9"/>
      <c r="B71" s="11"/>
      <c r="C71" s="44"/>
      <c r="D71" s="11"/>
      <c r="E71" s="11"/>
      <c r="F71" s="11"/>
      <c r="G71" s="11"/>
      <c r="H71" s="11"/>
      <c r="I71" s="234"/>
    </row>
    <row r="72" spans="1:16" x14ac:dyDescent="0.3">
      <c r="A72" s="32" t="s">
        <v>163</v>
      </c>
      <c r="B72" s="75"/>
      <c r="C72" s="45" t="s">
        <v>12</v>
      </c>
      <c r="D72" s="46" t="s">
        <v>13</v>
      </c>
      <c r="E72" s="7" t="s">
        <v>14</v>
      </c>
      <c r="F72" s="7" t="s">
        <v>15</v>
      </c>
      <c r="G72" s="7" t="s">
        <v>16</v>
      </c>
      <c r="H72" s="11"/>
      <c r="I72" s="234"/>
      <c r="L72" s="303"/>
    </row>
    <row r="73" spans="1:16" ht="14.25" customHeight="1" x14ac:dyDescent="0.3">
      <c r="A73" s="109" t="s">
        <v>17</v>
      </c>
      <c r="B73" s="11"/>
      <c r="C73" s="144" t="s">
        <v>66</v>
      </c>
      <c r="D73" s="144" t="s">
        <v>107</v>
      </c>
      <c r="E73" s="144" t="s">
        <v>108</v>
      </c>
      <c r="F73" s="144" t="s">
        <v>109</v>
      </c>
      <c r="G73" s="144" t="s">
        <v>110</v>
      </c>
      <c r="H73" s="336" t="s">
        <v>296</v>
      </c>
      <c r="I73" s="243"/>
      <c r="J73" s="374" t="s">
        <v>291</v>
      </c>
      <c r="K73" s="375"/>
      <c r="L73" s="375"/>
      <c r="M73" s="375"/>
      <c r="N73" s="375"/>
      <c r="O73" s="375"/>
      <c r="P73" s="375"/>
    </row>
    <row r="74" spans="1:16" ht="14.25" customHeight="1" x14ac:dyDescent="0.3">
      <c r="A74" s="109" t="s">
        <v>18</v>
      </c>
      <c r="B74" s="11"/>
      <c r="C74" s="148">
        <v>31</v>
      </c>
      <c r="D74" s="148">
        <v>6</v>
      </c>
      <c r="E74" s="148">
        <v>8</v>
      </c>
      <c r="F74" s="148">
        <v>5</v>
      </c>
      <c r="G74" s="148">
        <v>2</v>
      </c>
      <c r="H74" s="11"/>
      <c r="I74" s="243"/>
      <c r="J74" s="322"/>
      <c r="K74" s="304"/>
      <c r="L74" s="303"/>
    </row>
    <row r="75" spans="1:16" x14ac:dyDescent="0.3">
      <c r="A75" s="109" t="s">
        <v>19</v>
      </c>
      <c r="B75" s="11"/>
      <c r="C75" s="148">
        <v>1300</v>
      </c>
      <c r="D75" s="148">
        <v>1200</v>
      </c>
      <c r="E75" s="148">
        <v>550</v>
      </c>
      <c r="F75" s="148">
        <v>950</v>
      </c>
      <c r="G75" s="148">
        <v>1750</v>
      </c>
      <c r="H75" s="201">
        <f>SUMPRODUCT(C74:G74,C75:G75)/1000</f>
        <v>60.15</v>
      </c>
      <c r="I75" s="244"/>
      <c r="J75" s="273" t="s">
        <v>297</v>
      </c>
      <c r="K75" s="305"/>
      <c r="L75" s="303"/>
    </row>
    <row r="76" spans="1:16" x14ac:dyDescent="0.3">
      <c r="A76" s="175" t="s">
        <v>105</v>
      </c>
      <c r="B76" s="11"/>
      <c r="C76" s="47">
        <f t="shared" ref="C76:G76" si="11">C74*C75*0.04</f>
        <v>1612</v>
      </c>
      <c r="D76" s="47">
        <f t="shared" si="11"/>
        <v>288</v>
      </c>
      <c r="E76" s="47">
        <f t="shared" si="11"/>
        <v>176</v>
      </c>
      <c r="F76" s="47">
        <f t="shared" si="11"/>
        <v>190</v>
      </c>
      <c r="G76" s="47">
        <f t="shared" si="11"/>
        <v>140</v>
      </c>
      <c r="H76" s="11"/>
      <c r="I76" s="10"/>
      <c r="J76" s="273" t="s">
        <v>231</v>
      </c>
      <c r="K76" s="306"/>
      <c r="L76" s="303"/>
    </row>
    <row r="77" spans="1:16" x14ac:dyDescent="0.3">
      <c r="A77" s="109" t="s">
        <v>69</v>
      </c>
      <c r="B77" s="11"/>
      <c r="C77" s="161">
        <v>43048</v>
      </c>
      <c r="D77" s="161">
        <v>43040</v>
      </c>
      <c r="E77" s="161">
        <v>43017</v>
      </c>
      <c r="F77" s="161">
        <v>42700</v>
      </c>
      <c r="G77" s="161">
        <v>43017</v>
      </c>
      <c r="H77" s="11"/>
      <c r="I77" s="10"/>
      <c r="J77" s="273" t="s">
        <v>106</v>
      </c>
      <c r="K77" s="306"/>
      <c r="L77" s="303"/>
    </row>
    <row r="78" spans="1:16" x14ac:dyDescent="0.3">
      <c r="A78" s="139" t="s">
        <v>70</v>
      </c>
      <c r="B78" s="123"/>
      <c r="C78" s="161">
        <v>43106</v>
      </c>
      <c r="D78" s="161">
        <v>43081</v>
      </c>
      <c r="E78" s="161">
        <v>43051</v>
      </c>
      <c r="F78" s="161">
        <v>42724</v>
      </c>
      <c r="G78" s="161">
        <v>43051</v>
      </c>
      <c r="H78" s="11"/>
      <c r="I78" s="10"/>
      <c r="J78" s="359" t="s">
        <v>300</v>
      </c>
      <c r="K78" s="306"/>
      <c r="L78" s="303"/>
    </row>
    <row r="79" spans="1:16" ht="15" customHeight="1" x14ac:dyDescent="0.3">
      <c r="A79" s="139" t="s">
        <v>20</v>
      </c>
      <c r="B79" s="123"/>
      <c r="C79" s="48">
        <f t="shared" ref="C79:G79" si="12">C78-C77</f>
        <v>58</v>
      </c>
      <c r="D79" s="48">
        <f t="shared" si="12"/>
        <v>41</v>
      </c>
      <c r="E79" s="48">
        <f t="shared" si="12"/>
        <v>34</v>
      </c>
      <c r="F79" s="48">
        <f t="shared" si="12"/>
        <v>24</v>
      </c>
      <c r="G79" s="48">
        <f t="shared" si="12"/>
        <v>34</v>
      </c>
      <c r="H79" s="11"/>
      <c r="I79" s="10"/>
      <c r="J79" s="307"/>
      <c r="K79" s="308"/>
      <c r="L79" s="303"/>
    </row>
    <row r="80" spans="1:16" x14ac:dyDescent="0.3">
      <c r="A80" s="139" t="s">
        <v>302</v>
      </c>
      <c r="B80" s="123"/>
      <c r="C80" s="157">
        <v>0.25</v>
      </c>
      <c r="D80" s="157">
        <v>0.25</v>
      </c>
      <c r="E80" s="157">
        <v>0.2</v>
      </c>
      <c r="F80" s="157">
        <v>0.1</v>
      </c>
      <c r="G80" s="157">
        <v>0.35</v>
      </c>
      <c r="H80" s="8" t="s">
        <v>7</v>
      </c>
      <c r="I80" s="10"/>
      <c r="J80" s="273" t="s">
        <v>138</v>
      </c>
      <c r="K80" s="308"/>
      <c r="L80" s="303"/>
    </row>
    <row r="81" spans="1:13" x14ac:dyDescent="0.3">
      <c r="A81" s="139" t="s">
        <v>111</v>
      </c>
      <c r="B81" s="123"/>
      <c r="C81" s="49">
        <f>C76*C79/2000</f>
        <v>46.747999999999998</v>
      </c>
      <c r="D81" s="49">
        <f t="shared" ref="D81:G81" si="13">(D76*D79/2000)</f>
        <v>5.9039999999999999</v>
      </c>
      <c r="E81" s="49">
        <f t="shared" si="13"/>
        <v>2.992</v>
      </c>
      <c r="F81" s="49">
        <f t="shared" si="13"/>
        <v>2.2799999999999998</v>
      </c>
      <c r="G81" s="49">
        <f t="shared" si="13"/>
        <v>2.38</v>
      </c>
      <c r="H81" s="49">
        <f>SUM(C81:G81)</f>
        <v>60.304000000000002</v>
      </c>
      <c r="I81" s="245" t="s">
        <v>120</v>
      </c>
      <c r="J81" s="307"/>
      <c r="K81" s="309"/>
      <c r="L81" s="303"/>
    </row>
    <row r="82" spans="1:13" ht="17" x14ac:dyDescent="0.6">
      <c r="A82" s="139" t="s">
        <v>323</v>
      </c>
      <c r="B82" s="123"/>
      <c r="C82" s="364">
        <f>C74*C75*C79*0.03*C80/2000</f>
        <v>8.76525</v>
      </c>
      <c r="D82" s="364">
        <f t="shared" ref="D82:G82" si="14">D74*D75*D79*0.03*D80/2000</f>
        <v>1.107</v>
      </c>
      <c r="E82" s="364">
        <f t="shared" si="14"/>
        <v>0.44880000000000003</v>
      </c>
      <c r="F82" s="364">
        <f t="shared" si="14"/>
        <v>0.17100000000000001</v>
      </c>
      <c r="G82" s="364">
        <f t="shared" si="14"/>
        <v>0.62475000000000003</v>
      </c>
      <c r="H82" s="365">
        <f>SUM(C82:G82)</f>
        <v>11.1168</v>
      </c>
      <c r="I82" s="245" t="s">
        <v>120</v>
      </c>
      <c r="J82" s="360" t="s">
        <v>303</v>
      </c>
      <c r="K82" s="361"/>
      <c r="L82" s="362"/>
      <c r="M82" s="363"/>
    </row>
    <row r="83" spans="1:13" x14ac:dyDescent="0.3">
      <c r="A83" s="139" t="s">
        <v>258</v>
      </c>
      <c r="C83" s="49">
        <f>C81-C82</f>
        <v>37.982749999999996</v>
      </c>
      <c r="D83" s="49">
        <f t="shared" ref="D83:G83" si="15">D81-D82</f>
        <v>4.7969999999999997</v>
      </c>
      <c r="E83" s="49">
        <f t="shared" si="15"/>
        <v>2.5432000000000001</v>
      </c>
      <c r="F83" s="49">
        <f t="shared" si="15"/>
        <v>2.109</v>
      </c>
      <c r="G83" s="49">
        <f t="shared" si="15"/>
        <v>1.7552499999999998</v>
      </c>
      <c r="H83" s="49">
        <f>SUM(C83:G83)</f>
        <v>49.18719999999999</v>
      </c>
      <c r="I83" s="245" t="s">
        <v>120</v>
      </c>
      <c r="J83" s="323"/>
      <c r="K83" s="310"/>
      <c r="L83" s="310"/>
    </row>
    <row r="84" spans="1:13" x14ac:dyDescent="0.3">
      <c r="A84" s="29"/>
      <c r="B84" s="123"/>
      <c r="C84" s="51"/>
      <c r="D84" s="51"/>
      <c r="E84" s="51"/>
      <c r="F84" s="51"/>
      <c r="G84" s="51"/>
      <c r="H84" s="50"/>
      <c r="I84" s="36"/>
      <c r="J84" s="323"/>
      <c r="K84" s="310"/>
      <c r="L84" s="310"/>
    </row>
    <row r="85" spans="1:13" x14ac:dyDescent="0.3">
      <c r="A85" s="32" t="s">
        <v>46</v>
      </c>
      <c r="B85" s="75"/>
      <c r="C85" s="45" t="s">
        <v>12</v>
      </c>
      <c r="D85" s="46" t="s">
        <v>13</v>
      </c>
      <c r="E85" s="7" t="s">
        <v>14</v>
      </c>
      <c r="F85" s="7" t="s">
        <v>15</v>
      </c>
      <c r="G85" s="7" t="s">
        <v>16</v>
      </c>
      <c r="H85" s="11"/>
      <c r="I85" s="10"/>
      <c r="J85" s="269"/>
    </row>
    <row r="86" spans="1:13" x14ac:dyDescent="0.3">
      <c r="A86" s="109" t="s">
        <v>17</v>
      </c>
      <c r="B86" s="11"/>
      <c r="C86" s="144" t="s">
        <v>66</v>
      </c>
      <c r="D86" s="144" t="s">
        <v>107</v>
      </c>
      <c r="E86" s="144" t="s">
        <v>108</v>
      </c>
      <c r="F86" s="144" t="s">
        <v>109</v>
      </c>
      <c r="G86" s="144" t="s">
        <v>110</v>
      </c>
      <c r="H86" s="11"/>
      <c r="I86" s="10"/>
      <c r="J86" s="269"/>
    </row>
    <row r="87" spans="1:13" x14ac:dyDescent="0.3">
      <c r="A87" s="109" t="s">
        <v>18</v>
      </c>
      <c r="B87" s="11"/>
      <c r="C87" s="148">
        <v>31</v>
      </c>
      <c r="D87" s="148">
        <v>6</v>
      </c>
      <c r="E87" s="148">
        <v>8</v>
      </c>
      <c r="F87" s="148">
        <v>5</v>
      </c>
      <c r="G87" s="148">
        <v>2</v>
      </c>
      <c r="H87" s="11"/>
      <c r="I87" s="10"/>
      <c r="J87" s="324"/>
    </row>
    <row r="88" spans="1:13" x14ac:dyDescent="0.3">
      <c r="A88" s="175" t="s">
        <v>221</v>
      </c>
      <c r="B88" s="178" t="s">
        <v>220</v>
      </c>
      <c r="C88" s="148">
        <v>1300</v>
      </c>
      <c r="D88" s="148">
        <v>1200</v>
      </c>
      <c r="E88" s="148">
        <v>550</v>
      </c>
      <c r="F88" s="148">
        <v>950</v>
      </c>
      <c r="G88" s="148">
        <v>1750</v>
      </c>
      <c r="H88" s="11"/>
      <c r="I88" s="10"/>
      <c r="J88" s="359" t="s">
        <v>300</v>
      </c>
    </row>
    <row r="89" spans="1:13" x14ac:dyDescent="0.3">
      <c r="A89" s="189" t="s">
        <v>324</v>
      </c>
      <c r="B89" s="178" t="s">
        <v>245</v>
      </c>
      <c r="C89" s="47">
        <f t="shared" ref="C89:G89" si="16">C87*C88*0.04</f>
        <v>1612</v>
      </c>
      <c r="D89" s="47">
        <f t="shared" si="16"/>
        <v>288</v>
      </c>
      <c r="E89" s="47">
        <f t="shared" si="16"/>
        <v>176</v>
      </c>
      <c r="F89" s="47">
        <f t="shared" si="16"/>
        <v>190</v>
      </c>
      <c r="G89" s="47">
        <f t="shared" si="16"/>
        <v>140</v>
      </c>
      <c r="H89" s="11"/>
      <c r="I89" s="10"/>
      <c r="J89" s="269" t="s">
        <v>230</v>
      </c>
    </row>
    <row r="90" spans="1:13" x14ac:dyDescent="0.3">
      <c r="A90" s="109" t="s">
        <v>113</v>
      </c>
      <c r="B90" s="11"/>
      <c r="C90" s="161">
        <v>43184</v>
      </c>
      <c r="D90" s="161">
        <v>43184</v>
      </c>
      <c r="E90" s="161">
        <v>43189</v>
      </c>
      <c r="F90" s="161">
        <v>43191</v>
      </c>
      <c r="G90" s="161">
        <v>43184</v>
      </c>
      <c r="H90" s="11"/>
      <c r="I90" s="10"/>
      <c r="J90" s="269"/>
    </row>
    <row r="91" spans="1:13" x14ac:dyDescent="0.3">
      <c r="A91" s="139" t="s">
        <v>114</v>
      </c>
      <c r="B91" s="123"/>
      <c r="C91" s="161">
        <v>43201</v>
      </c>
      <c r="D91" s="161">
        <v>43201</v>
      </c>
      <c r="E91" s="161">
        <v>43210</v>
      </c>
      <c r="F91" s="161">
        <v>43225</v>
      </c>
      <c r="G91" s="161">
        <v>43211</v>
      </c>
      <c r="H91" s="11"/>
      <c r="I91" s="10"/>
      <c r="J91" s="269"/>
    </row>
    <row r="92" spans="1:13" x14ac:dyDescent="0.3">
      <c r="A92" s="139" t="s">
        <v>247</v>
      </c>
      <c r="B92" s="177" t="s">
        <v>246</v>
      </c>
      <c r="C92" s="50">
        <f t="shared" ref="C92:G92" si="17">C91-C90</f>
        <v>17</v>
      </c>
      <c r="D92" s="50">
        <f t="shared" si="17"/>
        <v>17</v>
      </c>
      <c r="E92" s="50">
        <f t="shared" si="17"/>
        <v>21</v>
      </c>
      <c r="F92" s="50">
        <f t="shared" si="17"/>
        <v>34</v>
      </c>
      <c r="G92" s="50">
        <f t="shared" si="17"/>
        <v>27</v>
      </c>
      <c r="H92" s="11"/>
      <c r="I92" s="10"/>
      <c r="J92" s="269"/>
    </row>
    <row r="93" spans="1:13" x14ac:dyDescent="0.3">
      <c r="A93" s="139" t="s">
        <v>112</v>
      </c>
      <c r="B93" s="123"/>
      <c r="C93" s="157">
        <v>0.25</v>
      </c>
      <c r="D93" s="157">
        <v>0.25</v>
      </c>
      <c r="E93" s="157">
        <v>0.2</v>
      </c>
      <c r="F93" s="157">
        <v>0.5</v>
      </c>
      <c r="G93" s="157">
        <v>0.3</v>
      </c>
      <c r="H93" s="8" t="s">
        <v>7</v>
      </c>
      <c r="I93" s="10"/>
      <c r="J93" s="269" t="s">
        <v>138</v>
      </c>
    </row>
    <row r="94" spans="1:13" x14ac:dyDescent="0.3">
      <c r="A94" s="139" t="s">
        <v>111</v>
      </c>
      <c r="B94" s="123"/>
      <c r="C94" s="49">
        <f>C89*C92/2000</f>
        <v>13.702</v>
      </c>
      <c r="D94" s="49">
        <f t="shared" ref="D94:G94" si="18">D89*D92/2000</f>
        <v>2.448</v>
      </c>
      <c r="E94" s="49">
        <f t="shared" si="18"/>
        <v>1.8480000000000001</v>
      </c>
      <c r="F94" s="49">
        <f t="shared" si="18"/>
        <v>3.23</v>
      </c>
      <c r="G94" s="49">
        <f t="shared" si="18"/>
        <v>1.89</v>
      </c>
      <c r="H94" s="49">
        <f>SUM(C94:G94)</f>
        <v>23.117999999999999</v>
      </c>
      <c r="I94" s="245" t="s">
        <v>120</v>
      </c>
      <c r="J94" s="269"/>
    </row>
    <row r="95" spans="1:13" ht="17" x14ac:dyDescent="0.6">
      <c r="A95" s="139" t="s">
        <v>314</v>
      </c>
      <c r="B95" s="123"/>
      <c r="C95" s="364">
        <f>C87*C88*C92*0.03*C93/2000</f>
        <v>2.5691250000000001</v>
      </c>
      <c r="D95" s="364">
        <f t="shared" ref="D95:G95" si="19">D87*D88*D92*0.03*D93/2000</f>
        <v>0.45900000000000002</v>
      </c>
      <c r="E95" s="364">
        <f t="shared" si="19"/>
        <v>0.2772</v>
      </c>
      <c r="F95" s="364">
        <f t="shared" si="19"/>
        <v>1.2112499999999999</v>
      </c>
      <c r="G95" s="364">
        <f t="shared" si="19"/>
        <v>0.42525000000000002</v>
      </c>
      <c r="H95" s="365">
        <f>SUM(C95:G95)</f>
        <v>4.9418250000000006</v>
      </c>
      <c r="I95" s="245" t="s">
        <v>120</v>
      </c>
      <c r="J95" s="269" t="s">
        <v>322</v>
      </c>
    </row>
    <row r="96" spans="1:13" x14ac:dyDescent="0.3">
      <c r="A96" s="139" t="s">
        <v>159</v>
      </c>
      <c r="B96" s="123"/>
      <c r="C96" s="49">
        <f>C94-C95</f>
        <v>11.132875</v>
      </c>
      <c r="D96" s="49">
        <f t="shared" ref="D96:G96" si="20">D94-D95</f>
        <v>1.9889999999999999</v>
      </c>
      <c r="E96" s="49">
        <f t="shared" si="20"/>
        <v>1.5708000000000002</v>
      </c>
      <c r="F96" s="49">
        <f t="shared" si="20"/>
        <v>2.0187499999999998</v>
      </c>
      <c r="G96" s="49">
        <f t="shared" si="20"/>
        <v>1.46475</v>
      </c>
      <c r="H96" s="49">
        <f>SUM(C96:G96)</f>
        <v>18.176174999999997</v>
      </c>
      <c r="I96" s="245" t="s">
        <v>120</v>
      </c>
      <c r="J96" s="269"/>
    </row>
    <row r="97" spans="1:10" x14ac:dyDescent="0.3">
      <c r="A97" s="139"/>
      <c r="B97" s="123"/>
      <c r="C97" s="49"/>
      <c r="D97" s="49"/>
      <c r="E97" s="49"/>
      <c r="F97" s="49"/>
      <c r="G97" s="49"/>
      <c r="H97" s="49"/>
      <c r="I97" s="246"/>
      <c r="J97" s="269"/>
    </row>
    <row r="98" spans="1:10" x14ac:dyDescent="0.3">
      <c r="A98" s="139" t="s">
        <v>271</v>
      </c>
      <c r="B98" s="123"/>
      <c r="C98" s="49">
        <f>C83+C96</f>
        <v>49.115624999999994</v>
      </c>
      <c r="D98" s="49">
        <f t="shared" ref="D98:F98" si="21">D83+D96</f>
        <v>6.7859999999999996</v>
      </c>
      <c r="E98" s="49">
        <f t="shared" si="21"/>
        <v>4.1140000000000008</v>
      </c>
      <c r="F98" s="49">
        <f t="shared" si="21"/>
        <v>4.1277499999999998</v>
      </c>
      <c r="G98" s="49">
        <f>G83+G96</f>
        <v>3.2199999999999998</v>
      </c>
      <c r="H98" s="49">
        <f>SUM(C98:G98)</f>
        <v>67.363375000000005</v>
      </c>
      <c r="I98" s="245" t="s">
        <v>120</v>
      </c>
      <c r="J98" s="269"/>
    </row>
    <row r="99" spans="1:10" x14ac:dyDescent="0.3">
      <c r="A99" s="29"/>
      <c r="B99" s="123"/>
      <c r="C99" s="52"/>
      <c r="D99" s="52"/>
      <c r="E99" s="52"/>
      <c r="F99" s="52"/>
      <c r="G99" s="52"/>
      <c r="H99" s="11"/>
      <c r="I99" s="10"/>
      <c r="J99" s="269"/>
    </row>
    <row r="100" spans="1:10" x14ac:dyDescent="0.3">
      <c r="A100" s="53" t="s">
        <v>47</v>
      </c>
      <c r="B100" s="211"/>
      <c r="C100" s="54" t="s">
        <v>11</v>
      </c>
      <c r="D100" s="55" t="s">
        <v>21</v>
      </c>
      <c r="E100" s="56" t="s">
        <v>7</v>
      </c>
      <c r="F100" s="51"/>
      <c r="G100" s="51"/>
      <c r="H100" s="11"/>
      <c r="I100" s="10"/>
      <c r="J100" s="269"/>
    </row>
    <row r="101" spans="1:10" x14ac:dyDescent="0.3">
      <c r="A101" s="109" t="s">
        <v>101</v>
      </c>
      <c r="B101" s="11"/>
      <c r="C101" s="57">
        <f>(SUMPRODUCT(C74:G74,C75:G75,C79:G79)/1000)</f>
        <v>3015.2</v>
      </c>
      <c r="D101" s="58">
        <f>(SUMPRODUCT(C87:G87,C88:G88,C92:G92)/1000)</f>
        <v>1155.9000000000001</v>
      </c>
      <c r="E101" s="59">
        <f>C101+D101</f>
        <v>4171.1000000000004</v>
      </c>
      <c r="F101" s="11"/>
      <c r="G101" s="11"/>
      <c r="H101" s="11"/>
      <c r="I101" s="10"/>
      <c r="J101" s="269"/>
    </row>
    <row r="102" spans="1:10" x14ac:dyDescent="0.3">
      <c r="A102" s="109" t="s">
        <v>102</v>
      </c>
      <c r="B102" s="11"/>
      <c r="C102" s="60">
        <f>C103/C101</f>
        <v>1.4500515904601867</v>
      </c>
      <c r="D102" s="61">
        <f>D103/D101</f>
        <v>1.3977506704732241</v>
      </c>
      <c r="E102" s="62">
        <f>E103/E101</f>
        <v>1.4355578997280225</v>
      </c>
      <c r="F102" s="11"/>
      <c r="G102" s="11"/>
      <c r="H102" s="11"/>
      <c r="I102" s="10"/>
      <c r="J102" s="269"/>
    </row>
    <row r="103" spans="1:10" ht="14.5" thickBot="1" x14ac:dyDescent="0.35">
      <c r="A103" s="192" t="s">
        <v>22</v>
      </c>
      <c r="B103" s="41"/>
      <c r="C103" s="113">
        <f>(H83/C70)*C69</f>
        <v>4372.1955555555551</v>
      </c>
      <c r="D103" s="83">
        <f>(H96/C70)*C69</f>
        <v>1615.6599999999999</v>
      </c>
      <c r="E103" s="114">
        <f>C103+D103</f>
        <v>5987.8555555555549</v>
      </c>
      <c r="F103" s="41"/>
      <c r="G103" s="41"/>
      <c r="H103" s="41"/>
      <c r="I103" s="63"/>
      <c r="J103" s="269" t="s">
        <v>234</v>
      </c>
    </row>
    <row r="104" spans="1:10" ht="14.5" thickBot="1" x14ac:dyDescent="0.35">
      <c r="A104" s="11"/>
      <c r="B104" s="11"/>
      <c r="C104" s="30"/>
      <c r="D104" s="30"/>
      <c r="E104" s="30"/>
      <c r="F104" s="30"/>
      <c r="G104" s="30"/>
      <c r="H104" s="13"/>
    </row>
    <row r="105" spans="1:10" ht="15.5" x14ac:dyDescent="0.35">
      <c r="A105" s="220" t="s">
        <v>249</v>
      </c>
      <c r="B105" s="221"/>
      <c r="C105" s="222"/>
      <c r="D105" s="222"/>
      <c r="E105" s="222"/>
      <c r="F105" s="222"/>
      <c r="G105" s="223"/>
      <c r="H105" s="224"/>
    </row>
    <row r="106" spans="1:10" x14ac:dyDescent="0.3">
      <c r="A106" s="53" t="s">
        <v>161</v>
      </c>
      <c r="B106" s="211"/>
      <c r="C106" s="7" t="str">
        <f>C$9</f>
        <v>Field 1</v>
      </c>
      <c r="D106" s="7" t="str">
        <f t="shared" ref="D106:H106" si="22">D$9</f>
        <v>Field 2</v>
      </c>
      <c r="E106" s="7" t="str">
        <f t="shared" si="22"/>
        <v>Field 3</v>
      </c>
      <c r="F106" s="7" t="str">
        <f t="shared" si="22"/>
        <v>Field 4</v>
      </c>
      <c r="G106" s="7" t="str">
        <f t="shared" si="22"/>
        <v>Field 5</v>
      </c>
      <c r="H106" s="28" t="str">
        <f t="shared" si="22"/>
        <v>Whole Farm</v>
      </c>
    </row>
    <row r="107" spans="1:10" x14ac:dyDescent="0.3">
      <c r="A107" s="139" t="s">
        <v>160</v>
      </c>
      <c r="B107" s="123"/>
      <c r="C107" s="148"/>
      <c r="D107" s="148"/>
      <c r="E107" s="148"/>
      <c r="F107" s="148"/>
      <c r="G107" s="148">
        <v>48</v>
      </c>
      <c r="H107" s="10">
        <f>SUM(C107:G107)</f>
        <v>48</v>
      </c>
    </row>
    <row r="108" spans="1:10" x14ac:dyDescent="0.3">
      <c r="A108" s="193" t="s">
        <v>241</v>
      </c>
      <c r="B108" s="198" t="s">
        <v>235</v>
      </c>
      <c r="C108" s="148"/>
      <c r="D108" s="148"/>
      <c r="E108" s="164"/>
      <c r="F108" s="148"/>
      <c r="G108" s="148">
        <v>25</v>
      </c>
      <c r="H108" s="36"/>
    </row>
    <row r="109" spans="1:10" x14ac:dyDescent="0.3">
      <c r="A109" s="139" t="s">
        <v>67</v>
      </c>
      <c r="B109" s="177" t="s">
        <v>214</v>
      </c>
      <c r="C109" s="147"/>
      <c r="D109" s="147"/>
      <c r="E109" s="165"/>
      <c r="F109" s="156"/>
      <c r="G109" s="147">
        <v>75</v>
      </c>
      <c r="H109" s="248"/>
    </row>
    <row r="110" spans="1:10" x14ac:dyDescent="0.3">
      <c r="A110" s="29" t="s">
        <v>8</v>
      </c>
      <c r="B110" s="177" t="s">
        <v>214</v>
      </c>
      <c r="C110" s="42">
        <f>C108*C109</f>
        <v>0</v>
      </c>
      <c r="D110" s="42">
        <f>D108*D109</f>
        <v>0</v>
      </c>
      <c r="E110" s="42">
        <f t="shared" ref="E110:G110" si="23">E108*E109</f>
        <v>0</v>
      </c>
      <c r="F110" s="42">
        <f t="shared" si="23"/>
        <v>0</v>
      </c>
      <c r="G110" s="42">
        <f t="shared" si="23"/>
        <v>1875</v>
      </c>
      <c r="H110" s="12">
        <f>SUM(C110:G110)</f>
        <v>1875</v>
      </c>
    </row>
    <row r="111" spans="1:10" x14ac:dyDescent="0.3">
      <c r="A111" s="9" t="s">
        <v>48</v>
      </c>
      <c r="B111" s="11"/>
      <c r="C111" s="11"/>
      <c r="D111" s="11"/>
      <c r="E111" s="11"/>
      <c r="F111" s="11"/>
      <c r="G111" s="11"/>
      <c r="H111" s="10"/>
      <c r="I111" s="11"/>
    </row>
    <row r="112" spans="1:10" x14ac:dyDescent="0.3">
      <c r="A112" s="139" t="s">
        <v>224</v>
      </c>
      <c r="B112" s="177" t="s">
        <v>177</v>
      </c>
      <c r="C112" s="147"/>
      <c r="D112" s="147"/>
      <c r="E112" s="147"/>
      <c r="F112" s="147"/>
      <c r="G112" s="147">
        <v>3</v>
      </c>
      <c r="H112" s="12">
        <f>SUMPRODUCT(C$107:G$107,C112:G112)</f>
        <v>144</v>
      </c>
      <c r="J112" s="271" t="s">
        <v>207</v>
      </c>
    </row>
    <row r="113" spans="1:11" x14ac:dyDescent="0.3">
      <c r="A113" s="139" t="s">
        <v>242</v>
      </c>
      <c r="B113" s="177" t="s">
        <v>177</v>
      </c>
      <c r="C113" s="147"/>
      <c r="D113" s="147"/>
      <c r="E113" s="147"/>
      <c r="F113" s="147"/>
      <c r="G113" s="147">
        <v>5</v>
      </c>
      <c r="H113" s="12">
        <f>SUMPRODUCT(C$107:G$107,C113:G113)</f>
        <v>240</v>
      </c>
      <c r="J113" s="271" t="s">
        <v>208</v>
      </c>
    </row>
    <row r="114" spans="1:11" x14ac:dyDescent="0.3">
      <c r="A114" s="139" t="s">
        <v>318</v>
      </c>
      <c r="B114" s="148">
        <v>1300</v>
      </c>
      <c r="C114" s="368"/>
      <c r="D114" s="368"/>
      <c r="E114" s="368"/>
      <c r="F114" s="368"/>
      <c r="G114" s="369"/>
      <c r="H114" s="12"/>
      <c r="J114" s="271"/>
    </row>
    <row r="115" spans="1:11" x14ac:dyDescent="0.3">
      <c r="A115" s="139" t="s">
        <v>243</v>
      </c>
      <c r="B115" s="178" t="s">
        <v>316</v>
      </c>
      <c r="C115" s="147"/>
      <c r="D115" s="147"/>
      <c r="E115" s="147"/>
      <c r="F115" s="147"/>
      <c r="G115" s="147">
        <v>15</v>
      </c>
      <c r="H115" s="12">
        <f>SUMPRODUCT(C$108:G$108,C115:G115)*2000/B$114</f>
        <v>576.92307692307691</v>
      </c>
    </row>
    <row r="116" spans="1:11" x14ac:dyDescent="0.3">
      <c r="A116" s="139" t="s">
        <v>244</v>
      </c>
      <c r="B116" s="178" t="s">
        <v>316</v>
      </c>
      <c r="C116" s="147"/>
      <c r="D116" s="147"/>
      <c r="E116" s="147"/>
      <c r="F116" s="147"/>
      <c r="G116" s="147">
        <v>5</v>
      </c>
      <c r="H116" s="12">
        <f>SUMPRODUCT(C$108:G$108,C116:G116)*2000/B$114</f>
        <v>192.30769230769232</v>
      </c>
    </row>
    <row r="117" spans="1:11" x14ac:dyDescent="0.3">
      <c r="A117" s="139" t="s">
        <v>317</v>
      </c>
      <c r="B117" s="178" t="s">
        <v>316</v>
      </c>
      <c r="C117" s="147"/>
      <c r="D117" s="147"/>
      <c r="E117" s="147"/>
      <c r="F117" s="147"/>
      <c r="G117" s="147"/>
      <c r="H117" s="370">
        <f t="shared" ref="H117" si="24">SUMPRODUCT(C$108:G$108,C117:G117)*2000/B$114</f>
        <v>0</v>
      </c>
    </row>
    <row r="118" spans="1:11" x14ac:dyDescent="0.3">
      <c r="A118" s="110" t="s">
        <v>222</v>
      </c>
      <c r="B118" s="174" t="s">
        <v>253</v>
      </c>
      <c r="C118" s="148"/>
      <c r="D118" s="148"/>
      <c r="E118" s="148"/>
      <c r="F118" s="148"/>
      <c r="G118" s="148">
        <v>10</v>
      </c>
      <c r="H118" s="12">
        <f>SUM(C118:G118)*B18</f>
        <v>120</v>
      </c>
    </row>
    <row r="119" spans="1:11" ht="14.5" thickBot="1" x14ac:dyDescent="0.35">
      <c r="A119" s="23" t="s">
        <v>7</v>
      </c>
      <c r="B119" s="121"/>
      <c r="C119" s="67">
        <f t="shared" ref="C119:F119" si="25">SUM(C112:C113)*C107+SUM(C115:C117)*(C108*2000/$B114)+C118*$B18</f>
        <v>0</v>
      </c>
      <c r="D119" s="67">
        <f t="shared" si="25"/>
        <v>0</v>
      </c>
      <c r="E119" s="67">
        <f t="shared" si="25"/>
        <v>0</v>
      </c>
      <c r="F119" s="67">
        <f t="shared" si="25"/>
        <v>0</v>
      </c>
      <c r="G119" s="67">
        <f>SUM(G112:G113)*G107+SUM(G115:G117)*(G108*2000/$B114)+G118*$B18</f>
        <v>1273.2307692307691</v>
      </c>
      <c r="H119" s="24">
        <f>SUM(H112:H118)</f>
        <v>1273.2307692307693</v>
      </c>
    </row>
    <row r="120" spans="1:11" ht="14.5" thickBot="1" x14ac:dyDescent="0.35">
      <c r="A120" s="14"/>
      <c r="B120" s="122"/>
      <c r="C120" s="15"/>
      <c r="D120" s="42"/>
      <c r="E120" s="42"/>
      <c r="F120" s="42"/>
      <c r="G120" s="42"/>
      <c r="H120" s="13"/>
    </row>
    <row r="121" spans="1:11" ht="15.5" x14ac:dyDescent="0.35">
      <c r="A121" s="183" t="s">
        <v>143</v>
      </c>
      <c r="B121" s="184"/>
      <c r="C121" s="185" t="str">
        <f>C$9</f>
        <v>Field 1</v>
      </c>
      <c r="D121" s="185" t="str">
        <f t="shared" ref="D121:H121" si="26">D$9</f>
        <v>Field 2</v>
      </c>
      <c r="E121" s="185" t="str">
        <f t="shared" si="26"/>
        <v>Field 3</v>
      </c>
      <c r="F121" s="185" t="str">
        <f t="shared" si="26"/>
        <v>Field 4</v>
      </c>
      <c r="G121" s="185" t="str">
        <f t="shared" si="26"/>
        <v>Field 5</v>
      </c>
      <c r="H121" s="186" t="str">
        <f t="shared" si="26"/>
        <v>Whole Farm</v>
      </c>
      <c r="I121" s="185" t="s">
        <v>24</v>
      </c>
      <c r="J121" s="342" t="s">
        <v>295</v>
      </c>
      <c r="K121" s="268" t="s">
        <v>298</v>
      </c>
    </row>
    <row r="122" spans="1:11" ht="15.5" x14ac:dyDescent="0.35">
      <c r="A122" s="175" t="s">
        <v>81</v>
      </c>
      <c r="B122" s="178" t="s">
        <v>84</v>
      </c>
      <c r="C122" s="334">
        <f>C12</f>
        <v>50</v>
      </c>
      <c r="D122" s="334">
        <f t="shared" ref="D122:H122" si="27">D12</f>
        <v>40</v>
      </c>
      <c r="E122" s="334">
        <f t="shared" si="27"/>
        <v>66</v>
      </c>
      <c r="F122" s="334">
        <f t="shared" si="27"/>
        <v>18</v>
      </c>
      <c r="G122" s="334">
        <f t="shared" si="27"/>
        <v>48</v>
      </c>
      <c r="H122" s="334">
        <f t="shared" si="27"/>
        <v>222</v>
      </c>
      <c r="I122" s="337"/>
      <c r="J122" s="340"/>
    </row>
    <row r="123" spans="1:11" x14ac:dyDescent="0.3">
      <c r="A123" s="109" t="s">
        <v>53</v>
      </c>
      <c r="B123" s="104"/>
      <c r="C123" s="74">
        <f>C12*C36</f>
        <v>-320</v>
      </c>
      <c r="D123" s="74">
        <f>D12*D36</f>
        <v>-256</v>
      </c>
      <c r="E123" s="74">
        <f>E12*E36</f>
        <v>-422.40000000000003</v>
      </c>
      <c r="F123" s="74">
        <f>F12*F36</f>
        <v>162</v>
      </c>
      <c r="G123" s="74">
        <f>G12*G36</f>
        <v>432</v>
      </c>
      <c r="H123" s="74">
        <f>H36</f>
        <v>-404.40000000000009</v>
      </c>
      <c r="I123" s="136">
        <f>IF(SUM(C$12:G$12)&gt;0,H123/SUM(C$12:G$12),0)</f>
        <v>-1.8216216216216221</v>
      </c>
      <c r="J123" s="354">
        <f>H123/H$75</f>
        <v>-6.7231920199501261</v>
      </c>
    </row>
    <row r="124" spans="1:11" x14ac:dyDescent="0.3">
      <c r="A124" s="109"/>
      <c r="B124" s="104"/>
      <c r="C124" s="11"/>
      <c r="D124" s="11"/>
      <c r="E124" s="11"/>
      <c r="F124" s="11"/>
      <c r="G124" s="11"/>
      <c r="H124" s="13"/>
      <c r="I124" s="89"/>
      <c r="J124" s="355"/>
    </row>
    <row r="125" spans="1:11" x14ac:dyDescent="0.3">
      <c r="A125" s="32" t="s">
        <v>59</v>
      </c>
      <c r="B125" s="75"/>
      <c r="C125" s="11"/>
      <c r="D125" s="11"/>
      <c r="E125" s="11"/>
      <c r="F125" s="11"/>
      <c r="G125" s="11"/>
      <c r="H125" s="68"/>
      <c r="I125" s="7"/>
      <c r="J125" s="355"/>
    </row>
    <row r="126" spans="1:11" x14ac:dyDescent="0.3">
      <c r="A126" s="109" t="s">
        <v>25</v>
      </c>
      <c r="B126" s="104"/>
      <c r="C126" s="13">
        <f>C39*C41</f>
        <v>625</v>
      </c>
      <c r="D126" s="13">
        <f>D39*D41</f>
        <v>400</v>
      </c>
      <c r="E126" s="13">
        <f>E39*E41</f>
        <v>480</v>
      </c>
      <c r="F126" s="13">
        <f>F39*F41</f>
        <v>1008</v>
      </c>
      <c r="G126" s="13">
        <f>G39*G41</f>
        <v>0</v>
      </c>
      <c r="H126" s="69">
        <f>H39</f>
        <v>2513</v>
      </c>
      <c r="I126" s="89">
        <f>IF(SUM(C$12:G$12)&gt;0,H126/SUM(C$12:G$12),0)</f>
        <v>11.31981981981982</v>
      </c>
      <c r="J126" s="356">
        <f t="shared" ref="J126:J142" si="28">H126/H$75</f>
        <v>41.778886118038237</v>
      </c>
    </row>
    <row r="127" spans="1:11" x14ac:dyDescent="0.3">
      <c r="A127" s="111" t="s">
        <v>55</v>
      </c>
      <c r="B127" s="120"/>
      <c r="C127" s="13">
        <f>C40*C41</f>
        <v>0</v>
      </c>
      <c r="D127" s="13">
        <f>D40*D41</f>
        <v>0</v>
      </c>
      <c r="E127" s="13">
        <f>E40*E41</f>
        <v>0</v>
      </c>
      <c r="F127" s="13">
        <f>F40*F41</f>
        <v>0</v>
      </c>
      <c r="G127" s="13">
        <f>G40*G41</f>
        <v>220</v>
      </c>
      <c r="H127" s="69">
        <f>H40</f>
        <v>220</v>
      </c>
      <c r="I127" s="89">
        <f>IF(SUM(C$12:G$12)&gt;0,H127/SUM(C$12:G$12),0)</f>
        <v>0.99099099099099097</v>
      </c>
      <c r="J127" s="356">
        <f t="shared" si="28"/>
        <v>3.6575228595178721</v>
      </c>
    </row>
    <row r="128" spans="1:11" x14ac:dyDescent="0.3">
      <c r="A128" s="175" t="s">
        <v>289</v>
      </c>
      <c r="B128" s="104"/>
      <c r="C128" s="13">
        <f>IF($H122&gt;0,$H128*C122/$H122,0)</f>
        <v>185.58558558558559</v>
      </c>
      <c r="D128" s="13">
        <f t="shared" ref="D128:G128" si="29">IF($H122&gt;0,$H128*D122/$H122,0)</f>
        <v>148.46846846846847</v>
      </c>
      <c r="E128" s="13">
        <f t="shared" si="29"/>
        <v>244.97297297297297</v>
      </c>
      <c r="F128" s="13">
        <f t="shared" si="29"/>
        <v>66.810810810810807</v>
      </c>
      <c r="G128" s="13">
        <f t="shared" si="29"/>
        <v>178.16216216216216</v>
      </c>
      <c r="H128" s="69">
        <f>H46+H51</f>
        <v>824</v>
      </c>
      <c r="I128" s="89">
        <f>IF(SUM(C$12:G$12)&gt;0,H128/SUM(C$12:G$12),0)</f>
        <v>3.7117117117117115</v>
      </c>
      <c r="J128" s="356">
        <f t="shared" si="28"/>
        <v>13.699085619285121</v>
      </c>
    </row>
    <row r="129" spans="1:11" x14ac:dyDescent="0.3">
      <c r="A129" s="109" t="s">
        <v>54</v>
      </c>
      <c r="B129" s="104"/>
      <c r="C129" s="64">
        <f>IF(C$130=0,$H129*C$12/($H$12-$H$107),0)</f>
        <v>1720.648148148148</v>
      </c>
      <c r="D129" s="64">
        <f>IF(D$130=0,$H129*D$12/($H$12-$H$107),0)</f>
        <v>1376.5185185185182</v>
      </c>
      <c r="E129" s="64">
        <f>IF(E$130=0,$H129*E$12/($H$12-$H$107),0)</f>
        <v>2271.2555555555555</v>
      </c>
      <c r="F129" s="64">
        <f>IF(F$130=0,$H129*F$12/($H$12-$H$107),0)</f>
        <v>619.43333333333328</v>
      </c>
      <c r="G129" s="64">
        <f>IF(G$130=0,$H129*G$12/($H$12-$H$107),0)</f>
        <v>0</v>
      </c>
      <c r="H129" s="13">
        <f>E103</f>
        <v>5987.8555555555549</v>
      </c>
      <c r="I129" s="89">
        <f>IF(SUM(C$12:G$12)&gt;0,H129/SUM(C$12:G$12),0)</f>
        <v>26.97232232232232</v>
      </c>
      <c r="J129" s="356">
        <f t="shared" si="28"/>
        <v>99.548720790616045</v>
      </c>
      <c r="K129" s="325" t="s">
        <v>162</v>
      </c>
    </row>
    <row r="130" spans="1:11" ht="17" x14ac:dyDescent="0.6">
      <c r="A130" s="109" t="s">
        <v>52</v>
      </c>
      <c r="B130" s="104"/>
      <c r="C130" s="66">
        <f t="shared" ref="C130:H130" si="30">C110</f>
        <v>0</v>
      </c>
      <c r="D130" s="66">
        <f t="shared" si="30"/>
        <v>0</v>
      </c>
      <c r="E130" s="66">
        <f t="shared" si="30"/>
        <v>0</v>
      </c>
      <c r="F130" s="66">
        <f t="shared" si="30"/>
        <v>0</v>
      </c>
      <c r="G130" s="66">
        <f t="shared" si="30"/>
        <v>1875</v>
      </c>
      <c r="H130" s="66">
        <f t="shared" si="30"/>
        <v>1875</v>
      </c>
      <c r="I130" s="338">
        <f>IF(SUM(C$12:G$12)&gt;0,H130/SUM(C$12:G$12),0)</f>
        <v>8.4459459459459456</v>
      </c>
      <c r="J130" s="357">
        <f t="shared" si="28"/>
        <v>31.172069825436409</v>
      </c>
    </row>
    <row r="131" spans="1:11" x14ac:dyDescent="0.3">
      <c r="A131" s="32" t="s">
        <v>26</v>
      </c>
      <c r="B131" s="75"/>
      <c r="C131" s="138">
        <f>SUM(C126:C130)</f>
        <v>2531.2337337337335</v>
      </c>
      <c r="D131" s="138">
        <f t="shared" ref="D131:I131" si="31">SUM(D126:D130)</f>
        <v>1924.9869869869867</v>
      </c>
      <c r="E131" s="138">
        <f t="shared" si="31"/>
        <v>2996.2285285285284</v>
      </c>
      <c r="F131" s="138">
        <f t="shared" si="31"/>
        <v>1694.2441441441442</v>
      </c>
      <c r="G131" s="138">
        <f t="shared" si="31"/>
        <v>2273.1621621621621</v>
      </c>
      <c r="H131" s="138">
        <f t="shared" si="31"/>
        <v>11419.855555555554</v>
      </c>
      <c r="I131" s="353">
        <f t="shared" si="31"/>
        <v>51.440790790790786</v>
      </c>
      <c r="J131" s="358">
        <f t="shared" si="28"/>
        <v>189.85628521289368</v>
      </c>
    </row>
    <row r="132" spans="1:11" x14ac:dyDescent="0.3">
      <c r="A132" s="32"/>
      <c r="B132" s="75"/>
      <c r="C132" s="11"/>
      <c r="D132" s="11"/>
      <c r="E132" s="11"/>
      <c r="F132" s="126"/>
      <c r="G132" s="11"/>
      <c r="H132" s="71"/>
      <c r="I132" s="136"/>
      <c r="J132" s="356"/>
    </row>
    <row r="133" spans="1:11" x14ac:dyDescent="0.3">
      <c r="A133" s="32" t="s">
        <v>60</v>
      </c>
      <c r="B133" s="75"/>
      <c r="C133" s="11"/>
      <c r="D133" s="11"/>
      <c r="E133" s="11"/>
      <c r="F133" s="11"/>
      <c r="G133" s="11"/>
      <c r="H133" s="11"/>
      <c r="I133" s="89"/>
      <c r="J133" s="356"/>
    </row>
    <row r="134" spans="1:11" x14ac:dyDescent="0.3">
      <c r="A134" s="109" t="s">
        <v>56</v>
      </c>
      <c r="B134" s="104"/>
      <c r="C134" s="13">
        <f t="shared" ref="C134:H134" si="32">C19</f>
        <v>1286</v>
      </c>
      <c r="D134" s="13">
        <f t="shared" si="32"/>
        <v>1020</v>
      </c>
      <c r="E134" s="13">
        <f t="shared" si="32"/>
        <v>948</v>
      </c>
      <c r="F134" s="13">
        <f t="shared" si="32"/>
        <v>384</v>
      </c>
      <c r="G134" s="13">
        <f t="shared" si="32"/>
        <v>768</v>
      </c>
      <c r="H134" s="13">
        <f t="shared" si="32"/>
        <v>4406</v>
      </c>
      <c r="I134" s="89">
        <f t="shared" ref="I134:I139" si="33">IF(SUM(C$12:G$12)&gt;0,H134/SUM(C$12:G$12),0)</f>
        <v>19.846846846846848</v>
      </c>
      <c r="J134" s="356">
        <f t="shared" si="28"/>
        <v>73.250207813798838</v>
      </c>
    </row>
    <row r="135" spans="1:11" x14ac:dyDescent="0.3">
      <c r="A135" s="109" t="s">
        <v>57</v>
      </c>
      <c r="B135" s="104"/>
      <c r="C135" s="13">
        <f t="shared" ref="C135:H135" si="34">C28</f>
        <v>0</v>
      </c>
      <c r="D135" s="13">
        <f t="shared" si="34"/>
        <v>0</v>
      </c>
      <c r="E135" s="13">
        <f t="shared" si="34"/>
        <v>498</v>
      </c>
      <c r="F135" s="13">
        <f t="shared" si="34"/>
        <v>0</v>
      </c>
      <c r="G135" s="13">
        <f t="shared" si="34"/>
        <v>0</v>
      </c>
      <c r="H135" s="13">
        <f t="shared" si="34"/>
        <v>498</v>
      </c>
      <c r="I135" s="89">
        <f t="shared" si="33"/>
        <v>2.2432432432432434</v>
      </c>
      <c r="J135" s="356">
        <f t="shared" si="28"/>
        <v>8.2793017456359106</v>
      </c>
    </row>
    <row r="136" spans="1:11" x14ac:dyDescent="0.3">
      <c r="A136" s="109" t="s">
        <v>96</v>
      </c>
      <c r="B136" s="104"/>
      <c r="C136" s="13">
        <f>(C44+C45)*C12</f>
        <v>0</v>
      </c>
      <c r="D136" s="13">
        <f>(D44+D45)*D12</f>
        <v>0</v>
      </c>
      <c r="E136" s="13">
        <f>(E44+E45)*E12</f>
        <v>0</v>
      </c>
      <c r="F136" s="13">
        <f>(F44+F45)*F12</f>
        <v>0</v>
      </c>
      <c r="G136" s="13">
        <f>(G44+G45)*G12</f>
        <v>0</v>
      </c>
      <c r="H136" s="13">
        <f>H44+H45</f>
        <v>0</v>
      </c>
      <c r="I136" s="89">
        <f t="shared" si="33"/>
        <v>0</v>
      </c>
      <c r="J136" s="356">
        <f t="shared" si="28"/>
        <v>0</v>
      </c>
    </row>
    <row r="137" spans="1:11" x14ac:dyDescent="0.3">
      <c r="A137" s="109" t="s">
        <v>71</v>
      </c>
      <c r="B137" s="104"/>
      <c r="C137" s="64">
        <f>IF($H122&gt;0,$H137*C122/$H$122,0)</f>
        <v>81.081081081081081</v>
      </c>
      <c r="D137" s="64">
        <f t="shared" ref="D137:G137" si="35">IF($H122&gt;0,$H137*D122/$H$122,0)</f>
        <v>64.86486486486487</v>
      </c>
      <c r="E137" s="64">
        <f t="shared" si="35"/>
        <v>107.02702702702703</v>
      </c>
      <c r="F137" s="64">
        <f t="shared" si="35"/>
        <v>29.189189189189189</v>
      </c>
      <c r="G137" s="64">
        <f t="shared" si="35"/>
        <v>77.837837837837839</v>
      </c>
      <c r="H137" s="13">
        <f>H50</f>
        <v>360</v>
      </c>
      <c r="I137" s="89">
        <f t="shared" si="33"/>
        <v>1.6216216216216217</v>
      </c>
      <c r="J137" s="356">
        <f t="shared" si="28"/>
        <v>5.9850374064837908</v>
      </c>
      <c r="K137" s="325" t="s">
        <v>294</v>
      </c>
    </row>
    <row r="138" spans="1:11" x14ac:dyDescent="0.3">
      <c r="A138" s="109" t="s">
        <v>72</v>
      </c>
      <c r="B138" s="104"/>
      <c r="C138" s="13">
        <f t="shared" ref="C138:H138" si="36">C66</f>
        <v>660.1809112843373</v>
      </c>
      <c r="D138" s="13">
        <f t="shared" si="36"/>
        <v>166.56858435681966</v>
      </c>
      <c r="E138" s="13">
        <f t="shared" si="36"/>
        <v>665.00000895047219</v>
      </c>
      <c r="F138" s="13">
        <f t="shared" si="36"/>
        <v>111.73760326132704</v>
      </c>
      <c r="G138" s="13">
        <f t="shared" si="36"/>
        <v>648.48661058016796</v>
      </c>
      <c r="H138" s="13">
        <f t="shared" si="36"/>
        <v>2251.9737184331243</v>
      </c>
      <c r="I138" s="89">
        <f t="shared" si="33"/>
        <v>10.144025758707768</v>
      </c>
      <c r="J138" s="356">
        <f t="shared" si="28"/>
        <v>37.439297064557344</v>
      </c>
    </row>
    <row r="139" spans="1:11" ht="17" x14ac:dyDescent="0.6">
      <c r="A139" s="109" t="s">
        <v>58</v>
      </c>
      <c r="B139" s="104"/>
      <c r="C139" s="66">
        <f t="shared" ref="C139:H139" si="37">C119</f>
        <v>0</v>
      </c>
      <c r="D139" s="66">
        <f t="shared" si="37"/>
        <v>0</v>
      </c>
      <c r="E139" s="66">
        <f t="shared" si="37"/>
        <v>0</v>
      </c>
      <c r="F139" s="66">
        <f t="shared" si="37"/>
        <v>0</v>
      </c>
      <c r="G139" s="66">
        <f t="shared" si="37"/>
        <v>1273.2307692307691</v>
      </c>
      <c r="H139" s="66">
        <f t="shared" si="37"/>
        <v>1273.2307692307693</v>
      </c>
      <c r="I139" s="338">
        <f t="shared" si="33"/>
        <v>5.7352737352737355</v>
      </c>
      <c r="J139" s="357">
        <f t="shared" si="28"/>
        <v>21.167593835923014</v>
      </c>
    </row>
    <row r="140" spans="1:11" x14ac:dyDescent="0.3">
      <c r="A140" s="32" t="s">
        <v>27</v>
      </c>
      <c r="B140" s="75"/>
      <c r="C140" s="74">
        <f t="shared" ref="C140:G140" si="38">SUM(C134:C139)</f>
        <v>2027.2619923654183</v>
      </c>
      <c r="D140" s="74">
        <f t="shared" si="38"/>
        <v>1251.4334492216844</v>
      </c>
      <c r="E140" s="74">
        <f t="shared" si="38"/>
        <v>2218.0270359774995</v>
      </c>
      <c r="F140" s="74">
        <f t="shared" si="38"/>
        <v>524.92679245051625</v>
      </c>
      <c r="G140" s="74">
        <f t="shared" si="38"/>
        <v>2767.5552176487749</v>
      </c>
      <c r="H140" s="74">
        <f>SUM(H134:H139)</f>
        <v>8789.2044876638938</v>
      </c>
      <c r="I140" s="136">
        <f>SUM(I134:I139)</f>
        <v>39.591011205693214</v>
      </c>
      <c r="J140" s="358">
        <f t="shared" si="28"/>
        <v>146.12143786639891</v>
      </c>
    </row>
    <row r="141" spans="1:11" x14ac:dyDescent="0.3">
      <c r="A141" s="32"/>
      <c r="B141" s="75"/>
      <c r="C141" s="11"/>
      <c r="D141" s="11"/>
      <c r="E141" s="11"/>
      <c r="F141" s="11"/>
      <c r="G141" s="11"/>
      <c r="H141" s="75"/>
      <c r="I141" s="136"/>
      <c r="J141" s="356"/>
    </row>
    <row r="142" spans="1:11" x14ac:dyDescent="0.3">
      <c r="A142" s="32" t="s">
        <v>28</v>
      </c>
      <c r="B142" s="75"/>
      <c r="C142" s="74">
        <f>C123+C131-C140</f>
        <v>183.97174136831518</v>
      </c>
      <c r="D142" s="74">
        <f t="shared" ref="D142:G142" si="39">D123+D131-D140</f>
        <v>417.55353776530228</v>
      </c>
      <c r="E142" s="74">
        <f t="shared" si="39"/>
        <v>355.80149255102879</v>
      </c>
      <c r="F142" s="74">
        <f t="shared" si="39"/>
        <v>1331.3173516936281</v>
      </c>
      <c r="G142" s="74">
        <f t="shared" si="39"/>
        <v>-62.393055486612866</v>
      </c>
      <c r="H142" s="74">
        <f>H123+H131-H140</f>
        <v>2226.2510678916606</v>
      </c>
      <c r="I142" s="136">
        <f>I123+I131-I140</f>
        <v>10.028157963475948</v>
      </c>
      <c r="J142" s="358">
        <f t="shared" si="28"/>
        <v>37.011655326544648</v>
      </c>
    </row>
    <row r="143" spans="1:11" ht="14.5" thickBot="1" x14ac:dyDescent="0.35">
      <c r="A143" s="76" t="s">
        <v>142</v>
      </c>
      <c r="B143" s="128"/>
      <c r="C143" s="133">
        <f t="shared" ref="C143:H143" si="40">IF(C12&gt;0,C142/C12,0)</f>
        <v>3.6794348273663036</v>
      </c>
      <c r="D143" s="133">
        <f t="shared" si="40"/>
        <v>10.438838444132557</v>
      </c>
      <c r="E143" s="133">
        <f t="shared" si="40"/>
        <v>5.3909317053186179</v>
      </c>
      <c r="F143" s="133">
        <f t="shared" si="40"/>
        <v>73.962075094090451</v>
      </c>
      <c r="G143" s="133">
        <f t="shared" si="40"/>
        <v>-1.299855322637768</v>
      </c>
      <c r="H143" s="133">
        <f t="shared" si="40"/>
        <v>10.028157963475948</v>
      </c>
      <c r="I143" s="133"/>
      <c r="J143" s="341"/>
    </row>
    <row r="144" spans="1:11" x14ac:dyDescent="0.3">
      <c r="C144" s="78"/>
    </row>
    <row r="145" spans="1:13" s="210" customFormat="1" ht="15.5" x14ac:dyDescent="0.35">
      <c r="A145" s="209" t="s">
        <v>236</v>
      </c>
      <c r="B145" s="209"/>
      <c r="J145" s="326"/>
      <c r="K145" s="311"/>
      <c r="L145" s="311"/>
      <c r="M145" s="311"/>
    </row>
    <row r="147" spans="1:13" x14ac:dyDescent="0.3">
      <c r="A147" s="106" t="s">
        <v>299</v>
      </c>
      <c r="C147" s="78"/>
      <c r="J147" s="267"/>
      <c r="K147" s="268"/>
      <c r="L147" s="268"/>
      <c r="M147" s="268"/>
    </row>
    <row r="148" spans="1:13" x14ac:dyDescent="0.3">
      <c r="A148" s="106" t="s">
        <v>264</v>
      </c>
      <c r="J148" s="267"/>
      <c r="K148" s="268"/>
      <c r="L148" s="268"/>
      <c r="M148" s="268"/>
    </row>
    <row r="149" spans="1:13" x14ac:dyDescent="0.3">
      <c r="A149" s="102" t="s">
        <v>262</v>
      </c>
      <c r="J149" s="267"/>
      <c r="K149" s="268"/>
      <c r="L149" s="268"/>
      <c r="M149" s="268"/>
    </row>
    <row r="150" spans="1:13" x14ac:dyDescent="0.3">
      <c r="A150" s="106" t="s">
        <v>265</v>
      </c>
      <c r="J150" s="267"/>
      <c r="K150" s="268"/>
      <c r="L150" s="268"/>
      <c r="M150" s="268"/>
    </row>
    <row r="151" spans="1:13" x14ac:dyDescent="0.3">
      <c r="A151" s="206" t="s">
        <v>274</v>
      </c>
      <c r="J151" s="267"/>
      <c r="K151" s="268"/>
      <c r="L151" s="268"/>
      <c r="M151" s="268"/>
    </row>
    <row r="152" spans="1:13" x14ac:dyDescent="0.3">
      <c r="J152" s="267"/>
      <c r="K152" s="268"/>
      <c r="L152" s="268"/>
      <c r="M152" s="268"/>
    </row>
    <row r="153" spans="1:13" x14ac:dyDescent="0.3">
      <c r="A153" s="260" t="s">
        <v>272</v>
      </c>
      <c r="B153" s="101"/>
      <c r="J153" s="267"/>
      <c r="K153" s="268"/>
      <c r="L153" s="268"/>
      <c r="M153" s="268"/>
    </row>
    <row r="154" spans="1:13" x14ac:dyDescent="0.3">
      <c r="A154" s="261" t="s">
        <v>273</v>
      </c>
      <c r="B154" s="101"/>
      <c r="J154" s="267"/>
      <c r="K154" s="268"/>
      <c r="L154" s="268"/>
      <c r="M154" s="268"/>
    </row>
    <row r="155" spans="1:13" x14ac:dyDescent="0.3">
      <c r="A155" s="11"/>
      <c r="J155" s="267"/>
      <c r="K155" s="268"/>
      <c r="L155" s="268"/>
      <c r="M155" s="268"/>
    </row>
  </sheetData>
  <sheetProtection sheet="1" objects="1" scenarios="1"/>
  <mergeCells count="1">
    <mergeCell ref="J73:P73"/>
  </mergeCells>
  <hyperlinks>
    <hyperlink ref="J49" r:id="rId1" xr:uid="{00000000-0004-0000-0300-000000000000}"/>
    <hyperlink ref="J16" r:id="rId2" display="(mach. vc, p. 15" xr:uid="{00000000-0004-0000-0300-000001000000}"/>
    <hyperlink ref="J15" r:id="rId3" display="Custom rates" xr:uid="{00000000-0004-0000-0300-000002000000}"/>
    <hyperlink ref="J113" r:id="rId4" display="(mach. vc, p. 15" xr:uid="{00000000-0004-0000-0300-000003000000}"/>
    <hyperlink ref="J112" r:id="rId5" display="Custom rates" xr:uid="{00000000-0004-0000-0300-000004000000}"/>
    <hyperlink ref="A151" r:id="rId6" xr:uid="{00000000-0004-0000-0300-000005000000}"/>
    <hyperlink ref="A3" r:id="rId7" display="See the Ag Decision Maker page, Economics of Cover Crops for more information." xr:uid="{00000000-0004-0000-0300-000006000000}"/>
    <hyperlink ref="J9" r:id="rId8" xr:uid="{00000000-0004-0000-0300-000007000000}"/>
    <hyperlink ref="J78" r:id="rId9" xr:uid="{00000000-0004-0000-0300-000008000000}"/>
    <hyperlink ref="J88" r:id="rId10" xr:uid="{00000000-0004-0000-0300-000009000000}"/>
  </hyperlinks>
  <pageMargins left="0.7" right="0.7" top="0.75" bottom="0.75" header="0.3" footer="0.3"/>
  <pageSetup scale="46" fitToHeight="2" orientation="landscape" r:id="rId11"/>
  <rowBreaks count="1" manualBreakCount="1">
    <brk id="66" max="8" man="1"/>
  </rowBreaks>
  <drawing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Introduction</vt:lpstr>
      <vt:lpstr>Cover Crops Budget</vt:lpstr>
      <vt:lpstr>Grazing Cover Crops Budget</vt:lpstr>
      <vt:lpstr>Grazing Cover Crops Results</vt:lpstr>
      <vt:lpstr>'Cover Crops Budget'!Print_Area</vt:lpstr>
      <vt:lpstr>'Grazing Cover Crops Budget'!Print_Area</vt:lpstr>
      <vt:lpstr>'Grazing Cover Crops Results'!Print_Area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</dc:creator>
  <cp:lastModifiedBy>Gina Nichols</cp:lastModifiedBy>
  <cp:lastPrinted>2018-03-21T14:47:15Z</cp:lastPrinted>
  <dcterms:created xsi:type="dcterms:W3CDTF">2017-11-21T19:17:25Z</dcterms:created>
  <dcterms:modified xsi:type="dcterms:W3CDTF">2022-05-06T21:49:16Z</dcterms:modified>
</cp:coreProperties>
</file>