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codeName="ThisWorkbook" defaultThemeVersion="124226"/>
  <bookViews>
    <workbookView xWindow="240" yWindow="585" windowWidth="14805" windowHeight="7530" activeTab="4"/>
  </bookViews>
  <sheets>
    <sheet name="Cover" sheetId="28" r:id="rId1"/>
    <sheet name="About" sheetId="29" r:id="rId2"/>
    <sheet name="Narrative" sheetId="50" r:id="rId3"/>
    <sheet name="Index" sheetId="4" r:id="rId4"/>
    <sheet name="Risk Free Rate" sheetId="24" r:id="rId5"/>
    <sheet name="Equity Risk Premium" sheetId="26" r:id="rId6"/>
    <sheet name="Beta" sheetId="30" r:id="rId7"/>
    <sheet name="Cost of Equity &amp; Debt" sheetId="23" r:id="rId8"/>
    <sheet name="WACC" sheetId="31" r:id="rId9"/>
    <sheet name="Cash Flows" sheetId="17" r:id="rId10"/>
    <sheet name="EBIT &amp; Operating Lease" sheetId="33" r:id="rId11"/>
    <sheet name="EBIT &amp; Advertising Expense" sheetId="49" r:id="rId12"/>
    <sheet name="Net CapEx" sheetId="32" r:id="rId13"/>
    <sheet name="Working Capital Changes" sheetId="34" r:id="rId14"/>
    <sheet name="FCFF &amp; FCFE" sheetId="35" r:id="rId15"/>
    <sheet name="Growth Rate &amp; TV" sheetId="36" r:id="rId16"/>
    <sheet name="Expected Growth Rate" sheetId="39" r:id="rId17"/>
    <sheet name="Future Cashflows (10 Yrs)" sheetId="37" r:id="rId18"/>
    <sheet name="Terminal Value" sheetId="40" r:id="rId19"/>
    <sheet name="Road to Fair Value of Share" sheetId="42" r:id="rId20"/>
    <sheet name="Cash &amp; Marketable Securities" sheetId="43" r:id="rId21"/>
    <sheet name="Value of Cross Holdings" sheetId="41" r:id="rId22"/>
    <sheet name="Trent HyperMarket Pvt Ltd" sheetId="44" r:id="rId23"/>
    <sheet name="Massimo Dutti Pvt Ltd" sheetId="45" r:id="rId24"/>
    <sheet name="Inditex Retail Pvt Ltd" sheetId="46" r:id="rId25"/>
    <sheet name="Fair Value of Share" sheetId="48" r:id="rId26"/>
  </sheets>
  <calcPr calcId="162913" iterate="1"/>
</workbook>
</file>

<file path=xl/calcChain.xml><?xml version="1.0" encoding="utf-8"?>
<calcChain xmlns="http://schemas.openxmlformats.org/spreadsheetml/2006/main">
  <c r="C11" i="40" l="1"/>
  <c r="C9" i="40"/>
  <c r="C3" i="39"/>
  <c r="I4" i="46" l="1"/>
  <c r="K6" i="45"/>
  <c r="K7" i="45"/>
  <c r="K8" i="45"/>
  <c r="K9" i="45"/>
  <c r="K10" i="45"/>
  <c r="K11" i="45"/>
  <c r="K12" i="45"/>
  <c r="K13" i="45"/>
  <c r="K14" i="45"/>
  <c r="K5" i="45"/>
  <c r="K4" i="45"/>
  <c r="L5" i="44" l="1"/>
  <c r="L6" i="44"/>
  <c r="L7" i="44"/>
  <c r="L8" i="44"/>
  <c r="L9" i="44"/>
  <c r="L10" i="44"/>
  <c r="L11" i="44"/>
  <c r="L12" i="44"/>
  <c r="L13" i="44"/>
  <c r="L14" i="44"/>
  <c r="L4" i="44"/>
  <c r="L4" i="46"/>
  <c r="C4" i="40"/>
  <c r="C9" i="32"/>
  <c r="C8" i="32"/>
  <c r="C7" i="32"/>
  <c r="G5" i="35"/>
  <c r="C10" i="49"/>
  <c r="C7" i="49"/>
  <c r="C6" i="49"/>
  <c r="C5" i="49"/>
  <c r="L8" i="49"/>
  <c r="I8" i="49"/>
  <c r="J8" i="49"/>
  <c r="K8" i="49"/>
  <c r="H8" i="49"/>
  <c r="M8" i="49" s="1"/>
  <c r="H7" i="49"/>
  <c r="I7" i="49"/>
  <c r="J7" i="49"/>
  <c r="K7" i="49"/>
  <c r="L7" i="49"/>
  <c r="G7" i="49"/>
  <c r="M7" i="49" s="1"/>
  <c r="K6" i="49"/>
  <c r="J6" i="49"/>
  <c r="I6" i="49"/>
  <c r="H6" i="49"/>
  <c r="B20" i="4" l="1"/>
  <c r="B21" i="4" s="1"/>
  <c r="B22" i="4" s="1"/>
  <c r="B23" i="4" s="1"/>
  <c r="B24" i="4" s="1"/>
  <c r="B25" i="4" s="1"/>
  <c r="B26" i="4" s="1"/>
  <c r="F16" i="41"/>
  <c r="M21" i="46"/>
  <c r="M23" i="46" s="1"/>
  <c r="F10" i="31"/>
  <c r="G14" i="46"/>
  <c r="J21" i="46"/>
  <c r="J20" i="46"/>
  <c r="J23" i="46"/>
  <c r="F17" i="46"/>
  <c r="D4" i="37"/>
  <c r="D5" i="37"/>
  <c r="D6" i="37"/>
  <c r="D7" i="37"/>
  <c r="D8" i="37"/>
  <c r="D9" i="37"/>
  <c r="D10" i="37"/>
  <c r="D11" i="37"/>
  <c r="D12" i="37"/>
  <c r="D13" i="37"/>
  <c r="D14" i="37"/>
  <c r="C17" i="46"/>
  <c r="C16" i="46"/>
  <c r="C20" i="46" s="1"/>
  <c r="C13" i="46"/>
  <c r="C5" i="46"/>
  <c r="C12" i="46"/>
  <c r="M22" i="46"/>
  <c r="C18" i="46"/>
  <c r="C19" i="46"/>
  <c r="C8" i="46"/>
  <c r="C7" i="46"/>
  <c r="G5" i="46"/>
  <c r="G6" i="46" s="1"/>
  <c r="J4" i="46"/>
  <c r="K4" i="46" s="1"/>
  <c r="C3" i="46"/>
  <c r="C26" i="45"/>
  <c r="F17" i="45"/>
  <c r="M21" i="45"/>
  <c r="J20" i="45"/>
  <c r="J23" i="45"/>
  <c r="C5" i="45"/>
  <c r="C15" i="45"/>
  <c r="I4" i="45"/>
  <c r="H4" i="45"/>
  <c r="C13" i="45"/>
  <c r="C12" i="45"/>
  <c r="C17" i="45"/>
  <c r="C18" i="45" s="1"/>
  <c r="C16" i="45"/>
  <c r="C20" i="45" s="1"/>
  <c r="M22" i="45"/>
  <c r="C8" i="45"/>
  <c r="C7" i="45"/>
  <c r="F5" i="45"/>
  <c r="F6" i="45" s="1"/>
  <c r="C3" i="45"/>
  <c r="C16" i="44"/>
  <c r="C20" i="44" s="1"/>
  <c r="C17" i="44"/>
  <c r="C18" i="44" s="1"/>
  <c r="C26" i="44"/>
  <c r="F17" i="44"/>
  <c r="G14" i="44"/>
  <c r="J14" i="44" s="1"/>
  <c r="K14" i="44" s="1"/>
  <c r="M5" i="44"/>
  <c r="J23" i="44"/>
  <c r="M22" i="44"/>
  <c r="G5" i="44"/>
  <c r="G6" i="44" s="1"/>
  <c r="M6" i="44" s="1"/>
  <c r="C13" i="44"/>
  <c r="C5" i="44"/>
  <c r="C12" i="44"/>
  <c r="C19" i="44" s="1"/>
  <c r="C8" i="44"/>
  <c r="C7" i="44"/>
  <c r="F12" i="31"/>
  <c r="C19" i="30"/>
  <c r="C17" i="30"/>
  <c r="C16" i="30"/>
  <c r="C3" i="44"/>
  <c r="J5" i="46" l="1"/>
  <c r="K5" i="46" s="1"/>
  <c r="J6" i="46"/>
  <c r="K6" i="46" s="1"/>
  <c r="G7" i="46"/>
  <c r="F7" i="45"/>
  <c r="L6" i="45"/>
  <c r="I6" i="45"/>
  <c r="J6" i="45" s="1"/>
  <c r="C19" i="45"/>
  <c r="I5" i="45"/>
  <c r="J5" i="45" s="1"/>
  <c r="L5" i="45"/>
  <c r="L7" i="45"/>
  <c r="I7" i="45"/>
  <c r="J7" i="45" s="1"/>
  <c r="F8" i="45"/>
  <c r="J4" i="45"/>
  <c r="G17" i="45" s="1"/>
  <c r="I4" i="44"/>
  <c r="J4" i="44" s="1"/>
  <c r="M21" i="44"/>
  <c r="M23" i="44" s="1"/>
  <c r="J5" i="44"/>
  <c r="K5" i="44" s="1"/>
  <c r="N5" i="44" s="1"/>
  <c r="G7" i="44"/>
  <c r="M7" i="44" s="1"/>
  <c r="J6" i="44"/>
  <c r="K6" i="44" s="1"/>
  <c r="K4" i="44"/>
  <c r="C10" i="43"/>
  <c r="C5" i="43"/>
  <c r="C6" i="43" s="1"/>
  <c r="G4" i="37"/>
  <c r="G5" i="37" s="1"/>
  <c r="F27" i="26"/>
  <c r="G6" i="37" l="1"/>
  <c r="G7" i="37" s="1"/>
  <c r="G8" i="37" s="1"/>
  <c r="G9" i="37" s="1"/>
  <c r="G10" i="37" s="1"/>
  <c r="G11" i="37" s="1"/>
  <c r="J5" i="37"/>
  <c r="G8" i="46"/>
  <c r="J7" i="46"/>
  <c r="K7" i="46" s="1"/>
  <c r="G17" i="46"/>
  <c r="M5" i="45"/>
  <c r="M6" i="45"/>
  <c r="F18" i="45"/>
  <c r="F9" i="45"/>
  <c r="I8" i="45"/>
  <c r="J8" i="45" s="1"/>
  <c r="L8" i="45"/>
  <c r="M7" i="45"/>
  <c r="F18" i="44"/>
  <c r="F19" i="44" s="1"/>
  <c r="F20" i="44" s="1"/>
  <c r="G17" i="44"/>
  <c r="N6" i="44"/>
  <c r="G8" i="44"/>
  <c r="M8" i="44" s="1"/>
  <c r="J7" i="44"/>
  <c r="C15" i="44" s="1"/>
  <c r="G18" i="37"/>
  <c r="L25" i="30"/>
  <c r="G9" i="46" l="1"/>
  <c r="J8" i="46"/>
  <c r="K8" i="46" s="1"/>
  <c r="F19" i="45"/>
  <c r="G18" i="45"/>
  <c r="I9" i="45"/>
  <c r="J9" i="45" s="1"/>
  <c r="L9" i="45"/>
  <c r="F10" i="45"/>
  <c r="M8" i="45"/>
  <c r="G18" i="44"/>
  <c r="G19" i="44"/>
  <c r="F21" i="44"/>
  <c r="K7" i="44"/>
  <c r="G9" i="44"/>
  <c r="M9" i="44" s="1"/>
  <c r="J8" i="44"/>
  <c r="K8" i="44" s="1"/>
  <c r="G4" i="40"/>
  <c r="G12" i="40"/>
  <c r="G15" i="40" s="1"/>
  <c r="G11" i="40"/>
  <c r="C5" i="40"/>
  <c r="C8" i="40"/>
  <c r="G10" i="46" l="1"/>
  <c r="J9" i="46"/>
  <c r="K9" i="46" s="1"/>
  <c r="F20" i="45"/>
  <c r="G19" i="45"/>
  <c r="M9" i="45"/>
  <c r="L10" i="45"/>
  <c r="F11" i="45"/>
  <c r="I10" i="45"/>
  <c r="J10" i="45" s="1"/>
  <c r="G20" i="44"/>
  <c r="N7" i="44"/>
  <c r="G21" i="44"/>
  <c r="N8" i="44"/>
  <c r="F22" i="44"/>
  <c r="G10" i="44"/>
  <c r="M10" i="44" s="1"/>
  <c r="J9" i="44"/>
  <c r="K9" i="44" s="1"/>
  <c r="G13" i="39"/>
  <c r="B20" i="37"/>
  <c r="B21" i="37" s="1"/>
  <c r="B22" i="37" s="1"/>
  <c r="B23" i="37" s="1"/>
  <c r="B24" i="37" s="1"/>
  <c r="B25" i="37" s="1"/>
  <c r="B26" i="37" s="1"/>
  <c r="B27" i="37" s="1"/>
  <c r="B28" i="37" s="1"/>
  <c r="N29" i="37"/>
  <c r="M29" i="37"/>
  <c r="N28" i="37"/>
  <c r="M28" i="37"/>
  <c r="C10" i="30"/>
  <c r="E4" i="37"/>
  <c r="F4" i="37"/>
  <c r="C5" i="37"/>
  <c r="C6" i="37" s="1"/>
  <c r="C7" i="37" s="1"/>
  <c r="C8" i="37" s="1"/>
  <c r="C9" i="37" s="1"/>
  <c r="C10" i="37" s="1"/>
  <c r="C11" i="37" s="1"/>
  <c r="C12" i="37" s="1"/>
  <c r="C13" i="37" s="1"/>
  <c r="C14" i="37" s="1"/>
  <c r="C4" i="37"/>
  <c r="B6" i="37"/>
  <c r="B7" i="37" s="1"/>
  <c r="B8" i="37" s="1"/>
  <c r="B9" i="37" s="1"/>
  <c r="B10" i="37" s="1"/>
  <c r="B11" i="37" s="1"/>
  <c r="B12" i="37" s="1"/>
  <c r="B13" i="37" s="1"/>
  <c r="B14" i="37" s="1"/>
  <c r="J10" i="46" l="1"/>
  <c r="K10" i="46" s="1"/>
  <c r="G11" i="46"/>
  <c r="G20" i="45"/>
  <c r="F21" i="45"/>
  <c r="M10" i="45"/>
  <c r="I11" i="45"/>
  <c r="J11" i="45" s="1"/>
  <c r="F12" i="45"/>
  <c r="L11" i="45"/>
  <c r="G22" i="44"/>
  <c r="N9" i="44"/>
  <c r="F23" i="44"/>
  <c r="G11" i="44"/>
  <c r="M11" i="44" s="1"/>
  <c r="J10" i="44"/>
  <c r="K10" i="44" s="1"/>
  <c r="C25" i="37"/>
  <c r="E25" i="37" s="1"/>
  <c r="J11" i="37"/>
  <c r="K11" i="37" s="1"/>
  <c r="J6" i="37"/>
  <c r="K6" i="37" s="1"/>
  <c r="C22" i="37"/>
  <c r="E22" i="37" s="1"/>
  <c r="J10" i="37"/>
  <c r="K10" i="37" s="1"/>
  <c r="C19" i="37"/>
  <c r="E19" i="37" s="1"/>
  <c r="J7" i="37"/>
  <c r="K7" i="37" s="1"/>
  <c r="C23" i="37"/>
  <c r="E23" i="37" s="1"/>
  <c r="J9" i="37"/>
  <c r="K9" i="37" s="1"/>
  <c r="K5" i="37"/>
  <c r="C21" i="37"/>
  <c r="E21" i="37" s="1"/>
  <c r="J8" i="37"/>
  <c r="K8" i="37" s="1"/>
  <c r="F22" i="37" s="1"/>
  <c r="C24" i="37"/>
  <c r="E24" i="37" s="1"/>
  <c r="C20" i="37"/>
  <c r="E20" i="37" s="1"/>
  <c r="E5" i="37"/>
  <c r="E13" i="37"/>
  <c r="E10" i="37"/>
  <c r="E14" i="37"/>
  <c r="F14" i="37" s="1"/>
  <c r="E6" i="37"/>
  <c r="E8" i="37"/>
  <c r="E12" i="37"/>
  <c r="E11" i="37"/>
  <c r="E7" i="37"/>
  <c r="E9" i="37"/>
  <c r="F12" i="37"/>
  <c r="F9" i="37"/>
  <c r="F6" i="37"/>
  <c r="F11" i="37"/>
  <c r="F6" i="48" l="1"/>
  <c r="G19" i="37"/>
  <c r="H19" i="37" s="1"/>
  <c r="F19" i="37"/>
  <c r="G12" i="37"/>
  <c r="G13" i="37" s="1"/>
  <c r="C27" i="37" s="1"/>
  <c r="E27" i="37" s="1"/>
  <c r="G12" i="46"/>
  <c r="J11" i="46"/>
  <c r="K11" i="46" s="1"/>
  <c r="G21" i="45"/>
  <c r="F22" i="45"/>
  <c r="L12" i="45"/>
  <c r="F13" i="45"/>
  <c r="F14" i="45" s="1"/>
  <c r="I12" i="45"/>
  <c r="J12" i="45" s="1"/>
  <c r="M11" i="45"/>
  <c r="F24" i="44"/>
  <c r="G23" i="44"/>
  <c r="N10" i="44"/>
  <c r="G12" i="44"/>
  <c r="M12" i="44" s="1"/>
  <c r="J11" i="44"/>
  <c r="K11" i="44" s="1"/>
  <c r="F21" i="37"/>
  <c r="F25" i="37"/>
  <c r="F20" i="37"/>
  <c r="D6" i="48" s="1"/>
  <c r="F24" i="37"/>
  <c r="F23" i="37"/>
  <c r="G20" i="37"/>
  <c r="G21" i="37" s="1"/>
  <c r="G22" i="37" s="1"/>
  <c r="G23" i="37" s="1"/>
  <c r="G24" i="37" s="1"/>
  <c r="G25" i="37" s="1"/>
  <c r="H25" i="37" s="1"/>
  <c r="F10" i="37"/>
  <c r="F5" i="37"/>
  <c r="F13" i="37"/>
  <c r="F8" i="37"/>
  <c r="F7" i="37"/>
  <c r="J12" i="37"/>
  <c r="K12" i="37" s="1"/>
  <c r="J6" i="34"/>
  <c r="L6" i="34"/>
  <c r="I6" i="48" l="1"/>
  <c r="G6" i="48"/>
  <c r="E6" i="48"/>
  <c r="H6" i="48"/>
  <c r="C6" i="48"/>
  <c r="C26" i="37"/>
  <c r="E26" i="37" s="1"/>
  <c r="F26" i="37" s="1"/>
  <c r="J12" i="46"/>
  <c r="K12" i="46" s="1"/>
  <c r="G13" i="46"/>
  <c r="G22" i="45"/>
  <c r="F23" i="45"/>
  <c r="I14" i="45"/>
  <c r="J14" i="45" s="1"/>
  <c r="M23" i="45"/>
  <c r="I13" i="45"/>
  <c r="J13" i="45" s="1"/>
  <c r="L13" i="45"/>
  <c r="L14" i="45"/>
  <c r="M12" i="45"/>
  <c r="G24" i="44"/>
  <c r="N11" i="44"/>
  <c r="F25" i="44"/>
  <c r="G13" i="44"/>
  <c r="J12" i="44"/>
  <c r="K12" i="44" s="1"/>
  <c r="H21" i="37"/>
  <c r="H20" i="37"/>
  <c r="H24" i="37"/>
  <c r="H23" i="37"/>
  <c r="H22" i="37"/>
  <c r="G14" i="37"/>
  <c r="J13" i="37"/>
  <c r="K13" i="37" s="1"/>
  <c r="F27" i="37" s="1"/>
  <c r="F11" i="35"/>
  <c r="C8" i="34"/>
  <c r="C5" i="34"/>
  <c r="J11" i="34"/>
  <c r="L11" i="34"/>
  <c r="L17" i="34"/>
  <c r="H11" i="34"/>
  <c r="I11" i="34"/>
  <c r="K11" i="34"/>
  <c r="H13" i="34"/>
  <c r="H17" i="34" s="1"/>
  <c r="I13" i="34"/>
  <c r="I17" i="34" s="1"/>
  <c r="J13" i="34"/>
  <c r="J17" i="34" s="1"/>
  <c r="K13" i="34"/>
  <c r="K17" i="34" s="1"/>
  <c r="B5" i="35"/>
  <c r="B3" i="35"/>
  <c r="K6" i="48" l="1"/>
  <c r="J6" i="48"/>
  <c r="G26" i="37"/>
  <c r="G27" i="37" s="1"/>
  <c r="C7" i="40"/>
  <c r="J14" i="37"/>
  <c r="K14" i="37" s="1"/>
  <c r="J13" i="46"/>
  <c r="K13" i="46" s="1"/>
  <c r="M14" i="45"/>
  <c r="G23" i="45"/>
  <c r="F24" i="45"/>
  <c r="M13" i="45"/>
  <c r="M13" i="44"/>
  <c r="F26" i="44" s="1"/>
  <c r="M14" i="44"/>
  <c r="N14" i="44" s="1"/>
  <c r="N12" i="44"/>
  <c r="G25" i="44"/>
  <c r="J13" i="44"/>
  <c r="K13" i="44" s="1"/>
  <c r="H26" i="37"/>
  <c r="C28" i="37"/>
  <c r="E28" i="37" s="1"/>
  <c r="H27" i="37"/>
  <c r="L19" i="34"/>
  <c r="L24" i="34" s="1"/>
  <c r="J19" i="34"/>
  <c r="J24" i="34" s="1"/>
  <c r="I19" i="34"/>
  <c r="H19" i="34"/>
  <c r="H24" i="34" s="1"/>
  <c r="K19" i="34"/>
  <c r="K15" i="35"/>
  <c r="K13" i="35"/>
  <c r="J11" i="35"/>
  <c r="K6" i="35"/>
  <c r="F10" i="35"/>
  <c r="G6" i="35"/>
  <c r="K8" i="35" s="1"/>
  <c r="F6" i="35"/>
  <c r="F5" i="35"/>
  <c r="J5" i="35" s="1"/>
  <c r="D25" i="34"/>
  <c r="C4" i="32"/>
  <c r="C5" i="32"/>
  <c r="G10" i="35" s="1"/>
  <c r="C9" i="33"/>
  <c r="C11" i="33" s="1"/>
  <c r="C13" i="33" s="1"/>
  <c r="C26" i="33"/>
  <c r="C23" i="33"/>
  <c r="C20" i="33"/>
  <c r="C19" i="33"/>
  <c r="C21" i="33" s="1"/>
  <c r="B14" i="33"/>
  <c r="C24" i="33" l="1"/>
  <c r="C14" i="33" s="1"/>
  <c r="C15" i="33" s="1"/>
  <c r="C3" i="49" s="1"/>
  <c r="C9" i="49" s="1"/>
  <c r="C11" i="49" s="1"/>
  <c r="C13" i="49" s="1"/>
  <c r="J14" i="46"/>
  <c r="K14" i="46" s="1"/>
  <c r="G24" i="45"/>
  <c r="F25" i="45"/>
  <c r="F27" i="44"/>
  <c r="G27" i="44" s="1"/>
  <c r="G26" i="44"/>
  <c r="N13" i="44"/>
  <c r="G28" i="37"/>
  <c r="H28" i="37" s="1"/>
  <c r="F28" i="37"/>
  <c r="K21" i="34"/>
  <c r="K24" i="34"/>
  <c r="I21" i="34"/>
  <c r="I24" i="34"/>
  <c r="L25" i="34" s="1"/>
  <c r="C3" i="34" s="1"/>
  <c r="J21" i="34"/>
  <c r="L21" i="34"/>
  <c r="I26" i="23"/>
  <c r="H26" i="23"/>
  <c r="L6" i="48" l="1"/>
  <c r="J4" i="37"/>
  <c r="I4" i="37"/>
  <c r="K4" i="37"/>
  <c r="H18" i="37" s="1"/>
  <c r="G25" i="45"/>
  <c r="F26" i="45"/>
  <c r="M18" i="44"/>
  <c r="M19" i="44" s="1"/>
  <c r="M25" i="44" s="1"/>
  <c r="C6" i="34"/>
  <c r="C9" i="34"/>
  <c r="C11" i="31"/>
  <c r="B11" i="31"/>
  <c r="B9" i="31"/>
  <c r="B8" i="31"/>
  <c r="C6" i="31"/>
  <c r="B6" i="31"/>
  <c r="B5" i="31"/>
  <c r="F29" i="31"/>
  <c r="F9" i="31"/>
  <c r="F17" i="31" s="1"/>
  <c r="M21" i="30"/>
  <c r="M12" i="30"/>
  <c r="K5" i="35" l="1"/>
  <c r="K7" i="35" s="1"/>
  <c r="K9" i="35" s="1"/>
  <c r="G8" i="35"/>
  <c r="F27" i="45"/>
  <c r="G27" i="45" s="1"/>
  <c r="G26" i="45"/>
  <c r="C11" i="34"/>
  <c r="G11" i="35" s="1"/>
  <c r="G12" i="35" s="1"/>
  <c r="K11" i="35" s="1"/>
  <c r="H27" i="23"/>
  <c r="I27" i="23"/>
  <c r="J26" i="23"/>
  <c r="J27" i="23" s="1"/>
  <c r="K26" i="23"/>
  <c r="K27" i="23" s="1"/>
  <c r="L26" i="23"/>
  <c r="L27" i="23" s="1"/>
  <c r="C17" i="23"/>
  <c r="C16" i="23"/>
  <c r="C5" i="23"/>
  <c r="J26" i="30"/>
  <c r="I26" i="30"/>
  <c r="I25" i="30"/>
  <c r="H26" i="30"/>
  <c r="C9" i="30"/>
  <c r="D9" i="30" s="1"/>
  <c r="N21" i="30"/>
  <c r="N12" i="30"/>
  <c r="I21" i="30"/>
  <c r="K17" i="30"/>
  <c r="L17" i="30"/>
  <c r="L18" i="30"/>
  <c r="K18" i="30"/>
  <c r="L19" i="30"/>
  <c r="K19" i="30"/>
  <c r="I12" i="30"/>
  <c r="L11" i="30"/>
  <c r="K11" i="30"/>
  <c r="K7" i="30"/>
  <c r="L7" i="30"/>
  <c r="K8" i="30"/>
  <c r="L8" i="30"/>
  <c r="K9" i="30"/>
  <c r="L9" i="30"/>
  <c r="K10" i="30"/>
  <c r="L10" i="30"/>
  <c r="L5" i="30"/>
  <c r="K5" i="30"/>
  <c r="C4" i="30"/>
  <c r="C3" i="30"/>
  <c r="C9" i="44" l="1"/>
  <c r="C9" i="45"/>
  <c r="C9" i="46"/>
  <c r="M18" i="45"/>
  <c r="M19" i="45" s="1"/>
  <c r="M25" i="45" s="1"/>
  <c r="K17" i="35"/>
  <c r="C5" i="35" s="1"/>
  <c r="C4" i="39"/>
  <c r="C7" i="39"/>
  <c r="H25" i="30"/>
  <c r="G14" i="35"/>
  <c r="C3" i="35" s="1"/>
  <c r="F18" i="37" s="1"/>
  <c r="L26" i="30"/>
  <c r="C20" i="23"/>
  <c r="L28" i="23"/>
  <c r="D10" i="30"/>
  <c r="J4" i="26"/>
  <c r="J5" i="26"/>
  <c r="J6" i="26"/>
  <c r="J7" i="26"/>
  <c r="J8" i="26"/>
  <c r="I14" i="26"/>
  <c r="J13" i="26"/>
  <c r="J12" i="26"/>
  <c r="J11" i="26"/>
  <c r="E21" i="26"/>
  <c r="M4" i="26"/>
  <c r="C11" i="26"/>
  <c r="J9" i="26"/>
  <c r="J10" i="26"/>
  <c r="C7" i="26"/>
  <c r="C6" i="26"/>
  <c r="C3" i="26"/>
  <c r="B6" i="4"/>
  <c r="B7" i="4" s="1"/>
  <c r="B8" i="4" s="1"/>
  <c r="B9" i="4" s="1"/>
  <c r="B10" i="4" s="1"/>
  <c r="B11" i="4" s="1"/>
  <c r="B12" i="4" s="1"/>
  <c r="B13" i="4" s="1"/>
  <c r="B14" i="4" s="1"/>
  <c r="B15" i="4" s="1"/>
  <c r="B16" i="4" s="1"/>
  <c r="B17" i="4" s="1"/>
  <c r="B18" i="4" s="1"/>
  <c r="B19" i="4" s="1"/>
  <c r="J18" i="46" l="1"/>
  <c r="C11" i="46"/>
  <c r="C21" i="46" s="1"/>
  <c r="C23" i="46" s="1"/>
  <c r="C29" i="46" s="1"/>
  <c r="J18" i="45"/>
  <c r="C11" i="45"/>
  <c r="C21" i="45" s="1"/>
  <c r="C23" i="45" s="1"/>
  <c r="C29" i="45" s="1"/>
  <c r="C11" i="44"/>
  <c r="C21" i="44" s="1"/>
  <c r="C23" i="44" s="1"/>
  <c r="C29" i="44" s="1"/>
  <c r="J18" i="44"/>
  <c r="C12" i="43"/>
  <c r="C8" i="39"/>
  <c r="C10" i="39" s="1"/>
  <c r="J25" i="30"/>
  <c r="H27" i="30"/>
  <c r="C8" i="31"/>
  <c r="F19" i="31"/>
  <c r="F22" i="31" s="1"/>
  <c r="M6" i="26"/>
  <c r="M7" i="26" s="1"/>
  <c r="J14" i="26"/>
  <c r="C4" i="26" s="1"/>
  <c r="C8" i="24"/>
  <c r="C4" i="24" s="1"/>
  <c r="C9" i="31" l="1"/>
  <c r="G17" i="40" s="1"/>
  <c r="G18" i="40" s="1"/>
  <c r="C20" i="48"/>
  <c r="J27" i="30"/>
  <c r="K26" i="30" s="1"/>
  <c r="M5" i="26"/>
  <c r="M9" i="26" s="1"/>
  <c r="C13" i="26" s="1"/>
  <c r="F21" i="26"/>
  <c r="K25" i="30" l="1"/>
  <c r="L27" i="30" s="1"/>
  <c r="C7" i="23" s="1"/>
  <c r="K27" i="30"/>
  <c r="G21" i="26"/>
  <c r="H21" i="26" s="1"/>
  <c r="I21" i="26" l="1"/>
  <c r="J21" i="26" s="1"/>
  <c r="K21" i="26" s="1"/>
  <c r="F24" i="26" l="1"/>
  <c r="F23" i="26"/>
  <c r="F26" i="26" l="1"/>
  <c r="F28" i="26" s="1"/>
  <c r="C4" i="46" l="1"/>
  <c r="C4" i="45"/>
  <c r="C4" i="44"/>
  <c r="C6" i="23"/>
  <c r="C9" i="23" s="1"/>
  <c r="C5" i="31" s="1"/>
  <c r="C14" i="31" s="1"/>
  <c r="C7" i="48" s="1"/>
  <c r="G5" i="40"/>
  <c r="G8" i="40" s="1"/>
  <c r="G19" i="40" s="1"/>
  <c r="C13" i="40" s="1"/>
  <c r="C8" i="48" l="1"/>
  <c r="D7" i="48"/>
  <c r="D8" i="48" s="1"/>
  <c r="J17" i="44"/>
  <c r="J26" i="44" s="1"/>
  <c r="M27" i="44" s="1"/>
  <c r="C25" i="44" s="1"/>
  <c r="C6" i="44"/>
  <c r="C14" i="44" s="1"/>
  <c r="C24" i="44" s="1"/>
  <c r="J17" i="45"/>
  <c r="J26" i="45" s="1"/>
  <c r="M27" i="45" s="1"/>
  <c r="C25" i="45" s="1"/>
  <c r="C6" i="45"/>
  <c r="C14" i="45" s="1"/>
  <c r="C24" i="45" s="1"/>
  <c r="J17" i="46"/>
  <c r="J26" i="46" s="1"/>
  <c r="C6" i="46"/>
  <c r="C14" i="46" s="1"/>
  <c r="L7" i="48"/>
  <c r="L8" i="48" s="1"/>
  <c r="C13" i="48"/>
  <c r="C14" i="48" s="1"/>
  <c r="C13" i="43"/>
  <c r="C14" i="43" s="1"/>
  <c r="C16" i="43" s="1"/>
  <c r="C16" i="48" s="1"/>
  <c r="C28" i="44" l="1"/>
  <c r="C30" i="44" s="1"/>
  <c r="F10" i="41" s="1"/>
  <c r="C28" i="45"/>
  <c r="C30" i="45" s="1"/>
  <c r="F14" i="41" s="1"/>
  <c r="H7" i="48"/>
  <c r="J7" i="48" l="1"/>
  <c r="I7" i="48" s="1"/>
  <c r="I8" i="48" s="1"/>
  <c r="F7" i="48"/>
  <c r="H8" i="48"/>
  <c r="K7" i="48" l="1"/>
  <c r="K8" i="48" s="1"/>
  <c r="J8" i="48"/>
  <c r="G7" i="48"/>
  <c r="G8" i="48" s="1"/>
  <c r="E7" i="48"/>
  <c r="E8" i="48" s="1"/>
  <c r="C12" i="48" s="1"/>
  <c r="C15" i="48" s="1"/>
  <c r="F8" i="48"/>
  <c r="C17" i="48"/>
  <c r="C19" i="48"/>
  <c r="C21" i="48"/>
  <c r="C23" i="48"/>
  <c r="C25" i="48"/>
  <c r="L5" i="46"/>
  <c r="M5" i="46"/>
  <c r="N5" i="46"/>
  <c r="L6" i="46"/>
  <c r="M6" i="46"/>
  <c r="N6" i="46"/>
  <c r="L7" i="46"/>
  <c r="M7" i="46"/>
  <c r="N7" i="46"/>
  <c r="L8" i="46"/>
  <c r="M8" i="46"/>
  <c r="N8" i="46"/>
  <c r="L9" i="46"/>
  <c r="M9" i="46"/>
  <c r="N9" i="46"/>
  <c r="L10" i="46"/>
  <c r="M10" i="46"/>
  <c r="N10" i="46"/>
  <c r="L11" i="46"/>
  <c r="M11" i="46"/>
  <c r="N11" i="46"/>
  <c r="L12" i="46"/>
  <c r="M12" i="46"/>
  <c r="N12" i="46"/>
  <c r="L13" i="46"/>
  <c r="M13" i="46"/>
  <c r="N13" i="46"/>
  <c r="L14" i="46"/>
  <c r="M14" i="46"/>
  <c r="N14" i="46"/>
  <c r="F18" i="46"/>
  <c r="G18" i="46"/>
  <c r="M18" i="46"/>
  <c r="F19" i="46"/>
  <c r="G19" i="46"/>
  <c r="M19" i="46"/>
  <c r="F20" i="46"/>
  <c r="G20" i="46"/>
  <c r="F21" i="46"/>
  <c r="G21" i="46"/>
  <c r="F22" i="46"/>
  <c r="G22" i="46"/>
  <c r="F23" i="46"/>
  <c r="G23" i="46"/>
  <c r="C24" i="46"/>
  <c r="F24" i="46"/>
  <c r="G24" i="46"/>
  <c r="C25" i="46"/>
  <c r="F25" i="46"/>
  <c r="G25" i="46"/>
  <c r="M25" i="46"/>
  <c r="F26" i="46"/>
  <c r="G26" i="46"/>
  <c r="F27" i="46"/>
  <c r="G27" i="46"/>
  <c r="M27" i="46"/>
  <c r="C28" i="46"/>
  <c r="C30" i="46"/>
  <c r="F15" i="41"/>
  <c r="F19" i="41"/>
</calcChain>
</file>

<file path=xl/comments1.xml><?xml version="1.0" encoding="utf-8"?>
<comments xmlns="http://schemas.openxmlformats.org/spreadsheetml/2006/main">
  <authors>
    <author>Author</author>
  </authors>
  <commentList>
    <comment ref="C9" authorId="0" shapeId="0">
      <text>
        <r>
          <rPr>
            <b/>
            <sz val="9"/>
            <color indexed="81"/>
            <rFont val="Tahoma"/>
            <family val="2"/>
          </rPr>
          <t>Revenue Breakup:
There is no way of knowing how much revenue has come from Fashion Retail and SuperMarkets respectively.
In July 2021, WestSide accounted to 75% of total revenues. And 1338 cr revenue of SuperMarkets (50% Joint Venture.)</t>
        </r>
      </text>
    </comment>
  </commentList>
</comments>
</file>

<file path=xl/sharedStrings.xml><?xml version="1.0" encoding="utf-8"?>
<sst xmlns="http://schemas.openxmlformats.org/spreadsheetml/2006/main" count="692" uniqueCount="383">
  <si>
    <t xml:space="preserve">#                </t>
  </si>
  <si>
    <t>Worksheet</t>
  </si>
  <si>
    <t>D&amp;A</t>
  </si>
  <si>
    <t>EBIT</t>
  </si>
  <si>
    <t>EBT</t>
  </si>
  <si>
    <t>Inventory</t>
  </si>
  <si>
    <t>Total Equity</t>
  </si>
  <si>
    <t>Revenues</t>
  </si>
  <si>
    <t>WACC</t>
  </si>
  <si>
    <t>Current Tax Assets (Net)</t>
  </si>
  <si>
    <t>Other Assets</t>
  </si>
  <si>
    <t>Loans</t>
  </si>
  <si>
    <t>Other Financial Assets</t>
  </si>
  <si>
    <t>Debt</t>
  </si>
  <si>
    <t>Beta</t>
  </si>
  <si>
    <t>Growth Rate</t>
  </si>
  <si>
    <t>Cost of Capital</t>
  </si>
  <si>
    <t>Cost of Equity</t>
  </si>
  <si>
    <t>Cost of Debt</t>
  </si>
  <si>
    <t>Risk Free Rate</t>
  </si>
  <si>
    <t>Equity Risk Premium</t>
  </si>
  <si>
    <t>India 10-Year Government Bond Yield</t>
  </si>
  <si>
    <t>India Credit Rating (Fitch - 06/10/2022)</t>
  </si>
  <si>
    <t>India's Default Spread</t>
  </si>
  <si>
    <t>Cyprus</t>
  </si>
  <si>
    <t>Mexico</t>
  </si>
  <si>
    <t>Panama</t>
  </si>
  <si>
    <t>Romania</t>
  </si>
  <si>
    <t>Uruguay</t>
  </si>
  <si>
    <t>Croatia</t>
  </si>
  <si>
    <t>Kazakhstan</t>
  </si>
  <si>
    <t>Montserrat</t>
  </si>
  <si>
    <t>Trinidad and Tobago</t>
  </si>
  <si>
    <t>Aa2</t>
  </si>
  <si>
    <t>B1</t>
  </si>
  <si>
    <t>Baa2</t>
  </si>
  <si>
    <t>B3</t>
  </si>
  <si>
    <t>Ca</t>
  </si>
  <si>
    <t>Ba3</t>
  </si>
  <si>
    <t>Aaa</t>
  </si>
  <si>
    <t>Aa1</t>
  </si>
  <si>
    <t>Ba2</t>
  </si>
  <si>
    <t>B2</t>
  </si>
  <si>
    <t>Caa1</t>
  </si>
  <si>
    <t>Aa3</t>
  </si>
  <si>
    <t>Caa3</t>
  </si>
  <si>
    <t>A2</t>
  </si>
  <si>
    <t>A3</t>
  </si>
  <si>
    <t>Baa1</t>
  </si>
  <si>
    <t>A1</t>
  </si>
  <si>
    <t>Caa2</t>
  </si>
  <si>
    <t>Ba1</t>
  </si>
  <si>
    <t>Baa3</t>
  </si>
  <si>
    <t>C</t>
  </si>
  <si>
    <t>Credit Rating</t>
  </si>
  <si>
    <t>Avg Default Spread (%)</t>
  </si>
  <si>
    <t>Countries credit rating same as India</t>
  </si>
  <si>
    <t>(Risk Free Rate = 10 Year Gov Bond - Default Spread)</t>
  </si>
  <si>
    <t>Trent Company Analysis</t>
  </si>
  <si>
    <t>Year</t>
  </si>
  <si>
    <t>Dividends from Nifty50 in 2021</t>
  </si>
  <si>
    <t>Dividend Cf</t>
  </si>
  <si>
    <t>Avg Div Yield</t>
  </si>
  <si>
    <t>Adj Avg Div Yield (Last 10 Years)</t>
  </si>
  <si>
    <t>Dividend Yield (as on March 31, 2022)</t>
  </si>
  <si>
    <t>Weights</t>
  </si>
  <si>
    <t>Adj Avg Dividend Cash Flows in 2021</t>
  </si>
  <si>
    <t>Source:</t>
  </si>
  <si>
    <t>Nifty 50 Dividend Yield(DIV) on Trendlyne.com</t>
  </si>
  <si>
    <t>Nifty50 Dividend Points Index Ticker: NIFTYDIVID</t>
  </si>
  <si>
    <t>FY13</t>
  </si>
  <si>
    <t>FY14</t>
  </si>
  <si>
    <t>FY15</t>
  </si>
  <si>
    <t>FY16</t>
  </si>
  <si>
    <t>FY17</t>
  </si>
  <si>
    <t>FY18</t>
  </si>
  <si>
    <t>FY19</t>
  </si>
  <si>
    <t>FY20</t>
  </si>
  <si>
    <t>FY21</t>
  </si>
  <si>
    <t>FY22</t>
  </si>
  <si>
    <t>FY23</t>
  </si>
  <si>
    <t>FY24</t>
  </si>
  <si>
    <t>FY25</t>
  </si>
  <si>
    <t>FY26</t>
  </si>
  <si>
    <t>FY27</t>
  </si>
  <si>
    <t>EPS of Nifty50 (31st Mar 2012)</t>
  </si>
  <si>
    <t>EPS of Nifty50 (31st Mar 2022)</t>
  </si>
  <si>
    <t>Avg EPS growth Nifty50 (Last 10 Years)</t>
  </si>
  <si>
    <t>Exp Growth %</t>
  </si>
  <si>
    <t>Expected Growth % in Nifty50 (Next 5 Years)</t>
  </si>
  <si>
    <t>Nifty 50 Earnings Per share (EPS)</t>
  </si>
  <si>
    <t>India 10-Year Bond Yield</t>
  </si>
  <si>
    <t>Wght Div Cf</t>
  </si>
  <si>
    <t>Nifty50 (as on 31st March 2022)</t>
  </si>
  <si>
    <t>Investment Outflow</t>
  </si>
  <si>
    <t>NPV @ 10%</t>
  </si>
  <si>
    <t>NPV @ 9%</t>
  </si>
  <si>
    <t>Exp Return on Stocks</t>
  </si>
  <si>
    <t>-</t>
  </si>
  <si>
    <t>Implied Market Risk Premium (India)</t>
  </si>
  <si>
    <t>Retailing</t>
  </si>
  <si>
    <t>Sector of Trent</t>
  </si>
  <si>
    <t>Industry of Trent</t>
  </si>
  <si>
    <t>Trent Ltd</t>
  </si>
  <si>
    <t>Fashion Retail Co.</t>
  </si>
  <si>
    <t>#1 Industry</t>
  </si>
  <si>
    <t>Fashion Retail</t>
  </si>
  <si>
    <t>#2 Industry</t>
  </si>
  <si>
    <t>SuperMarkets</t>
  </si>
  <si>
    <t>Vedant Fashions Ltd</t>
  </si>
  <si>
    <t>Ticker</t>
  </si>
  <si>
    <t>MANYAVAR</t>
  </si>
  <si>
    <t>Aditya Birla Fashion &amp; Retail Ltd</t>
  </si>
  <si>
    <t>ABFRL</t>
  </si>
  <si>
    <t>Metro Brands Ltd</t>
  </si>
  <si>
    <t>METROBRAND</t>
  </si>
  <si>
    <t>VMART</t>
  </si>
  <si>
    <t>V-Mart Retail Ltd</t>
  </si>
  <si>
    <t>Shoppers Stop Ltd</t>
  </si>
  <si>
    <t>SHOPERSTOP</t>
  </si>
  <si>
    <t>Arvind Fashions Ltd</t>
  </si>
  <si>
    <t>ARVINDFASN</t>
  </si>
  <si>
    <t>Future Lifestyle Fashions Ltd</t>
  </si>
  <si>
    <t>FLFL</t>
  </si>
  <si>
    <t>V2 Retail Ltd</t>
  </si>
  <si>
    <t>V2RETAIL</t>
  </si>
  <si>
    <t>Not Enough Data</t>
  </si>
  <si>
    <t>Std Error</t>
  </si>
  <si>
    <t>Reg. Beta (5Y, Monthly)</t>
  </si>
  <si>
    <t>Beta Range</t>
  </si>
  <si>
    <t>Low Beta</t>
  </si>
  <si>
    <t>High Beta</t>
  </si>
  <si>
    <t>Avenue Supermarts Ltd</t>
  </si>
  <si>
    <t>DMART</t>
  </si>
  <si>
    <t>Spencers Retail Ltd</t>
  </si>
  <si>
    <t>SPENCERS</t>
  </si>
  <si>
    <t>Future Retail Ltd</t>
  </si>
  <si>
    <t>FRETAIL</t>
  </si>
  <si>
    <t>Osia Hyper Retail Ltd</t>
  </si>
  <si>
    <t>SM : OSIAHYPER</t>
  </si>
  <si>
    <t>Industry #1 - Fashion Retail</t>
  </si>
  <si>
    <t>Industry #2 - SuperMarkets</t>
  </si>
  <si>
    <t>Regression Beta using Python (skLearn.LinearModel)</t>
  </si>
  <si>
    <t>D/E Ratio</t>
  </si>
  <si>
    <t>Yahoo Finance (yahoofinancials module)</t>
  </si>
  <si>
    <t>D/E is outlier!</t>
  </si>
  <si>
    <t>EV/Sales</t>
  </si>
  <si>
    <t>Unlevered Beta (Fashion Retail)</t>
  </si>
  <si>
    <t>Unlevered Beta (SuperMarkets)</t>
  </si>
  <si>
    <t>Revenues (Fashion Retail)</t>
  </si>
  <si>
    <t>Revenues (SuperMarkets)</t>
  </si>
  <si>
    <t>Total Revenues (Trent Ltd)</t>
  </si>
  <si>
    <t>Annual Report 2022</t>
  </si>
  <si>
    <t>Trent Press Release (Oct 5 2021)</t>
  </si>
  <si>
    <t>Bottom-Up Beta</t>
  </si>
  <si>
    <t>Marginal Corporate Tax Rate (%)</t>
  </si>
  <si>
    <t>India Corporate Tax Rate</t>
  </si>
  <si>
    <t>Business</t>
  </si>
  <si>
    <t>Unlevered Beta</t>
  </si>
  <si>
    <t>Value</t>
  </si>
  <si>
    <t>Levered Bottom-Up Beta</t>
  </si>
  <si>
    <t>Risk Free Rate - Rf</t>
  </si>
  <si>
    <t>Beta (Trent Ltd)</t>
  </si>
  <si>
    <t>(Cost of Equity = Risk Free Rate + Beta * Equity Risk Premium)</t>
  </si>
  <si>
    <t>Lambda (λ)</t>
  </si>
  <si>
    <t>US Risk Free Rate - Rf</t>
  </si>
  <si>
    <t>Trent Ltd Risk Premium</t>
  </si>
  <si>
    <t>Interest</t>
  </si>
  <si>
    <t>ICR (%)</t>
  </si>
  <si>
    <t>Average ICR (%)</t>
  </si>
  <si>
    <t>"Synthetic" Trent Ltd Risk Premium</t>
  </si>
  <si>
    <t>(Cost of Debt = Rf + λ* India's Default Spread + Co. Risk Premium)</t>
  </si>
  <si>
    <t>10 Year Bond Yield Historical Data (Investing.com)</t>
  </si>
  <si>
    <t>ICR Synthetic Rating</t>
  </si>
  <si>
    <t>Standard Deviation with Python</t>
  </si>
  <si>
    <t>Cost of Equity &amp; Debt</t>
  </si>
  <si>
    <t>Pre-Tax Cost of Debt</t>
  </si>
  <si>
    <t>Market Value of Debt</t>
  </si>
  <si>
    <t>Book Value of Debt</t>
  </si>
  <si>
    <t>Non Convertible Debentures</t>
  </si>
  <si>
    <t>(in crores)</t>
  </si>
  <si>
    <t>Debt to Equity (Trent Ltd)</t>
  </si>
  <si>
    <t>Interest Expense</t>
  </si>
  <si>
    <t>Operating Lease *</t>
  </si>
  <si>
    <t>Est. Market Value of Debt</t>
  </si>
  <si>
    <t>Average Maturity of Debt (Yrs)</t>
  </si>
  <si>
    <t>Market Value of Equity</t>
  </si>
  <si>
    <t>Stock Price (as on 06/17/2022)</t>
  </si>
  <si>
    <t>Number of Shares Outstanding</t>
  </si>
  <si>
    <t>Market Capitalization</t>
  </si>
  <si>
    <t>Annual Report 2022 (Trent Ltd)</t>
  </si>
  <si>
    <t>Long Term Financial Lease</t>
  </si>
  <si>
    <t>Short Term Financial Lease</t>
  </si>
  <si>
    <t>Cash Flows</t>
  </si>
  <si>
    <t>Operating Lease</t>
  </si>
  <si>
    <t>Valuation Index</t>
  </si>
  <si>
    <t>Revenues (TTM)</t>
  </si>
  <si>
    <t>COGS</t>
  </si>
  <si>
    <t>Operating Expenses</t>
  </si>
  <si>
    <t>+</t>
  </si>
  <si>
    <t>EBIT &amp; Lease</t>
  </si>
  <si>
    <t>Depreciation of OL</t>
  </si>
  <si>
    <t>Adjusted EBIT</t>
  </si>
  <si>
    <t>Additional Right of Use Asset (2022)</t>
  </si>
  <si>
    <t>D&amp;A on Additional ROU (2022)</t>
  </si>
  <si>
    <t>Expected Life of Leased Asset (Yrs)</t>
  </si>
  <si>
    <t>EBIT &amp; Operating Lease</t>
  </si>
  <si>
    <t>Adjusted EBIT (Operating Lease)</t>
  </si>
  <si>
    <t xml:space="preserve">Depreciation on Operating Lease </t>
  </si>
  <si>
    <t>Total Debt</t>
  </si>
  <si>
    <t>Exceptional Items</t>
  </si>
  <si>
    <t>Effective Tax Rate (Trent Ltd)</t>
  </si>
  <si>
    <t>Net CapEx</t>
  </si>
  <si>
    <t>Capital Expenditures (CapEx)</t>
  </si>
  <si>
    <t>Adjusted Net Capital Expenditures</t>
  </si>
  <si>
    <t>Working Capital Changes</t>
  </si>
  <si>
    <t>Account Payables</t>
  </si>
  <si>
    <t>Non Cash Working Capital</t>
  </si>
  <si>
    <t>Non Cash WC</t>
  </si>
  <si>
    <t>% of Revenues</t>
  </si>
  <si>
    <t>Industry Average</t>
  </si>
  <si>
    <t>Cash Flows - FCFF</t>
  </si>
  <si>
    <t>EBIT * (1 - Tax Rate)</t>
  </si>
  <si>
    <t>Aquistion of Companies</t>
  </si>
  <si>
    <t>Free Cash Flow to Firm (FCFF)</t>
  </si>
  <si>
    <t>Reinvestment</t>
  </si>
  <si>
    <t>Cash Flows - FCFE</t>
  </si>
  <si>
    <t>Finance Cost</t>
  </si>
  <si>
    <t>Adjusted EBT</t>
  </si>
  <si>
    <t>Effective Tax (%)</t>
  </si>
  <si>
    <t>Adjusted Net Income</t>
  </si>
  <si>
    <t>Principle Repayments</t>
  </si>
  <si>
    <t>New Debt Issue</t>
  </si>
  <si>
    <t>Free Cash Flow to Equity (FCFE)</t>
  </si>
  <si>
    <t>Net Borrowing (2022)</t>
  </si>
  <si>
    <t>FCFE = Net Income - Net CapEx - Change in non cash working capital + Net Borrowings - Preferred Stock</t>
  </si>
  <si>
    <t>FCFF = EBIT * (1 - tax rate) - Net CapEx - Change in non cash working capital</t>
  </si>
  <si>
    <t>FCFE &amp; FCFF</t>
  </si>
  <si>
    <t>FCFF &amp; FCFE</t>
  </si>
  <si>
    <t>Account Recievables</t>
  </si>
  <si>
    <t>Working capital as % of revenues</t>
  </si>
  <si>
    <t>Other Current Liabilities</t>
  </si>
  <si>
    <t>Current Tax Liabilities</t>
  </si>
  <si>
    <t>Other Current Assets</t>
  </si>
  <si>
    <t>Assets Held For Sale</t>
  </si>
  <si>
    <t>Other Financial Liabilties</t>
  </si>
  <si>
    <t>Non Cash Current Assets</t>
  </si>
  <si>
    <t>Non Debt Current Liabilities</t>
  </si>
  <si>
    <t>Change in Non Cash Working Capital</t>
  </si>
  <si>
    <t>Average WC as % of revenues</t>
  </si>
  <si>
    <t>Revenues (2022)</t>
  </si>
  <si>
    <t>Non Cash Working Capital (2022)</t>
  </si>
  <si>
    <t>Non Cash Working Capital (2021)</t>
  </si>
  <si>
    <t>Revenues (2021)</t>
  </si>
  <si>
    <t>Average WC as % of Revenues</t>
  </si>
  <si>
    <t>Adj Change in Non Cash WC</t>
  </si>
  <si>
    <t>Expected Growth Rate</t>
  </si>
  <si>
    <t>Future Cash Flows (10 Yrs)</t>
  </si>
  <si>
    <t>Terminal Value</t>
  </si>
  <si>
    <t>Growth &amp; TV</t>
  </si>
  <si>
    <t>Reinvestment Rate</t>
  </si>
  <si>
    <t>Return on Invested Capital (ROIC)</t>
  </si>
  <si>
    <t>Future ROIC (After 10 Yr)</t>
  </si>
  <si>
    <t>Growth from New Investments</t>
  </si>
  <si>
    <t>Growth from Existing Investments</t>
  </si>
  <si>
    <t>LTM</t>
  </si>
  <si>
    <t>Lifestyle % of Retail</t>
  </si>
  <si>
    <t>Grocery % of Retail</t>
  </si>
  <si>
    <t>Gross Industry</t>
  </si>
  <si>
    <t>Market Share (%)</t>
  </si>
  <si>
    <t>Rev. Growth</t>
  </si>
  <si>
    <t>Op. Margin</t>
  </si>
  <si>
    <t>EBIT*(1-t)</t>
  </si>
  <si>
    <t>Change in Sales</t>
  </si>
  <si>
    <t>Sales to Capital</t>
  </si>
  <si>
    <t>FCFF</t>
  </si>
  <si>
    <t>Invested Capital</t>
  </si>
  <si>
    <t>ROIC</t>
  </si>
  <si>
    <t>Growth Rate &amp; TV</t>
  </si>
  <si>
    <t>NOTE: Taking Trent Ltd as stage 2 company</t>
  </si>
  <si>
    <t>Lifestyle</t>
  </si>
  <si>
    <t>SuperMarket</t>
  </si>
  <si>
    <t>Retail Ind</t>
  </si>
  <si>
    <t>Sales to Capital Ratio</t>
  </si>
  <si>
    <t>Risk Free Rate - India</t>
  </si>
  <si>
    <t>Growth Rate in perpetuity</t>
  </si>
  <si>
    <t>ROIC in perpetuity</t>
  </si>
  <si>
    <t>EBIT (11th Year)</t>
  </si>
  <si>
    <t>Marginal Tax Rate (%)</t>
  </si>
  <si>
    <t>Mature Company Cost of Capital Estimation</t>
  </si>
  <si>
    <t>FCFF (11th Year)</t>
  </si>
  <si>
    <t>Mature Company's Beta</t>
  </si>
  <si>
    <t>% of Debt</t>
  </si>
  <si>
    <t>% of Equity</t>
  </si>
  <si>
    <t>Mature WACC</t>
  </si>
  <si>
    <t>Lifestyle Retail</t>
  </si>
  <si>
    <t>Interest Coverage Ratio will be above 12.5</t>
  </si>
  <si>
    <t>Trent Hypermarket Private Limited</t>
  </si>
  <si>
    <t>Booker India Limited</t>
  </si>
  <si>
    <t>Fiora Business Support Services Limited</t>
  </si>
  <si>
    <t>Fiora Hypermarket Limited</t>
  </si>
  <si>
    <t>Fiora Online Limited</t>
  </si>
  <si>
    <t>Nahar Retail Trading Services Limited</t>
  </si>
  <si>
    <t>Inditex Trent Retail India Private Limited</t>
  </si>
  <si>
    <t>Common Wealth Developers Limited (CWDL)</t>
  </si>
  <si>
    <t>Cross Holdings</t>
  </si>
  <si>
    <t>Holding Type</t>
  </si>
  <si>
    <t>% Owner</t>
  </si>
  <si>
    <t>Majority Active</t>
  </si>
  <si>
    <t>Massimo Dutti India Private Limited</t>
  </si>
  <si>
    <t>Trent Global Holdings Limited</t>
  </si>
  <si>
    <t>Fully Owned</t>
  </si>
  <si>
    <t>Minority Active</t>
  </si>
  <si>
    <t>How to Deal?</t>
  </si>
  <si>
    <t>Minority Passive</t>
  </si>
  <si>
    <t>Booker Satnam Wholesale Limited</t>
  </si>
  <si>
    <t>Cash &amp; Marketable Securities</t>
  </si>
  <si>
    <t>Marketable Securities</t>
  </si>
  <si>
    <t>Investment in Mutual Funds</t>
  </si>
  <si>
    <t>Investments in Debentures/Bonds</t>
  </si>
  <si>
    <t>Cash and cash equivalents</t>
  </si>
  <si>
    <t>Other Bank Balances</t>
  </si>
  <si>
    <t>Total Cash</t>
  </si>
  <si>
    <t>Return on Capital</t>
  </si>
  <si>
    <t>Adjusted Cash &amp; Marketable Securities</t>
  </si>
  <si>
    <t>Discount for Getting Bad Returns on Projects</t>
  </si>
  <si>
    <t>Trent Hypermarket Risk Premium</t>
  </si>
  <si>
    <t>ICR</t>
  </si>
  <si>
    <t>Book Value of Equity</t>
  </si>
  <si>
    <t>Losses Carry Forward</t>
  </si>
  <si>
    <t>Sales to Cap</t>
  </si>
  <si>
    <t>Inv. Capital</t>
  </si>
  <si>
    <t>Terminal Value Calculation</t>
  </si>
  <si>
    <t>Marginal Tax Rate</t>
  </si>
  <si>
    <t>EBIT * (1 - t)</t>
  </si>
  <si>
    <t>Reinv. Rate</t>
  </si>
  <si>
    <t>Mature Beta</t>
  </si>
  <si>
    <t>% Debt</t>
  </si>
  <si>
    <t>% Equity</t>
  </si>
  <si>
    <t>Risk Premium</t>
  </si>
  <si>
    <t>Present Value of FCFF</t>
  </si>
  <si>
    <t>Present Value of TV</t>
  </si>
  <si>
    <t>Cash and Marketable Securities</t>
  </si>
  <si>
    <t>Value of Debt</t>
  </si>
  <si>
    <t>Value of Firm</t>
  </si>
  <si>
    <t>Value of Equity</t>
  </si>
  <si>
    <t>Trent Hypermarket Private Limited - 50%</t>
  </si>
  <si>
    <t>Value of Cross Holdings</t>
  </si>
  <si>
    <t>Massimo Dutti India Private Limited - 49%</t>
  </si>
  <si>
    <t>Inditex Trent Retail India Private Limited - 49%</t>
  </si>
  <si>
    <t>Massimo Dutti Risk Premium</t>
  </si>
  <si>
    <t>Inditex Retail Risk Premium</t>
  </si>
  <si>
    <t>Present Vaue of FCFF</t>
  </si>
  <si>
    <t>Fair Value of the Share</t>
  </si>
  <si>
    <t>Present Value of Cash Flows</t>
  </si>
  <si>
    <t>Free Cash Flows to Firm</t>
  </si>
  <si>
    <t>Discount Rate (WACC)</t>
  </si>
  <si>
    <t>Discounting Future Cash Flows to Present Value</t>
  </si>
  <si>
    <t>Value of Operating Assets</t>
  </si>
  <si>
    <t>Value of Other Assets</t>
  </si>
  <si>
    <t>Value of Equity Options</t>
  </si>
  <si>
    <t>Fair value of share</t>
  </si>
  <si>
    <t>Value of Common Stock</t>
  </si>
  <si>
    <t>Trent HyperMarket</t>
  </si>
  <si>
    <t>Massimo Dutti</t>
  </si>
  <si>
    <t>Inditex Retail Ltd</t>
  </si>
  <si>
    <t>Fair Value of Share</t>
  </si>
  <si>
    <t>Road to Fair Value of Share</t>
  </si>
  <si>
    <t>Net Capital Expenditure</t>
  </si>
  <si>
    <t>EBIT &amp; Advertising Expense</t>
  </si>
  <si>
    <t xml:space="preserve">Current </t>
  </si>
  <si>
    <t>Amortization (This Year)</t>
  </si>
  <si>
    <t>Advertising Expense</t>
  </si>
  <si>
    <t>Amortization (weights)</t>
  </si>
  <si>
    <t>Amortized Value</t>
  </si>
  <si>
    <t>Capitalizing Advertising Expense as Asset</t>
  </si>
  <si>
    <t>Value of Advertising Asset</t>
  </si>
  <si>
    <t>Amortization Asset</t>
  </si>
  <si>
    <t>Advertising Expense (Current)</t>
  </si>
  <si>
    <t>Amortization: Ad Expense</t>
  </si>
  <si>
    <t>EBIT (1 - Tax)</t>
  </si>
  <si>
    <t>Advertising Expense (Current Year)</t>
  </si>
  <si>
    <t>Trent Narrative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</si>
</sst>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42" formatCode="_(&quot;$&quot;* #,##0_);_(&quot;$&quot;* \(#,##0\);_(&quot;$&quot;* &quot;-&quot;_);_(@_)"/>
    <numFmt numFmtId="44" formatCode="_(&quot;$&quot;* #,##0.00_);_(&quot;$&quot;* \(#,##0.00\);_(&quot;$&quot;* &quot;-&quot;??_);_(@_)"/>
    <numFmt numFmtId="43" formatCode="_(* #,##0.00_);_(* \(#,##0.00\);_(* &quot;-&quot;??_);_(@_)"/>
    <numFmt numFmtId="164" formatCode="_(* #,##0.0_);_(* \(#,##0.0\);_(* &quot;-&quot;?_);@_)"/>
    <numFmt numFmtId="165" formatCode="_(* #,##0_);_(* \(#,##0\);_(* &quot;-&quot;?_);@_)"/>
    <numFmt numFmtId="166" formatCode="0.0%"/>
    <numFmt numFmtId="167" formatCode="_(* #,##0_);_(* \(#,##0\);_(* &quot;-&quot;?_);@_l"/>
    <numFmt numFmtId="168" formatCode="_-* #,##0.00\ &quot;€&quot;_-;\-* #,##0.00\ &quot;€&quot;_-;_-* &quot;-&quot;??\ &quot;€&quot;_-;_-@_-"/>
    <numFmt numFmtId="169" formatCode="_-* #,##0.00\ _€_-;\-* #,##0.00\ _€_-;_-* &quot;-&quot;??\ _€_-;_-@_-"/>
    <numFmt numFmtId="170" formatCode="_-* #,##0\ _D_M_-;\-* #,##0\ _D_M_-;_-* &quot;-&quot;\ _D_M_-;_-@_-"/>
    <numFmt numFmtId="171" formatCode="_-* #,##0.00\ &quot;Kc&quot;_-;\-* #,##0.00\ &quot;Kc&quot;_-;_-* &quot;-&quot;??\ &quot;Kc&quot;_-;_-@_-"/>
    <numFmt numFmtId="172" formatCode="\(0\'\)"/>
    <numFmt numFmtId="173" formatCode="0.00_)"/>
    <numFmt numFmtId="174" formatCode="#,##0;\(#,##0\);&quot;-&quot;"/>
    <numFmt numFmtId="175" formatCode="_-* #,##0_-;\-* #,##0_-;_-* &quot;-&quot;_-;_-@_-"/>
    <numFmt numFmtId="176" formatCode="#,##0_);\(#,##0\);&quot; - &quot;_);@_)"/>
    <numFmt numFmtId="177" formatCode="\ #,##0.0_);\(#,##0.0\);&quot; - &quot;_);@_)"/>
    <numFmt numFmtId="178" formatCode="_(* #,##0.00_);_(* \(#,##0.00\);_(* &quot;-&quot;?_);@_)"/>
    <numFmt numFmtId="179" formatCode="0.0"/>
    <numFmt numFmtId="180" formatCode="_ [$₹-4009]\ * #,##0.00_ ;_ [$₹-4009]\ * \-#,##0.00_ ;_ [$₹-4009]\ * &quot;-&quot;??_ ;_ @_ "/>
    <numFmt numFmtId="181" formatCode="_ [$₹-4009]\ * #,##0_ ;_ [$₹-4009]\ * \-#,##0_ ;_ [$₹-4009]\ * &quot;-&quot;??_ ;_ @_ "/>
    <numFmt numFmtId="182" formatCode="[$₹-4009]\ #,##0.00;[$₹-4009]\ \-#,##0.00"/>
    <numFmt numFmtId="183" formatCode="_(* #,##0.000_);_(* \(#,##0.000\);_(* &quot;-&quot;?_);@_)"/>
    <numFmt numFmtId="184" formatCode="[$₹-4009]\ #,##0.00"/>
    <numFmt numFmtId="185" formatCode="[$₹-4009]\ #,##0;[$₹-4009]\ \-#,##0"/>
    <numFmt numFmtId="186" formatCode="[$₹-4009]\ #,##0.00;[Red][$₹-4009]\ \-#,##0.00"/>
    <numFmt numFmtId="187" formatCode="[$₹-4009]\ #,##0.0;[$₹-4009]\ \-#,##0.0"/>
    <numFmt numFmtId="188" formatCode="[$₹-4009]\ #,##0.0;[Red][$₹-4009]\ \-#,##0.0"/>
  </numFmts>
  <fonts count="76">
    <font>
      <sz val="11"/>
      <color theme="1"/>
      <name val="Calibri"/>
      <family val="2"/>
      <scheme val="minor"/>
    </font>
    <font>
      <sz val="9"/>
      <color theme="1"/>
      <name val="Arial"/>
      <family val="2"/>
    </font>
    <font>
      <b/>
      <sz val="9"/>
      <color theme="1"/>
      <name val="Arial"/>
      <family val="2"/>
    </font>
    <font>
      <b/>
      <sz val="9"/>
      <color theme="3"/>
      <name val="Calibri"/>
      <family val="2"/>
      <scheme val="minor"/>
    </font>
    <font>
      <b/>
      <sz val="9"/>
      <color rgb="FF002060"/>
      <name val="Arial"/>
      <family val="2"/>
    </font>
    <font>
      <sz val="11"/>
      <color theme="1"/>
      <name val="Calibri"/>
      <family val="2"/>
      <scheme val="minor"/>
    </font>
    <font>
      <i/>
      <sz val="8"/>
      <color theme="1"/>
      <name val="Arial"/>
      <family val="2"/>
    </font>
    <font>
      <sz val="9"/>
      <color theme="0"/>
      <name val="Arial"/>
      <family val="2"/>
    </font>
    <font>
      <b/>
      <sz val="9"/>
      <color theme="0"/>
      <name val="Arial"/>
      <family val="2"/>
    </font>
    <font>
      <sz val="10"/>
      <name val="Arial"/>
      <family val="2"/>
    </font>
    <font>
      <sz val="8"/>
      <name val="Arial"/>
      <family val="2"/>
    </font>
    <font>
      <sz val="10"/>
      <color indexed="10"/>
      <name val="Arial"/>
      <family val="2"/>
    </font>
    <font>
      <sz val="10"/>
      <name val="Helv"/>
      <family val="2"/>
    </font>
    <font>
      <sz val="12"/>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0"/>
      <name val="Arial CE"/>
      <charset val="238"/>
    </font>
    <font>
      <sz val="10"/>
      <name val="Helv"/>
    </font>
    <font>
      <sz val="11"/>
      <color indexed="60"/>
      <name val="Calibri"/>
      <family val="2"/>
    </font>
    <font>
      <b/>
      <i/>
      <sz val="16"/>
      <name val="Helv"/>
    </font>
    <font>
      <sz val="10"/>
      <name val="MS Sans Serif"/>
      <family val="2"/>
    </font>
    <font>
      <b/>
      <sz val="11"/>
      <color indexed="63"/>
      <name val="Calibri"/>
      <family val="2"/>
    </font>
    <font>
      <b/>
      <sz val="10"/>
      <name val="MS Sans Serif"/>
      <family val="2"/>
    </font>
    <font>
      <sz val="10"/>
      <color indexed="8"/>
      <name val="Arial"/>
      <family val="2"/>
    </font>
    <font>
      <sz val="10"/>
      <color indexed="39"/>
      <name val="Arial"/>
      <family val="2"/>
    </font>
    <font>
      <b/>
      <sz val="10"/>
      <color indexed="8"/>
      <name val="Arial"/>
      <family val="2"/>
    </font>
    <font>
      <b/>
      <sz val="12"/>
      <color indexed="8"/>
      <name val="Arial"/>
      <family val="2"/>
    </font>
    <font>
      <b/>
      <sz val="16"/>
      <color indexed="23"/>
      <name val="Arial"/>
      <family val="2"/>
    </font>
    <font>
      <b/>
      <sz val="18"/>
      <color indexed="56"/>
      <name val="Cambria"/>
      <family val="2"/>
    </font>
    <font>
      <b/>
      <sz val="11"/>
      <color indexed="8"/>
      <name val="Calibri"/>
      <family val="2"/>
    </font>
    <font>
      <b/>
      <sz val="9"/>
      <name val="Arial"/>
      <family val="2"/>
    </font>
    <font>
      <sz val="11"/>
      <color indexed="10"/>
      <name val="Calibri"/>
      <family val="2"/>
    </font>
    <font>
      <sz val="8"/>
      <name val="Verdana"/>
      <family val="2"/>
    </font>
    <font>
      <sz val="10"/>
      <name val="Garamond"/>
      <family val="1"/>
    </font>
    <font>
      <sz val="10"/>
      <color indexed="8"/>
      <name val="MS Sans Serif"/>
      <family val="2"/>
    </font>
    <font>
      <sz val="10"/>
      <name val="Verdana"/>
      <family val="2"/>
    </font>
    <font>
      <sz val="7"/>
      <color indexed="10"/>
      <name val="Arial"/>
      <family val="2"/>
    </font>
    <font>
      <sz val="12"/>
      <name val="Arial"/>
      <family val="2"/>
    </font>
    <font>
      <sz val="10"/>
      <name val="Arial Narrow"/>
      <family val="2"/>
    </font>
    <font>
      <b/>
      <sz val="14"/>
      <color indexed="25"/>
      <name val="Arial"/>
      <family val="2"/>
    </font>
    <font>
      <b/>
      <sz val="10"/>
      <color indexed="25"/>
      <name val="Arial Narrow"/>
      <family val="2"/>
    </font>
    <font>
      <i/>
      <sz val="10"/>
      <color indexed="25"/>
      <name val="Arial Narrow"/>
      <family val="2"/>
    </font>
    <font>
      <sz val="8"/>
      <color indexed="25"/>
      <name val="Arial Narrow"/>
      <family val="2"/>
    </font>
    <font>
      <sz val="10"/>
      <name val="Tahoma"/>
      <family val="2"/>
    </font>
    <font>
      <sz val="12"/>
      <name val="Arial Narrow"/>
      <family val="2"/>
    </font>
    <font>
      <b/>
      <sz val="12"/>
      <color theme="1"/>
      <name val="Tahoma                        "/>
    </font>
    <font>
      <sz val="8"/>
      <color theme="1"/>
      <name val="Tahoma                        "/>
    </font>
    <font>
      <b/>
      <sz val="8"/>
      <color theme="1"/>
      <name val="Tahoma                        "/>
    </font>
    <font>
      <b/>
      <sz val="10"/>
      <color theme="1"/>
      <name val="Tahoma                        "/>
    </font>
    <font>
      <b/>
      <sz val="8"/>
      <color theme="0"/>
      <name val="Arial"/>
      <family val="2"/>
    </font>
    <font>
      <sz val="9"/>
      <name val="Arial"/>
      <family val="2"/>
    </font>
    <font>
      <u/>
      <sz val="11"/>
      <color theme="10"/>
      <name val="Calibri"/>
      <family val="2"/>
      <scheme val="minor"/>
    </font>
    <font>
      <b/>
      <sz val="12"/>
      <name val="Arial"/>
      <family val="2"/>
    </font>
    <font>
      <b/>
      <sz val="12"/>
      <color theme="1"/>
      <name val="Arial"/>
      <family val="2"/>
    </font>
    <font>
      <i/>
      <sz val="9"/>
      <color theme="1"/>
      <name val="Arial"/>
      <family val="2"/>
    </font>
    <font>
      <b/>
      <i/>
      <sz val="9"/>
      <color theme="1"/>
      <name val="Arial"/>
      <family val="2"/>
    </font>
    <font>
      <i/>
      <sz val="9"/>
      <name val="Arial"/>
      <family val="2"/>
    </font>
    <font>
      <b/>
      <i/>
      <sz val="9"/>
      <color theme="0"/>
      <name val="Arial"/>
      <family val="2"/>
    </font>
    <font>
      <b/>
      <sz val="32"/>
      <name val="Arial"/>
      <family val="2"/>
    </font>
    <font>
      <b/>
      <sz val="9"/>
      <name val="Calibri"/>
      <family val="2"/>
      <scheme val="minor"/>
    </font>
    <font>
      <sz val="10"/>
      <name val="Arial"/>
    </font>
    <font>
      <sz val="10"/>
      <name val="Arial"/>
      <family val="2"/>
      <charset val="204"/>
    </font>
    <font>
      <b/>
      <sz val="40"/>
      <color theme="1" tint="4.9989318521683403E-2"/>
      <name val="Arial"/>
      <family val="2"/>
      <charset val="204"/>
    </font>
    <font>
      <sz val="10"/>
      <color rgb="FF002060"/>
      <name val="Arial"/>
      <family val="2"/>
      <charset val="204"/>
    </font>
    <font>
      <b/>
      <sz val="9"/>
      <color indexed="81"/>
      <name val="Tahoma"/>
      <family val="2"/>
    </font>
    <font>
      <b/>
      <sz val="11"/>
      <color theme="1"/>
      <name val="Arial"/>
      <family val="2"/>
    </font>
  </fonts>
  <fills count="5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43"/>
      </patternFill>
    </fill>
    <fill>
      <patternFill patternType="solid">
        <fgColor indexed="26"/>
      </patternFill>
    </fill>
    <fill>
      <patternFill patternType="mediumGray">
        <fgColor indexed="22"/>
      </patternFill>
    </fill>
    <fill>
      <patternFill patternType="solid">
        <fgColor indexed="46"/>
        <bgColor indexed="64"/>
      </patternFill>
    </fill>
    <fill>
      <patternFill patternType="solid">
        <fgColor indexed="43"/>
        <bgColor indexed="64"/>
      </patternFill>
    </fill>
    <fill>
      <patternFill patternType="solid">
        <fgColor indexed="31"/>
        <bgColor indexed="64"/>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solid">
        <fgColor indexed="35"/>
        <bgColor indexed="64"/>
      </patternFill>
    </fill>
    <fill>
      <patternFill patternType="solid">
        <fgColor indexed="54"/>
        <bgColor indexed="64"/>
      </patternFill>
    </fill>
    <fill>
      <patternFill patternType="solid">
        <fgColor indexed="23"/>
        <bgColor indexed="64"/>
      </patternFill>
    </fill>
    <fill>
      <patternFill patternType="solid">
        <fgColor indexed="55"/>
        <bgColor indexed="64"/>
      </patternFill>
    </fill>
    <fill>
      <patternFill patternType="solid">
        <fgColor theme="1"/>
        <bgColor indexed="64"/>
      </patternFill>
    </fill>
    <fill>
      <patternFill patternType="solid">
        <fgColor rgb="FFF8F8F8"/>
        <bgColor indexed="64"/>
      </patternFill>
    </fill>
    <fill>
      <patternFill patternType="solid">
        <fgColor theme="0" tint="-4.9989318521683403E-2"/>
        <bgColor indexed="64"/>
      </patternFill>
    </fill>
    <fill>
      <patternFill patternType="solid">
        <fgColor theme="2"/>
        <bgColor indexed="64"/>
      </patternFill>
    </fill>
  </fills>
  <borders count="20">
    <border>
      <left/>
      <right/>
      <top/>
      <bottom/>
      <diagonal/>
    </border>
    <border>
      <left/>
      <right/>
      <top/>
      <bottom style="medium">
        <color theme="4"/>
      </bottom>
      <diagonal/>
    </border>
    <border>
      <left/>
      <right/>
      <top/>
      <bottom style="thin">
        <color indexed="64"/>
      </bottom>
      <diagonal/>
    </border>
    <border>
      <left/>
      <right/>
      <top/>
      <bottom style="hair">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63"/>
      </left>
      <right style="thin">
        <color indexed="63"/>
      </right>
      <top style="thin">
        <color indexed="64"/>
      </top>
      <bottom style="thin">
        <color indexed="63"/>
      </bottom>
      <diagonal/>
    </border>
    <border>
      <left/>
      <right/>
      <top style="thin">
        <color indexed="62"/>
      </top>
      <bottom style="double">
        <color indexed="62"/>
      </bottom>
      <diagonal/>
    </border>
    <border>
      <left/>
      <right/>
      <top style="thin">
        <color indexed="25"/>
      </top>
      <bottom style="thin">
        <color indexed="25"/>
      </bottom>
      <diagonal/>
    </border>
    <border>
      <left/>
      <right/>
      <top style="thin">
        <color indexed="64"/>
      </top>
      <bottom/>
      <diagonal/>
    </border>
    <border>
      <left/>
      <right/>
      <top style="thin">
        <color auto="1"/>
      </top>
      <bottom style="thin">
        <color auto="1"/>
      </bottom>
      <diagonal/>
    </border>
    <border>
      <left/>
      <right/>
      <top style="thin">
        <color indexed="64"/>
      </top>
      <bottom/>
      <diagonal/>
    </border>
  </borders>
  <cellStyleXfs count="169">
    <xf numFmtId="0" fontId="0" fillId="0" borderId="0"/>
    <xf numFmtId="0" fontId="3" fillId="0" borderId="1" applyFill="0" applyProtection="0">
      <alignment horizontal="right" wrapText="1"/>
    </xf>
    <xf numFmtId="9" fontId="5" fillId="0" borderId="0" applyFont="0" applyFill="0" applyBorder="0" applyAlignment="0" applyProtection="0"/>
    <xf numFmtId="0" fontId="9" fillId="0" borderId="0"/>
    <xf numFmtId="0" fontId="9" fillId="0" borderId="0"/>
    <xf numFmtId="0" fontId="12" fillId="0" borderId="0"/>
    <xf numFmtId="0" fontId="9"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9" fillId="0" borderId="0"/>
    <xf numFmtId="0" fontId="9" fillId="0" borderId="0"/>
    <xf numFmtId="0" fontId="9" fillId="0" borderId="0"/>
    <xf numFmtId="0" fontId="9" fillId="0" borderId="0"/>
    <xf numFmtId="0" fontId="9" fillId="4" borderId="3"/>
    <xf numFmtId="0" fontId="12" fillId="0" borderId="0"/>
    <xf numFmtId="0" fontId="9" fillId="0" borderId="0"/>
    <xf numFmtId="0" fontId="9" fillId="0" borderId="0"/>
    <xf numFmtId="0" fontId="12" fillId="0" borderId="0"/>
    <xf numFmtId="0" fontId="12" fillId="0" borderId="0"/>
    <xf numFmtId="0" fontId="13" fillId="0" borderId="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13" borderId="0" applyNumberFormat="0" applyBorder="0" applyAlignment="0" applyProtection="0"/>
    <xf numFmtId="0" fontId="14" fillId="8" borderId="0" applyNumberFormat="0" applyBorder="0" applyAlignment="0" applyProtection="0"/>
    <xf numFmtId="0" fontId="14" fillId="11" borderId="0" applyNumberFormat="0" applyBorder="0" applyAlignment="0" applyProtection="0"/>
    <xf numFmtId="0" fontId="14" fillId="14" borderId="0" applyNumberFormat="0" applyBorder="0" applyAlignment="0" applyProtection="0"/>
    <xf numFmtId="0" fontId="15" fillId="15" borderId="0" applyNumberFormat="0" applyBorder="0" applyAlignment="0" applyProtection="0"/>
    <xf numFmtId="0" fontId="15" fillId="12" borderId="0" applyNumberFormat="0" applyBorder="0" applyAlignment="0" applyProtection="0"/>
    <xf numFmtId="0" fontId="15" fillId="13"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5" fillId="21"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22" borderId="0" applyNumberFormat="0" applyBorder="0" applyAlignment="0" applyProtection="0"/>
    <xf numFmtId="0" fontId="9" fillId="0" borderId="0"/>
    <xf numFmtId="0" fontId="16" fillId="6" borderId="0" applyNumberFormat="0" applyBorder="0" applyAlignment="0" applyProtection="0"/>
    <xf numFmtId="0" fontId="17" fillId="23" borderId="4" applyNumberFormat="0" applyAlignment="0" applyProtection="0"/>
    <xf numFmtId="0" fontId="18" fillId="24" borderId="5" applyNumberFormat="0" applyAlignment="0" applyProtection="0"/>
    <xf numFmtId="49" fontId="10" fillId="0" borderId="0">
      <alignment horizontal="left" vertical="top" wrapText="1"/>
    </xf>
    <xf numFmtId="168" fontId="9"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38" fontId="10" fillId="25" borderId="0" applyNumberFormat="0" applyBorder="0" applyAlignment="0" applyProtection="0"/>
    <xf numFmtId="0" fontId="21" fillId="0" borderId="6" applyNumberFormat="0" applyFill="0" applyAlignment="0" applyProtection="0"/>
    <xf numFmtId="0" fontId="22" fillId="0" borderId="7" applyNumberFormat="0" applyFill="0" applyAlignment="0" applyProtection="0"/>
    <xf numFmtId="0" fontId="23" fillId="0" borderId="8" applyNumberFormat="0" applyFill="0" applyAlignment="0" applyProtection="0"/>
    <xf numFmtId="0" fontId="23" fillId="0" borderId="0" applyNumberFormat="0" applyFill="0" applyBorder="0" applyAlignment="0" applyProtection="0"/>
    <xf numFmtId="0" fontId="24" fillId="10" borderId="4" applyNumberFormat="0" applyAlignment="0" applyProtection="0"/>
    <xf numFmtId="10" fontId="10" fillId="4" borderId="9" applyNumberFormat="0" applyBorder="0" applyAlignment="0" applyProtection="0"/>
    <xf numFmtId="0" fontId="25" fillId="0" borderId="10" applyNumberFormat="0" applyFill="0" applyAlignment="0" applyProtection="0"/>
    <xf numFmtId="171" fontId="26" fillId="0" borderId="0" applyFont="0" applyFill="0" applyBorder="0" applyAlignment="0" applyProtection="0"/>
    <xf numFmtId="170" fontId="9" fillId="0" borderId="0" applyFont="0" applyFill="0" applyBorder="0" applyAlignment="0" applyProtection="0"/>
    <xf numFmtId="4" fontId="27" fillId="0" borderId="0" applyFont="0" applyFill="0" applyBorder="0" applyAlignment="0" applyProtection="0"/>
    <xf numFmtId="42" fontId="9" fillId="0" borderId="0" applyFont="0" applyFill="0" applyBorder="0" applyAlignment="0" applyProtection="0"/>
    <xf numFmtId="172" fontId="9" fillId="0" borderId="0" applyFont="0" applyFill="0" applyBorder="0" applyAlignment="0" applyProtection="0"/>
    <xf numFmtId="0" fontId="28" fillId="26" borderId="0" applyNumberFormat="0" applyBorder="0" applyAlignment="0" applyProtection="0"/>
    <xf numFmtId="173" fontId="29" fillId="0" borderId="0"/>
    <xf numFmtId="0" fontId="26" fillId="0" borderId="0"/>
    <xf numFmtId="0" fontId="14" fillId="27" borderId="11" applyNumberFormat="0" applyFont="0" applyAlignment="0" applyProtection="0"/>
    <xf numFmtId="0" fontId="9" fillId="0" borderId="0" applyFont="0" applyFill="0" applyBorder="0" applyAlignment="0" applyProtection="0"/>
    <xf numFmtId="0" fontId="9" fillId="0" borderId="0" applyFont="0" applyFill="0" applyBorder="0" applyAlignment="0" applyProtection="0"/>
    <xf numFmtId="0" fontId="31" fillId="23" borderId="12" applyNumberFormat="0" applyAlignment="0" applyProtection="0"/>
    <xf numFmtId="9" fontId="9" fillId="0" borderId="0" applyFont="0" applyFill="0" applyBorder="0" applyAlignment="0" applyProtection="0"/>
    <xf numFmtId="10" fontId="9" fillId="0" borderId="0" applyFont="0" applyFill="0" applyBorder="0" applyAlignment="0" applyProtection="0"/>
    <xf numFmtId="9" fontId="14" fillId="0" borderId="0" applyFont="0" applyFill="0" applyBorder="0" applyAlignment="0" applyProtection="0"/>
    <xf numFmtId="0" fontId="30" fillId="0" borderId="0" applyNumberFormat="0" applyFont="0" applyFill="0" applyBorder="0" applyAlignment="0" applyProtection="0">
      <alignment horizontal="left"/>
    </xf>
    <xf numFmtId="15" fontId="30" fillId="0" borderId="0" applyFont="0" applyFill="0" applyBorder="0" applyAlignment="0" applyProtection="0"/>
    <xf numFmtId="4" fontId="30" fillId="0" borderId="0" applyFont="0" applyFill="0" applyBorder="0" applyAlignment="0" applyProtection="0"/>
    <xf numFmtId="0" fontId="32" fillId="0" borderId="13">
      <alignment horizontal="center"/>
    </xf>
    <xf numFmtId="3" fontId="30" fillId="0" borderId="0" applyFont="0" applyFill="0" applyBorder="0" applyAlignment="0" applyProtection="0"/>
    <xf numFmtId="0" fontId="30" fillId="28" borderId="0" applyNumberFormat="0" applyFont="0" applyBorder="0" applyAlignment="0" applyProtection="0"/>
    <xf numFmtId="3" fontId="42" fillId="29" borderId="0" applyFont="0" applyFill="0" applyBorder="0" applyAlignment="0" applyProtection="0"/>
    <xf numFmtId="4" fontId="33" fillId="30" borderId="12" applyNumberFormat="0" applyProtection="0">
      <alignment vertical="center"/>
    </xf>
    <xf numFmtId="4" fontId="34" fillId="30" borderId="12" applyNumberFormat="0" applyProtection="0">
      <alignment vertical="center"/>
    </xf>
    <xf numFmtId="4" fontId="33" fillId="30" borderId="12" applyNumberFormat="0" applyProtection="0">
      <alignment horizontal="left" vertical="center" indent="1"/>
    </xf>
    <xf numFmtId="4" fontId="33" fillId="30" borderId="12" applyNumberFormat="0" applyProtection="0">
      <alignment horizontal="left" vertical="center" indent="1"/>
    </xf>
    <xf numFmtId="0" fontId="9" fillId="31" borderId="12" applyNumberFormat="0" applyProtection="0">
      <alignment horizontal="left" vertical="center" indent="1"/>
    </xf>
    <xf numFmtId="4" fontId="33" fillId="32" borderId="12" applyNumberFormat="0" applyProtection="0">
      <alignment horizontal="right" vertical="center"/>
    </xf>
    <xf numFmtId="4" fontId="33" fillId="33" borderId="12" applyNumberFormat="0" applyProtection="0">
      <alignment horizontal="right" vertical="center"/>
    </xf>
    <xf numFmtId="4" fontId="33" fillId="34" borderId="12" applyNumberFormat="0" applyProtection="0">
      <alignment horizontal="right" vertical="center"/>
    </xf>
    <xf numFmtId="4" fontId="33" fillId="35" borderId="12" applyNumberFormat="0" applyProtection="0">
      <alignment horizontal="right" vertical="center"/>
    </xf>
    <xf numFmtId="4" fontId="33" fillId="36" borderId="12" applyNumberFormat="0" applyProtection="0">
      <alignment horizontal="right" vertical="center"/>
    </xf>
    <xf numFmtId="4" fontId="33" fillId="37" borderId="12" applyNumberFormat="0" applyProtection="0">
      <alignment horizontal="right" vertical="center"/>
    </xf>
    <xf numFmtId="4" fontId="33" fillId="38" borderId="12" applyNumberFormat="0" applyProtection="0">
      <alignment horizontal="right" vertical="center"/>
    </xf>
    <xf numFmtId="4" fontId="33" fillId="39" borderId="12" applyNumberFormat="0" applyProtection="0">
      <alignment horizontal="right" vertical="center"/>
    </xf>
    <xf numFmtId="4" fontId="33" fillId="40" borderId="12" applyNumberFormat="0" applyProtection="0">
      <alignment horizontal="right" vertical="center"/>
    </xf>
    <xf numFmtId="4" fontId="35" fillId="41" borderId="12" applyNumberFormat="0" applyProtection="0">
      <alignment horizontal="left" vertical="center" indent="1"/>
    </xf>
    <xf numFmtId="4" fontId="33" fillId="42" borderId="14" applyNumberFormat="0" applyProtection="0">
      <alignment horizontal="left" vertical="center" indent="1"/>
    </xf>
    <xf numFmtId="4" fontId="36" fillId="43" borderId="0" applyNumberFormat="0" applyProtection="0">
      <alignment horizontal="left" vertical="center" indent="1"/>
    </xf>
    <xf numFmtId="0" fontId="9" fillId="31" borderId="12" applyNumberFormat="0" applyProtection="0">
      <alignment horizontal="left" vertical="center" indent="1"/>
    </xf>
    <xf numFmtId="4" fontId="33" fillId="42" borderId="12" applyNumberFormat="0" applyProtection="0">
      <alignment horizontal="left" vertical="center" indent="1"/>
    </xf>
    <xf numFmtId="4" fontId="33" fillId="44" borderId="12" applyNumberFormat="0" applyProtection="0">
      <alignment horizontal="left" vertical="center" indent="1"/>
    </xf>
    <xf numFmtId="0" fontId="9" fillId="44" borderId="12" applyNumberFormat="0" applyProtection="0">
      <alignment horizontal="left" vertical="center" indent="1"/>
    </xf>
    <xf numFmtId="0" fontId="9" fillId="44" borderId="12" applyNumberFormat="0" applyProtection="0">
      <alignment horizontal="left" vertical="center" indent="1"/>
    </xf>
    <xf numFmtId="0" fontId="9" fillId="45" borderId="12" applyNumberFormat="0" applyProtection="0">
      <alignment horizontal="left" vertical="center" indent="1"/>
    </xf>
    <xf numFmtId="0" fontId="9" fillId="45" borderId="12" applyNumberFormat="0" applyProtection="0">
      <alignment horizontal="left" vertical="center" indent="1"/>
    </xf>
    <xf numFmtId="0" fontId="9" fillId="25" borderId="12" applyNumberFormat="0" applyProtection="0">
      <alignment horizontal="left" vertical="center" indent="1"/>
    </xf>
    <xf numFmtId="0" fontId="9" fillId="25" borderId="12" applyNumberFormat="0" applyProtection="0">
      <alignment horizontal="left" vertical="center" indent="1"/>
    </xf>
    <xf numFmtId="0" fontId="9" fillId="31" borderId="12" applyNumberFormat="0" applyProtection="0">
      <alignment horizontal="left" vertical="center" indent="1"/>
    </xf>
    <xf numFmtId="0" fontId="9" fillId="31" borderId="12" applyNumberFormat="0" applyProtection="0">
      <alignment horizontal="left" vertical="center" indent="1"/>
    </xf>
    <xf numFmtId="4" fontId="33" fillId="4" borderId="12" applyNumberFormat="0" applyProtection="0">
      <alignment vertical="center"/>
    </xf>
    <xf numFmtId="4" fontId="34" fillId="4" borderId="12" applyNumberFormat="0" applyProtection="0">
      <alignment vertical="center"/>
    </xf>
    <xf numFmtId="4" fontId="33" fillId="4" borderId="12" applyNumberFormat="0" applyProtection="0">
      <alignment horizontal="left" vertical="center" indent="1"/>
    </xf>
    <xf numFmtId="4" fontId="33" fillId="4" borderId="12" applyNumberFormat="0" applyProtection="0">
      <alignment horizontal="left" vertical="center" indent="1"/>
    </xf>
    <xf numFmtId="4" fontId="33" fillId="42" borderId="12" applyNumberFormat="0" applyProtection="0">
      <alignment horizontal="right" vertical="center"/>
    </xf>
    <xf numFmtId="4" fontId="34" fillId="42" borderId="12" applyNumberFormat="0" applyProtection="0">
      <alignment horizontal="right" vertical="center"/>
    </xf>
    <xf numFmtId="0" fontId="9" fillId="31" borderId="12" applyNumberFormat="0" applyProtection="0">
      <alignment horizontal="left" vertical="center" indent="1"/>
    </xf>
    <xf numFmtId="0" fontId="9" fillId="31" borderId="12" applyNumberFormat="0" applyProtection="0">
      <alignment horizontal="left" vertical="center" indent="1"/>
    </xf>
    <xf numFmtId="0" fontId="37" fillId="0" borderId="0"/>
    <xf numFmtId="4" fontId="11" fillId="42" borderId="12" applyNumberFormat="0" applyProtection="0">
      <alignment horizontal="right" vertical="center"/>
    </xf>
    <xf numFmtId="0" fontId="9" fillId="0" borderId="0"/>
    <xf numFmtId="0" fontId="38" fillId="0" borderId="0" applyNumberFormat="0" applyFill="0" applyBorder="0" applyAlignment="0" applyProtection="0"/>
    <xf numFmtId="0" fontId="39" fillId="0" borderId="15" applyNumberFormat="0" applyFill="0" applyAlignment="0" applyProtection="0"/>
    <xf numFmtId="3" fontId="40" fillId="0" borderId="2" applyNumberFormat="0"/>
    <xf numFmtId="0" fontId="41" fillId="0" borderId="0" applyNumberFormat="0" applyFill="0" applyBorder="0" applyAlignment="0" applyProtection="0"/>
    <xf numFmtId="0" fontId="9" fillId="0" borderId="0" applyNumberFormat="0" applyFill="0" applyBorder="0" applyAlignment="0" applyProtection="0"/>
    <xf numFmtId="0" fontId="5" fillId="0" borderId="0"/>
    <xf numFmtId="0" fontId="43" fillId="0" borderId="0"/>
    <xf numFmtId="0" fontId="9" fillId="0" borderId="0" applyNumberFormat="0" applyFill="0" applyBorder="0" applyAlignment="0" applyProtection="0"/>
    <xf numFmtId="9" fontId="5" fillId="0" borderId="0" applyFont="0" applyFill="0" applyBorder="0" applyAlignment="0" applyProtection="0"/>
    <xf numFmtId="0" fontId="44" fillId="0" borderId="0" applyNumberFormat="0" applyFont="0" applyFill="0" applyBorder="0" applyAlignment="0" applyProtection="0"/>
    <xf numFmtId="0" fontId="45" fillId="0" borderId="0"/>
    <xf numFmtId="0" fontId="46" fillId="0" borderId="0"/>
    <xf numFmtId="174" fontId="47" fillId="0" borderId="0"/>
    <xf numFmtId="174" fontId="9" fillId="0" borderId="0"/>
    <xf numFmtId="174" fontId="49" fillId="0" borderId="0"/>
    <xf numFmtId="0" fontId="50" fillId="0" borderId="0">
      <alignment horizontal="left"/>
    </xf>
    <xf numFmtId="175" fontId="48" fillId="0" borderId="16" applyFill="0" applyBorder="0" applyProtection="0">
      <alignment horizontal="right" vertical="top"/>
    </xf>
    <xf numFmtId="174" fontId="51" fillId="0" borderId="16">
      <alignment horizontal="left"/>
    </xf>
    <xf numFmtId="0" fontId="50" fillId="0" borderId="16">
      <alignment horizontal="right" wrapText="1"/>
    </xf>
    <xf numFmtId="0" fontId="48" fillId="0" borderId="0" applyFill="0" applyBorder="0">
      <alignment horizontal="left" vertical="top" wrapText="1"/>
    </xf>
    <xf numFmtId="176" fontId="48" fillId="0" borderId="0" applyFill="0" applyBorder="0">
      <alignment horizontal="right" vertical="top"/>
    </xf>
    <xf numFmtId="177" fontId="48" fillId="0" borderId="0" applyFill="0" applyBorder="0">
      <alignment horizontal="right" vertical="top"/>
    </xf>
    <xf numFmtId="49" fontId="48" fillId="0" borderId="0" applyNumberFormat="0" applyFill="0" applyBorder="0" applyProtection="0">
      <alignment horizontal="center" vertical="top"/>
    </xf>
    <xf numFmtId="174" fontId="52" fillId="0" borderId="0">
      <alignment horizontal="left" vertical="top"/>
    </xf>
    <xf numFmtId="0" fontId="53" fillId="0" borderId="0"/>
    <xf numFmtId="0" fontId="5" fillId="0" borderId="0"/>
    <xf numFmtId="0" fontId="54" fillId="0" borderId="0"/>
    <xf numFmtId="0" fontId="5" fillId="0" borderId="0"/>
    <xf numFmtId="169" fontId="5" fillId="0" borderId="0" applyFont="0" applyFill="0" applyBorder="0" applyAlignment="0" applyProtection="0"/>
    <xf numFmtId="9" fontId="5" fillId="0" borderId="0" applyFont="0" applyFill="0" applyBorder="0" applyAlignment="0" applyProtection="0"/>
    <xf numFmtId="0" fontId="5" fillId="0" borderId="0"/>
    <xf numFmtId="0" fontId="55" fillId="0" borderId="0"/>
    <xf numFmtId="0" fontId="56" fillId="0" borderId="0"/>
    <xf numFmtId="0" fontId="57" fillId="0" borderId="0"/>
    <xf numFmtId="0" fontId="58" fillId="0" borderId="0"/>
    <xf numFmtId="0" fontId="58" fillId="0" borderId="0"/>
    <xf numFmtId="0" fontId="55" fillId="0" borderId="0"/>
    <xf numFmtId="0" fontId="56" fillId="0" borderId="0"/>
    <xf numFmtId="0" fontId="57" fillId="0" borderId="0"/>
    <xf numFmtId="0" fontId="61" fillId="0" borderId="0" applyNumberFormat="0" applyFill="0" applyBorder="0" applyAlignment="0" applyProtection="0"/>
    <xf numFmtId="44" fontId="9" fillId="0" borderId="0" applyFont="0" applyFill="0" applyBorder="0" applyAlignment="0" applyProtection="0"/>
    <xf numFmtId="0" fontId="70" fillId="0" borderId="0">
      <alignment vertical="top"/>
    </xf>
    <xf numFmtId="43" fontId="71" fillId="0" borderId="0">
      <alignment vertical="top"/>
    </xf>
  </cellStyleXfs>
  <cellXfs count="402">
    <xf numFmtId="0" fontId="0" fillId="0" borderId="0" xfId="0"/>
    <xf numFmtId="0" fontId="1" fillId="2" borderId="0" xfId="0" applyFont="1" applyFill="1"/>
    <xf numFmtId="164" fontId="1" fillId="2" borderId="0" xfId="0" applyNumberFormat="1" applyFont="1" applyFill="1"/>
    <xf numFmtId="164" fontId="1" fillId="2" borderId="0" xfId="0" applyNumberFormat="1" applyFont="1" applyFill="1" applyBorder="1"/>
    <xf numFmtId="9" fontId="1" fillId="2" borderId="0" xfId="2" applyFont="1" applyFill="1"/>
    <xf numFmtId="167" fontId="1" fillId="2" borderId="0" xfId="0" applyNumberFormat="1" applyFont="1" applyFill="1"/>
    <xf numFmtId="165" fontId="1" fillId="2" borderId="0" xfId="0" applyNumberFormat="1" applyFont="1" applyFill="1" applyBorder="1"/>
    <xf numFmtId="9" fontId="1" fillId="2" borderId="0" xfId="2" applyFont="1" applyFill="1" applyBorder="1"/>
    <xf numFmtId="164" fontId="7" fillId="2" borderId="0" xfId="0" applyNumberFormat="1" applyFont="1" applyFill="1" applyBorder="1"/>
    <xf numFmtId="164" fontId="1" fillId="2" borderId="0" xfId="0" applyNumberFormat="1" applyFont="1" applyFill="1" applyBorder="1" applyAlignment="1">
      <alignment horizontal="right"/>
    </xf>
    <xf numFmtId="178" fontId="1" fillId="2" borderId="0" xfId="0" applyNumberFormat="1" applyFont="1" applyFill="1"/>
    <xf numFmtId="0" fontId="60" fillId="2" borderId="0" xfId="0" applyFont="1" applyFill="1"/>
    <xf numFmtId="2" fontId="1" fillId="2" borderId="0" xfId="0" applyNumberFormat="1" applyFont="1" applyFill="1"/>
    <xf numFmtId="178" fontId="1" fillId="2" borderId="0" xfId="0" applyNumberFormat="1" applyFont="1" applyFill="1" applyBorder="1"/>
    <xf numFmtId="10" fontId="1" fillId="2" borderId="0" xfId="2" applyNumberFormat="1" applyFont="1" applyFill="1"/>
    <xf numFmtId="0" fontId="1" fillId="2" borderId="0" xfId="0" applyNumberFormat="1" applyFont="1" applyFill="1"/>
    <xf numFmtId="9" fontId="4" fillId="2" borderId="0" xfId="2" applyFont="1" applyFill="1" applyBorder="1"/>
    <xf numFmtId="10" fontId="8" fillId="2" borderId="0" xfId="2" applyNumberFormat="1" applyFont="1" applyFill="1"/>
    <xf numFmtId="164" fontId="63" fillId="2" borderId="0" xfId="0" applyNumberFormat="1" applyFont="1" applyFill="1"/>
    <xf numFmtId="165" fontId="1" fillId="47" borderId="0" xfId="0" applyNumberFormat="1" applyFont="1" applyFill="1" applyBorder="1"/>
    <xf numFmtId="164" fontId="1" fillId="47" borderId="0" xfId="0" applyNumberFormat="1" applyFont="1" applyFill="1" applyBorder="1"/>
    <xf numFmtId="10" fontId="6" fillId="2" borderId="0" xfId="2" applyNumberFormat="1" applyFont="1" applyFill="1" applyBorder="1"/>
    <xf numFmtId="10" fontId="6" fillId="47" borderId="0" xfId="2" applyNumberFormat="1" applyFont="1" applyFill="1" applyBorder="1"/>
    <xf numFmtId="164" fontId="4" fillId="2" borderId="0" xfId="0" applyNumberFormat="1" applyFont="1" applyFill="1" applyBorder="1" applyAlignment="1">
      <alignment wrapText="1"/>
    </xf>
    <xf numFmtId="164" fontId="2" fillId="2" borderId="0" xfId="0" applyNumberFormat="1" applyFont="1" applyFill="1" applyBorder="1" applyAlignment="1">
      <alignment horizontal="right" wrapText="1"/>
    </xf>
    <xf numFmtId="164" fontId="2" fillId="2" borderId="0" xfId="0" applyNumberFormat="1" applyFont="1" applyFill="1" applyBorder="1"/>
    <xf numFmtId="165" fontId="2" fillId="2" borderId="0" xfId="0" applyNumberFormat="1" applyFont="1" applyFill="1" applyBorder="1"/>
    <xf numFmtId="164" fontId="1" fillId="2" borderId="0" xfId="0" applyNumberFormat="1" applyFont="1" applyFill="1" applyBorder="1" applyAlignment="1">
      <alignment vertical="center"/>
    </xf>
    <xf numFmtId="164" fontId="1" fillId="2" borderId="0" xfId="0" applyNumberFormat="1" applyFont="1" applyFill="1" applyAlignment="1">
      <alignment vertical="center"/>
    </xf>
    <xf numFmtId="164" fontId="8" fillId="46" borderId="0" xfId="0" applyNumberFormat="1" applyFont="1" applyFill="1" applyBorder="1" applyAlignment="1">
      <alignment horizontal="left" vertical="center"/>
    </xf>
    <xf numFmtId="164" fontId="1" fillId="2" borderId="0" xfId="0" applyNumberFormat="1" applyFont="1" applyFill="1" applyBorder="1" applyAlignment="1">
      <alignment horizontal="left" vertical="center"/>
    </xf>
    <xf numFmtId="164" fontId="1" fillId="2" borderId="0" xfId="0" applyNumberFormat="1" applyFont="1" applyFill="1" applyAlignment="1">
      <alignment horizontal="left" vertical="center"/>
    </xf>
    <xf numFmtId="164" fontId="1" fillId="47" borderId="0" xfId="0" applyNumberFormat="1" applyFont="1" applyFill="1"/>
    <xf numFmtId="164" fontId="60" fillId="2" borderId="0" xfId="0" applyNumberFormat="1" applyFont="1" applyFill="1" applyBorder="1"/>
    <xf numFmtId="164" fontId="60" fillId="2" borderId="0" xfId="0" applyNumberFormat="1" applyFont="1" applyFill="1" applyBorder="1" applyAlignment="1">
      <alignment horizontal="right"/>
    </xf>
    <xf numFmtId="165" fontId="40" fillId="2" borderId="0" xfId="0" applyNumberFormat="1" applyFont="1" applyFill="1" applyBorder="1"/>
    <xf numFmtId="164" fontId="40" fillId="2" borderId="0" xfId="0" applyNumberFormat="1" applyFont="1" applyFill="1" applyBorder="1"/>
    <xf numFmtId="164" fontId="60" fillId="2" borderId="0" xfId="0" applyNumberFormat="1" applyFont="1" applyFill="1" applyBorder="1" applyAlignment="1">
      <alignment horizontal="left" vertical="center"/>
    </xf>
    <xf numFmtId="9" fontId="67" fillId="46" borderId="0" xfId="2" applyFont="1" applyFill="1" applyBorder="1"/>
    <xf numFmtId="0" fontId="68" fillId="2" borderId="0" xfId="0" applyFont="1" applyFill="1"/>
    <xf numFmtId="0" fontId="62" fillId="2" borderId="0" xfId="0" applyFont="1" applyFill="1"/>
    <xf numFmtId="0" fontId="40" fillId="2" borderId="0" xfId="0" applyFont="1" applyFill="1"/>
    <xf numFmtId="0" fontId="10" fillId="2" borderId="0" xfId="0" applyFont="1" applyFill="1" applyAlignment="1">
      <alignment horizontal="left"/>
    </xf>
    <xf numFmtId="0" fontId="60" fillId="2" borderId="0" xfId="165" applyFont="1" applyFill="1"/>
    <xf numFmtId="0" fontId="59" fillId="46" borderId="0" xfId="0" applyFont="1" applyFill="1" applyAlignment="1">
      <alignment horizontal="left"/>
    </xf>
    <xf numFmtId="0" fontId="8" fillId="46" borderId="0" xfId="0" applyFont="1" applyFill="1"/>
    <xf numFmtId="165" fontId="2" fillId="47" borderId="0" xfId="0" applyNumberFormat="1" applyFont="1" applyFill="1" applyBorder="1"/>
    <xf numFmtId="9" fontId="40" fillId="2" borderId="0" xfId="2" applyFont="1" applyFill="1" applyBorder="1" applyAlignment="1">
      <alignment horizontal="right"/>
    </xf>
    <xf numFmtId="0" fontId="8" fillId="2" borderId="0" xfId="133" applyNumberFormat="1" applyFont="1" applyFill="1" applyBorder="1" applyAlignment="1">
      <alignment vertical="center"/>
    </xf>
    <xf numFmtId="164" fontId="64" fillId="2" borderId="0" xfId="0" applyNumberFormat="1" applyFont="1" applyFill="1" applyBorder="1"/>
    <xf numFmtId="10" fontId="1" fillId="2" borderId="0" xfId="2" applyNumberFormat="1" applyFont="1" applyFill="1" applyBorder="1"/>
    <xf numFmtId="165" fontId="2" fillId="2" borderId="0" xfId="0" applyNumberFormat="1" applyFont="1" applyFill="1" applyBorder="1" applyAlignment="1">
      <alignment horizontal="right"/>
    </xf>
    <xf numFmtId="164" fontId="2" fillId="47" borderId="2" xfId="0" applyNumberFormat="1" applyFont="1" applyFill="1" applyBorder="1"/>
    <xf numFmtId="165" fontId="2" fillId="47" borderId="0" xfId="0" applyNumberFormat="1" applyFont="1" applyFill="1" applyBorder="1" applyAlignment="1">
      <alignment horizontal="right"/>
    </xf>
    <xf numFmtId="164" fontId="2" fillId="47" borderId="0" xfId="0" applyNumberFormat="1" applyFont="1" applyFill="1"/>
    <xf numFmtId="164" fontId="64" fillId="47" borderId="0" xfId="0" applyNumberFormat="1" applyFont="1" applyFill="1"/>
    <xf numFmtId="164" fontId="65" fillId="2" borderId="0" xfId="0" applyNumberFormat="1" applyFont="1" applyFill="1" applyBorder="1"/>
    <xf numFmtId="10" fontId="1" fillId="47" borderId="0" xfId="2" applyNumberFormat="1" applyFont="1" applyFill="1" applyBorder="1"/>
    <xf numFmtId="10" fontId="8" fillId="46" borderId="0" xfId="2" applyNumberFormat="1" applyFont="1" applyFill="1" applyBorder="1"/>
    <xf numFmtId="166" fontId="1" fillId="47" borderId="0" xfId="2" applyNumberFormat="1" applyFont="1" applyFill="1" applyBorder="1"/>
    <xf numFmtId="164" fontId="1" fillId="47" borderId="0" xfId="0" applyNumberFormat="1" applyFont="1" applyFill="1" applyBorder="1" applyAlignment="1">
      <alignment horizontal="right"/>
    </xf>
    <xf numFmtId="10" fontId="8" fillId="2" borderId="0" xfId="2" applyNumberFormat="1" applyFont="1" applyFill="1" applyBorder="1"/>
    <xf numFmtId="0" fontId="70" fillId="2" borderId="0" xfId="167" applyFill="1">
      <alignment vertical="top"/>
    </xf>
    <xf numFmtId="0" fontId="72" fillId="2" borderId="0" xfId="167" applyFont="1" applyFill="1">
      <alignment vertical="top"/>
    </xf>
    <xf numFmtId="0" fontId="73" fillId="2" borderId="0" xfId="167" applyFont="1" applyFill="1">
      <alignment vertical="top"/>
    </xf>
    <xf numFmtId="0" fontId="70" fillId="0" borderId="0" xfId="167">
      <alignment vertical="top"/>
    </xf>
    <xf numFmtId="0" fontId="69" fillId="2" borderId="0" xfId="1" applyFont="1" applyFill="1" applyBorder="1" applyAlignment="1">
      <alignment horizontal="left" wrapText="1"/>
    </xf>
    <xf numFmtId="0" fontId="1" fillId="2" borderId="0" xfId="2" applyNumberFormat="1" applyFont="1" applyFill="1" applyBorder="1"/>
    <xf numFmtId="0" fontId="1" fillId="2" borderId="0" xfId="0" applyNumberFormat="1" applyFont="1" applyFill="1" applyBorder="1"/>
    <xf numFmtId="0" fontId="2" fillId="2" borderId="0" xfId="0" applyNumberFormat="1" applyFont="1" applyFill="1" applyBorder="1"/>
    <xf numFmtId="164" fontId="2" fillId="2" borderId="0" xfId="0" applyNumberFormat="1" applyFont="1" applyFill="1" applyBorder="1" applyAlignment="1">
      <alignment horizontal="right"/>
    </xf>
    <xf numFmtId="0" fontId="1" fillId="2" borderId="0" xfId="2" applyNumberFormat="1" applyFont="1" applyFill="1" applyBorder="1" applyAlignment="1">
      <alignment horizontal="right"/>
    </xf>
    <xf numFmtId="0" fontId="1" fillId="2" borderId="0" xfId="2" applyNumberFormat="1" applyFont="1" applyFill="1" applyBorder="1" applyAlignment="1">
      <alignment horizontal="right" vertical="center"/>
    </xf>
    <xf numFmtId="0" fontId="1" fillId="47" borderId="0" xfId="2" applyNumberFormat="1" applyFont="1" applyFill="1" applyBorder="1" applyAlignment="1">
      <alignment horizontal="right" vertical="center"/>
    </xf>
    <xf numFmtId="0" fontId="8" fillId="46" borderId="0" xfId="0" applyNumberFormat="1" applyFont="1" applyFill="1" applyAlignment="1">
      <alignment horizontal="right" vertical="center"/>
    </xf>
    <xf numFmtId="164" fontId="8" fillId="46" borderId="0" xfId="0" applyNumberFormat="1" applyFont="1" applyFill="1" applyBorder="1" applyAlignment="1">
      <alignment horizontal="right" vertical="center"/>
    </xf>
    <xf numFmtId="182" fontId="1" fillId="47" borderId="0" xfId="0" applyNumberFormat="1" applyFont="1" applyFill="1" applyBorder="1" applyAlignment="1">
      <alignment horizontal="right" vertical="center"/>
    </xf>
    <xf numFmtId="164" fontId="8" fillId="46" borderId="0" xfId="0" applyNumberFormat="1" applyFont="1" applyFill="1" applyBorder="1" applyAlignment="1">
      <alignment horizontal="right"/>
    </xf>
    <xf numFmtId="10" fontId="64" fillId="47" borderId="0" xfId="2" applyNumberFormat="1" applyFont="1" applyFill="1" applyBorder="1" applyAlignment="1">
      <alignment horizontal="right"/>
    </xf>
    <xf numFmtId="10" fontId="40" fillId="2" borderId="0" xfId="2" applyNumberFormat="1" applyFont="1" applyFill="1" applyBorder="1"/>
    <xf numFmtId="10" fontId="2" fillId="2" borderId="0" xfId="2" applyNumberFormat="1" applyFont="1" applyFill="1" applyBorder="1"/>
    <xf numFmtId="165" fontId="2" fillId="2" borderId="18" xfId="0" applyNumberFormat="1" applyFont="1" applyFill="1" applyBorder="1" applyAlignment="1">
      <alignment horizontal="right"/>
    </xf>
    <xf numFmtId="164" fontId="2" fillId="47" borderId="0" xfId="0" applyNumberFormat="1" applyFont="1" applyFill="1" applyBorder="1" applyAlignment="1">
      <alignment horizontal="right"/>
    </xf>
    <xf numFmtId="164" fontId="2" fillId="2" borderId="18" xfId="0" applyNumberFormat="1" applyFont="1" applyFill="1" applyBorder="1"/>
    <xf numFmtId="0" fontId="64" fillId="2" borderId="0" xfId="2" applyNumberFormat="1" applyFont="1" applyFill="1" applyBorder="1"/>
    <xf numFmtId="164" fontId="66" fillId="2" borderId="0" xfId="165" applyNumberFormat="1" applyFont="1" applyFill="1" applyBorder="1"/>
    <xf numFmtId="182" fontId="2" fillId="2" borderId="0" xfId="0" applyNumberFormat="1" applyFont="1" applyFill="1" applyBorder="1" applyAlignment="1">
      <alignment horizontal="right"/>
    </xf>
    <xf numFmtId="10" fontId="2" fillId="2" borderId="0" xfId="2" applyNumberFormat="1" applyFont="1" applyFill="1" applyBorder="1" applyAlignment="1">
      <alignment horizontal="right"/>
    </xf>
    <xf numFmtId="10" fontId="1" fillId="2" borderId="0" xfId="2" applyNumberFormat="1" applyFont="1" applyFill="1" applyBorder="1" applyAlignment="1">
      <alignment horizontal="right"/>
    </xf>
    <xf numFmtId="0" fontId="1" fillId="47" borderId="0" xfId="2" applyNumberFormat="1" applyFont="1" applyFill="1" applyBorder="1" applyAlignment="1">
      <alignment horizontal="right"/>
    </xf>
    <xf numFmtId="10" fontId="1" fillId="47" borderId="0" xfId="2" applyNumberFormat="1" applyFont="1" applyFill="1" applyBorder="1" applyAlignment="1">
      <alignment horizontal="right"/>
    </xf>
    <xf numFmtId="0" fontId="8" fillId="46" borderId="0" xfId="0" applyNumberFormat="1" applyFont="1" applyFill="1" applyAlignment="1">
      <alignment horizontal="right"/>
    </xf>
    <xf numFmtId="10" fontId="1" fillId="2" borderId="18" xfId="2" applyNumberFormat="1" applyFont="1" applyFill="1" applyBorder="1" applyAlignment="1">
      <alignment horizontal="right"/>
    </xf>
    <xf numFmtId="164" fontId="64" fillId="2" borderId="0" xfId="165" applyNumberFormat="1" applyFont="1" applyFill="1" applyBorder="1"/>
    <xf numFmtId="182" fontId="2" fillId="47" borderId="0" xfId="0" applyNumberFormat="1" applyFont="1" applyFill="1" applyBorder="1"/>
    <xf numFmtId="10" fontId="40" fillId="47" borderId="0" xfId="2" applyNumberFormat="1" applyFont="1" applyFill="1" applyBorder="1"/>
    <xf numFmtId="10" fontId="2" fillId="47" borderId="0" xfId="2" applyNumberFormat="1" applyFont="1" applyFill="1" applyBorder="1"/>
    <xf numFmtId="182" fontId="2" fillId="47" borderId="0" xfId="0" applyNumberFormat="1" applyFont="1" applyFill="1" applyBorder="1" applyAlignment="1">
      <alignment horizontal="right"/>
    </xf>
    <xf numFmtId="10" fontId="2" fillId="47" borderId="0" xfId="2" applyNumberFormat="1" applyFont="1" applyFill="1" applyBorder="1" applyAlignment="1">
      <alignment horizontal="right"/>
    </xf>
    <xf numFmtId="182" fontId="8" fillId="46" borderId="0" xfId="0" applyNumberFormat="1" applyFont="1" applyFill="1" applyBorder="1"/>
    <xf numFmtId="182" fontId="1" fillId="47" borderId="0" xfId="0" applyNumberFormat="1" applyFont="1" applyFill="1" applyAlignment="1">
      <alignment horizontal="right"/>
    </xf>
    <xf numFmtId="164" fontId="1" fillId="47" borderId="0" xfId="0" applyNumberFormat="1" applyFont="1" applyFill="1" applyAlignment="1">
      <alignment horizontal="right"/>
    </xf>
    <xf numFmtId="178" fontId="8" fillId="46" borderId="0" xfId="0" applyNumberFormat="1" applyFont="1" applyFill="1" applyBorder="1" applyAlignment="1">
      <alignment horizontal="right"/>
    </xf>
    <xf numFmtId="165" fontId="8" fillId="46" borderId="0" xfId="0" applyNumberFormat="1" applyFont="1" applyFill="1" applyBorder="1" applyAlignment="1">
      <alignment horizontal="right"/>
    </xf>
    <xf numFmtId="178" fontId="2" fillId="2" borderId="0" xfId="0" applyNumberFormat="1" applyFont="1" applyFill="1" applyBorder="1" applyAlignment="1">
      <alignment horizontal="right"/>
    </xf>
    <xf numFmtId="0" fontId="1" fillId="2" borderId="0" xfId="0" applyNumberFormat="1" applyFont="1" applyFill="1" applyBorder="1" applyAlignment="1">
      <alignment horizontal="right"/>
    </xf>
    <xf numFmtId="179" fontId="1" fillId="2" borderId="0" xfId="2" applyNumberFormat="1" applyFont="1" applyFill="1"/>
    <xf numFmtId="183" fontId="1" fillId="2" borderId="0" xfId="0" applyNumberFormat="1" applyFont="1" applyFill="1"/>
    <xf numFmtId="164" fontId="8" fillId="2" borderId="0" xfId="0" applyNumberFormat="1" applyFont="1" applyFill="1" applyBorder="1" applyAlignment="1">
      <alignment horizontal="right"/>
    </xf>
    <xf numFmtId="178" fontId="2" fillId="47" borderId="0" xfId="0" applyNumberFormat="1" applyFont="1" applyFill="1" applyBorder="1" applyAlignment="1">
      <alignment horizontal="right"/>
    </xf>
    <xf numFmtId="0" fontId="1" fillId="47" borderId="0" xfId="0" applyNumberFormat="1" applyFont="1" applyFill="1"/>
    <xf numFmtId="0" fontId="1" fillId="47" borderId="0" xfId="0" applyNumberFormat="1" applyFont="1" applyFill="1" applyBorder="1" applyAlignment="1">
      <alignment horizontal="right"/>
    </xf>
    <xf numFmtId="0" fontId="1" fillId="47" borderId="0" xfId="2" applyNumberFormat="1" applyFont="1" applyFill="1"/>
    <xf numFmtId="10" fontId="1" fillId="47" borderId="0" xfId="2" applyNumberFormat="1" applyFont="1" applyFill="1"/>
    <xf numFmtId="164" fontId="2" fillId="47" borderId="0" xfId="0" applyNumberFormat="1" applyFont="1" applyFill="1" applyBorder="1"/>
    <xf numFmtId="10" fontId="1" fillId="47" borderId="0" xfId="0" applyNumberFormat="1" applyFont="1" applyFill="1"/>
    <xf numFmtId="164" fontId="2" fillId="47" borderId="18" xfId="0" applyNumberFormat="1" applyFont="1" applyFill="1" applyBorder="1"/>
    <xf numFmtId="10" fontId="1" fillId="47" borderId="18" xfId="0" applyNumberFormat="1" applyFont="1" applyFill="1" applyBorder="1"/>
    <xf numFmtId="0" fontId="64" fillId="47" borderId="0" xfId="2" applyNumberFormat="1" applyFont="1" applyFill="1" applyBorder="1"/>
    <xf numFmtId="164" fontId="66" fillId="47" borderId="0" xfId="165" applyNumberFormat="1" applyFont="1" applyFill="1" applyBorder="1"/>
    <xf numFmtId="0" fontId="1" fillId="47" borderId="0" xfId="2" applyNumberFormat="1" applyFont="1" applyFill="1" applyBorder="1"/>
    <xf numFmtId="164" fontId="8" fillId="2" borderId="0" xfId="0" applyNumberFormat="1" applyFont="1" applyFill="1" applyBorder="1" applyAlignment="1">
      <alignment horizontal="right" vertical="center"/>
    </xf>
    <xf numFmtId="182" fontId="1" fillId="2" borderId="0" xfId="0" applyNumberFormat="1" applyFont="1" applyFill="1" applyBorder="1" applyAlignment="1">
      <alignment horizontal="right" vertical="center"/>
    </xf>
    <xf numFmtId="10" fontId="64" fillId="2" borderId="0" xfId="2" applyNumberFormat="1" applyFont="1" applyFill="1" applyBorder="1" applyAlignment="1">
      <alignment horizontal="right"/>
    </xf>
    <xf numFmtId="165" fontId="8" fillId="2" borderId="0" xfId="0" applyNumberFormat="1" applyFont="1" applyFill="1" applyBorder="1" applyAlignment="1">
      <alignment horizontal="right"/>
    </xf>
    <xf numFmtId="0" fontId="8" fillId="2" borderId="0" xfId="0" applyNumberFormat="1" applyFont="1" applyFill="1" applyBorder="1" applyAlignment="1">
      <alignment horizontal="right" vertical="center"/>
    </xf>
    <xf numFmtId="0" fontId="8" fillId="2" borderId="0" xfId="0" applyNumberFormat="1" applyFont="1" applyFill="1" applyBorder="1" applyAlignment="1">
      <alignment horizontal="right"/>
    </xf>
    <xf numFmtId="182" fontId="1" fillId="2" borderId="0" xfId="0" applyNumberFormat="1" applyFont="1" applyFill="1" applyBorder="1" applyAlignment="1">
      <alignment horizontal="right"/>
    </xf>
    <xf numFmtId="179" fontId="1" fillId="2" borderId="0" xfId="2" applyNumberFormat="1" applyFont="1" applyFill="1" applyBorder="1"/>
    <xf numFmtId="183" fontId="1" fillId="2" borderId="0" xfId="0" applyNumberFormat="1" applyFont="1" applyFill="1" applyBorder="1"/>
    <xf numFmtId="10" fontId="1" fillId="2" borderId="0" xfId="0" applyNumberFormat="1" applyFont="1" applyFill="1" applyBorder="1"/>
    <xf numFmtId="178" fontId="8" fillId="2" borderId="0" xfId="0" applyNumberFormat="1" applyFont="1" applyFill="1" applyBorder="1" applyAlignment="1">
      <alignment horizontal="right"/>
    </xf>
    <xf numFmtId="182" fontId="40" fillId="2" borderId="0" xfId="0" applyNumberFormat="1" applyFont="1" applyFill="1" applyBorder="1"/>
    <xf numFmtId="0" fontId="64" fillId="2" borderId="0" xfId="2" applyNumberFormat="1" applyFont="1" applyFill="1" applyBorder="1" applyAlignment="1">
      <alignment horizontal="right"/>
    </xf>
    <xf numFmtId="165" fontId="6" fillId="2" borderId="0" xfId="0" applyNumberFormat="1" applyFont="1" applyFill="1" applyBorder="1" applyAlignment="1">
      <alignment horizontal="left"/>
    </xf>
    <xf numFmtId="165" fontId="6" fillId="2" borderId="0" xfId="0" applyNumberFormat="1" applyFont="1" applyFill="1" applyBorder="1" applyAlignment="1">
      <alignment horizontal="right"/>
    </xf>
    <xf numFmtId="183" fontId="64" fillId="2" borderId="0" xfId="0" applyNumberFormat="1" applyFont="1" applyFill="1"/>
    <xf numFmtId="164" fontId="40" fillId="48" borderId="0" xfId="0" applyNumberFormat="1" applyFont="1" applyFill="1" applyBorder="1" applyAlignment="1">
      <alignment horizontal="right"/>
    </xf>
    <xf numFmtId="164" fontId="2" fillId="48" borderId="0" xfId="0" applyNumberFormat="1" applyFont="1" applyFill="1" applyBorder="1" applyAlignment="1">
      <alignment horizontal="right"/>
    </xf>
    <xf numFmtId="0" fontId="1" fillId="47" borderId="0" xfId="0" applyNumberFormat="1" applyFont="1" applyFill="1" applyBorder="1"/>
    <xf numFmtId="0" fontId="40" fillId="47" borderId="0" xfId="0" applyNumberFormat="1" applyFont="1" applyFill="1" applyBorder="1" applyAlignment="1">
      <alignment horizontal="right"/>
    </xf>
    <xf numFmtId="164" fontId="40" fillId="47" borderId="0" xfId="0" applyNumberFormat="1" applyFont="1" applyFill="1" applyBorder="1" applyAlignment="1">
      <alignment horizontal="right"/>
    </xf>
    <xf numFmtId="183" fontId="1" fillId="47" borderId="0" xfId="0" applyNumberFormat="1" applyFont="1" applyFill="1"/>
    <xf numFmtId="164" fontId="64" fillId="2" borderId="0" xfId="0" applyNumberFormat="1" applyFont="1" applyFill="1" applyBorder="1" applyAlignment="1">
      <alignment horizontal="left"/>
    </xf>
    <xf numFmtId="178" fontId="1" fillId="47" borderId="0" xfId="0" applyNumberFormat="1" applyFont="1" applyFill="1"/>
    <xf numFmtId="2" fontId="64" fillId="47" borderId="0" xfId="2" applyNumberFormat="1" applyFont="1" applyFill="1" applyBorder="1" applyAlignment="1">
      <alignment horizontal="right"/>
    </xf>
    <xf numFmtId="2" fontId="64" fillId="47" borderId="0" xfId="0" applyNumberFormat="1" applyFont="1" applyFill="1"/>
    <xf numFmtId="2" fontId="64" fillId="2" borderId="18" xfId="2" applyNumberFormat="1" applyFont="1" applyFill="1" applyBorder="1" applyAlignment="1">
      <alignment horizontal="right"/>
    </xf>
    <xf numFmtId="179" fontId="64" fillId="47" borderId="0" xfId="0" applyNumberFormat="1" applyFont="1" applyFill="1"/>
    <xf numFmtId="164" fontId="8" fillId="46" borderId="0" xfId="0" applyNumberFormat="1" applyFont="1" applyFill="1" applyBorder="1" applyAlignment="1">
      <alignment horizontal="center"/>
    </xf>
    <xf numFmtId="182" fontId="64" fillId="2" borderId="0" xfId="0" applyNumberFormat="1" applyFont="1" applyFill="1" applyBorder="1" applyAlignment="1">
      <alignment horizontal="left" vertical="center"/>
    </xf>
    <xf numFmtId="182" fontId="40" fillId="47" borderId="0" xfId="0" applyNumberFormat="1" applyFont="1" applyFill="1" applyBorder="1"/>
    <xf numFmtId="2" fontId="64" fillId="48" borderId="0" xfId="0" applyNumberFormat="1" applyFont="1" applyFill="1"/>
    <xf numFmtId="2" fontId="64" fillId="3" borderId="0" xfId="0" applyNumberFormat="1" applyFont="1" applyFill="1"/>
    <xf numFmtId="178" fontId="64" fillId="48" borderId="0" xfId="0" applyNumberFormat="1" applyFont="1" applyFill="1" applyAlignment="1">
      <alignment horizontal="right"/>
    </xf>
    <xf numFmtId="178" fontId="64" fillId="48" borderId="0" xfId="0" applyNumberFormat="1" applyFont="1" applyFill="1"/>
    <xf numFmtId="178" fontId="64" fillId="2" borderId="18" xfId="0" applyNumberFormat="1" applyFont="1" applyFill="1" applyBorder="1"/>
    <xf numFmtId="165" fontId="65" fillId="2" borderId="0" xfId="0" applyNumberFormat="1" applyFont="1" applyFill="1" applyBorder="1" applyAlignment="1">
      <alignment horizontal="right"/>
    </xf>
    <xf numFmtId="164" fontId="65" fillId="2" borderId="0" xfId="0" applyNumberFormat="1" applyFont="1" applyFill="1" applyBorder="1" applyAlignment="1">
      <alignment horizontal="right"/>
    </xf>
    <xf numFmtId="178" fontId="64" fillId="2" borderId="18" xfId="0" applyNumberFormat="1" applyFont="1" applyFill="1" applyBorder="1" applyAlignment="1">
      <alignment horizontal="right"/>
    </xf>
    <xf numFmtId="0" fontId="8" fillId="46" borderId="0" xfId="2" applyNumberFormat="1" applyFont="1" applyFill="1" applyBorder="1" applyAlignment="1">
      <alignment horizontal="right"/>
    </xf>
    <xf numFmtId="184" fontId="40" fillId="47" borderId="0" xfId="2" applyNumberFormat="1" applyFont="1" applyFill="1" applyBorder="1" applyAlignment="1">
      <alignment horizontal="right"/>
    </xf>
    <xf numFmtId="9" fontId="64" fillId="47" borderId="0" xfId="2" applyFont="1" applyFill="1" applyBorder="1"/>
    <xf numFmtId="184" fontId="40" fillId="47" borderId="18" xfId="2" applyNumberFormat="1" applyFont="1" applyFill="1" applyBorder="1" applyAlignment="1">
      <alignment horizontal="right"/>
    </xf>
    <xf numFmtId="9" fontId="64" fillId="47" borderId="18" xfId="2" applyFont="1" applyFill="1" applyBorder="1"/>
    <xf numFmtId="10" fontId="2" fillId="47" borderId="0" xfId="2" applyNumberFormat="1" applyFont="1" applyFill="1"/>
    <xf numFmtId="164" fontId="40" fillId="46" borderId="0" xfId="0" applyNumberFormat="1" applyFont="1" applyFill="1" applyBorder="1" applyAlignment="1">
      <alignment horizontal="center"/>
    </xf>
    <xf numFmtId="183" fontId="8" fillId="46" borderId="0" xfId="0" applyNumberFormat="1" applyFont="1" applyFill="1" applyAlignment="1">
      <alignment horizontal="right"/>
    </xf>
    <xf numFmtId="183" fontId="8" fillId="46" borderId="0" xfId="0" applyNumberFormat="1" applyFont="1" applyFill="1"/>
    <xf numFmtId="183" fontId="7" fillId="46" borderId="0" xfId="0" applyNumberFormat="1" applyFont="1" applyFill="1"/>
    <xf numFmtId="185" fontId="64" fillId="47" borderId="0" xfId="0" applyNumberFormat="1" applyFont="1" applyFill="1" applyBorder="1" applyAlignment="1">
      <alignment horizontal="right" vertical="center"/>
    </xf>
    <xf numFmtId="178" fontId="64" fillId="47" borderId="0" xfId="2" applyNumberFormat="1" applyFont="1" applyFill="1" applyBorder="1" applyAlignment="1">
      <alignment horizontal="right"/>
    </xf>
    <xf numFmtId="165" fontId="64" fillId="47" borderId="0" xfId="0" applyNumberFormat="1" applyFont="1" applyFill="1"/>
    <xf numFmtId="9" fontId="1" fillId="47" borderId="0" xfId="2" applyNumberFormat="1" applyFont="1" applyFill="1"/>
    <xf numFmtId="9" fontId="1" fillId="47" borderId="0" xfId="2" applyFont="1" applyFill="1" applyBorder="1" applyAlignment="1">
      <alignment horizontal="right"/>
    </xf>
    <xf numFmtId="178" fontId="1" fillId="47" borderId="0" xfId="0" applyNumberFormat="1" applyFont="1" applyFill="1" applyBorder="1"/>
    <xf numFmtId="178" fontId="8" fillId="46" borderId="0" xfId="0" applyNumberFormat="1" applyFont="1" applyFill="1" applyBorder="1"/>
    <xf numFmtId="164" fontId="64" fillId="47" borderId="18" xfId="0" applyNumberFormat="1" applyFont="1" applyFill="1" applyBorder="1"/>
    <xf numFmtId="2" fontId="40" fillId="47" borderId="0" xfId="0" applyNumberFormat="1" applyFont="1" applyFill="1" applyBorder="1" applyAlignment="1">
      <alignment horizontal="right"/>
    </xf>
    <xf numFmtId="178" fontId="2" fillId="47" borderId="0" xfId="0" applyNumberFormat="1" applyFont="1" applyFill="1" applyBorder="1"/>
    <xf numFmtId="164" fontId="63" fillId="47" borderId="0" xfId="0" applyNumberFormat="1" applyFont="1" applyFill="1"/>
    <xf numFmtId="164" fontId="65" fillId="47" borderId="0" xfId="0" applyNumberFormat="1" applyFont="1" applyFill="1" applyBorder="1"/>
    <xf numFmtId="164" fontId="65" fillId="47" borderId="0" xfId="0" applyNumberFormat="1" applyFont="1" applyFill="1"/>
    <xf numFmtId="0" fontId="2" fillId="47" borderId="0" xfId="0" applyNumberFormat="1" applyFont="1" applyFill="1"/>
    <xf numFmtId="182" fontId="66" fillId="2" borderId="0" xfId="165" applyNumberFormat="1" applyFont="1" applyFill="1" applyBorder="1" applyAlignment="1">
      <alignment horizontal="left" vertical="center"/>
    </xf>
    <xf numFmtId="164" fontId="8" fillId="2" borderId="0" xfId="0" applyNumberFormat="1" applyFont="1" applyFill="1" applyBorder="1" applyAlignment="1"/>
    <xf numFmtId="164" fontId="64" fillId="2" borderId="0" xfId="0" applyNumberFormat="1" applyFont="1" applyFill="1" applyBorder="1" applyAlignment="1"/>
    <xf numFmtId="180" fontId="2" fillId="2" borderId="0" xfId="2" applyNumberFormat="1" applyFont="1" applyFill="1" applyBorder="1"/>
    <xf numFmtId="2" fontId="8" fillId="46" borderId="0" xfId="2" applyNumberFormat="1" applyFont="1" applyFill="1" applyBorder="1"/>
    <xf numFmtId="180" fontId="2" fillId="47" borderId="0" xfId="2" applyNumberFormat="1" applyFont="1" applyFill="1" applyBorder="1"/>
    <xf numFmtId="180" fontId="2" fillId="47" borderId="18" xfId="2" applyNumberFormat="1" applyFont="1" applyFill="1" applyBorder="1"/>
    <xf numFmtId="164" fontId="64" fillId="47" borderId="0" xfId="0" applyNumberFormat="1" applyFont="1" applyFill="1" applyAlignment="1">
      <alignment horizontal="right"/>
    </xf>
    <xf numFmtId="0" fontId="2" fillId="47" borderId="0" xfId="2" applyNumberFormat="1" applyFont="1" applyFill="1" applyBorder="1"/>
    <xf numFmtId="186" fontId="8" fillId="46" borderId="0" xfId="2" applyNumberFormat="1" applyFont="1" applyFill="1" applyBorder="1" applyAlignment="1">
      <alignment horizontal="right"/>
    </xf>
    <xf numFmtId="187" fontId="2" fillId="47" borderId="0" xfId="0" applyNumberFormat="1" applyFont="1" applyFill="1"/>
    <xf numFmtId="188" fontId="8" fillId="46" borderId="0" xfId="2" applyNumberFormat="1" applyFont="1" applyFill="1" applyBorder="1" applyAlignment="1">
      <alignment horizontal="right"/>
    </xf>
    <xf numFmtId="10" fontId="8" fillId="46" borderId="0" xfId="2" applyNumberFormat="1" applyFont="1" applyFill="1"/>
    <xf numFmtId="0" fontId="62" fillId="2" borderId="0" xfId="0" applyFont="1" applyFill="1" applyBorder="1" applyAlignment="1">
      <alignment vertical="center"/>
    </xf>
    <xf numFmtId="0" fontId="1" fillId="2" borderId="0" xfId="0" applyFont="1" applyFill="1" applyBorder="1" applyAlignment="1">
      <alignment vertical="center"/>
    </xf>
    <xf numFmtId="0" fontId="1" fillId="2" borderId="0" xfId="0" applyFont="1" applyFill="1" applyBorder="1"/>
    <xf numFmtId="0" fontId="40" fillId="2" borderId="0" xfId="0" applyFont="1" applyFill="1" applyBorder="1" applyAlignment="1">
      <alignment horizontal="right"/>
    </xf>
    <xf numFmtId="0" fontId="1" fillId="2" borderId="0" xfId="0" applyFont="1" applyFill="1" applyBorder="1" applyAlignment="1">
      <alignment horizontal="right" vertical="center"/>
    </xf>
    <xf numFmtId="0" fontId="2" fillId="2" borderId="0" xfId="0" applyFont="1" applyFill="1" applyBorder="1"/>
    <xf numFmtId="1" fontId="1" fillId="2" borderId="0" xfId="0" applyNumberFormat="1" applyFont="1" applyFill="1" applyBorder="1"/>
    <xf numFmtId="0" fontId="64" fillId="2" borderId="0" xfId="0" applyFont="1" applyFill="1" applyBorder="1"/>
    <xf numFmtId="0" fontId="65" fillId="2" borderId="0" xfId="0" applyFont="1" applyFill="1"/>
    <xf numFmtId="0" fontId="1" fillId="2" borderId="0" xfId="0" applyFont="1" applyFill="1" applyBorder="1" applyAlignment="1">
      <alignment horizontal="right"/>
    </xf>
    <xf numFmtId="0" fontId="6" fillId="2" borderId="0" xfId="0" applyFont="1" applyFill="1" applyBorder="1"/>
    <xf numFmtId="0" fontId="2" fillId="2" borderId="0" xfId="0" applyFont="1" applyFill="1" applyBorder="1" applyAlignment="1">
      <alignment horizontal="right"/>
    </xf>
    <xf numFmtId="179" fontId="64" fillId="2" borderId="0" xfId="0" applyNumberFormat="1" applyFont="1" applyFill="1" applyBorder="1"/>
    <xf numFmtId="1" fontId="64" fillId="2" borderId="0" xfId="0" applyNumberFormat="1" applyFont="1" applyFill="1" applyBorder="1"/>
    <xf numFmtId="179" fontId="1" fillId="2" borderId="0" xfId="0" applyNumberFormat="1" applyFont="1" applyFill="1" applyBorder="1"/>
    <xf numFmtId="0" fontId="1" fillId="47" borderId="0" xfId="0" applyFont="1" applyFill="1" applyBorder="1"/>
    <xf numFmtId="0" fontId="64" fillId="47" borderId="0" xfId="0" applyFont="1" applyFill="1" applyBorder="1" applyAlignment="1">
      <alignment horizontal="right"/>
    </xf>
    <xf numFmtId="0" fontId="40" fillId="47" borderId="0" xfId="0" applyFont="1" applyFill="1" applyBorder="1" applyAlignment="1">
      <alignment horizontal="left"/>
    </xf>
    <xf numFmtId="180" fontId="40" fillId="47" borderId="0" xfId="0" applyNumberFormat="1" applyFont="1" applyFill="1" applyBorder="1" applyAlignment="1">
      <alignment horizontal="right"/>
    </xf>
    <xf numFmtId="0" fontId="2" fillId="47" borderId="0" xfId="0" applyFont="1" applyFill="1" applyBorder="1"/>
    <xf numFmtId="180" fontId="2" fillId="47" borderId="0" xfId="0" applyNumberFormat="1" applyFont="1" applyFill="1" applyBorder="1"/>
    <xf numFmtId="0" fontId="2" fillId="47" borderId="19" xfId="0" applyFont="1" applyFill="1" applyBorder="1"/>
    <xf numFmtId="180" fontId="2" fillId="47" borderId="19" xfId="0" applyNumberFormat="1" applyFont="1" applyFill="1" applyBorder="1"/>
    <xf numFmtId="0" fontId="2" fillId="47" borderId="18" xfId="0" applyFont="1" applyFill="1" applyBorder="1"/>
    <xf numFmtId="180" fontId="2" fillId="47" borderId="18" xfId="0" applyNumberFormat="1" applyFont="1" applyFill="1" applyBorder="1"/>
    <xf numFmtId="0" fontId="40" fillId="47" borderId="0" xfId="0" applyFont="1" applyFill="1" applyBorder="1" applyAlignment="1">
      <alignment horizontal="right"/>
    </xf>
    <xf numFmtId="1" fontId="2" fillId="47" borderId="0" xfId="2" applyNumberFormat="1" applyFont="1" applyFill="1" applyBorder="1"/>
    <xf numFmtId="0" fontId="75" fillId="47" borderId="0" xfId="0" applyFont="1" applyFill="1" applyBorder="1"/>
    <xf numFmtId="180" fontId="8" fillId="46" borderId="0" xfId="0" applyNumberFormat="1" applyFont="1" applyFill="1" applyBorder="1"/>
    <xf numFmtId="0" fontId="75" fillId="2" borderId="0" xfId="0" applyFont="1" applyFill="1" applyBorder="1"/>
    <xf numFmtId="0" fontId="64" fillId="2" borderId="0" xfId="0" applyFont="1" applyFill="1" applyBorder="1" applyAlignment="1">
      <alignment horizontal="right"/>
    </xf>
    <xf numFmtId="180" fontId="2" fillId="2" borderId="0" xfId="0" applyNumberFormat="1" applyFont="1" applyFill="1" applyBorder="1"/>
    <xf numFmtId="1" fontId="2" fillId="2" borderId="0" xfId="2" applyNumberFormat="1" applyFont="1" applyFill="1" applyBorder="1"/>
    <xf numFmtId="0" fontId="2" fillId="47" borderId="0" xfId="0" applyFont="1" applyFill="1" applyBorder="1" applyAlignment="1">
      <alignment horizontal="left" vertical="center"/>
    </xf>
    <xf numFmtId="180" fontId="2" fillId="47" borderId="0" xfId="0" applyNumberFormat="1" applyFont="1" applyFill="1" applyBorder="1" applyAlignment="1">
      <alignment horizontal="right" vertical="center"/>
    </xf>
    <xf numFmtId="180" fontId="2" fillId="47" borderId="18" xfId="0" applyNumberFormat="1" applyFont="1" applyFill="1" applyBorder="1" applyAlignment="1">
      <alignment horizontal="right" vertical="center"/>
    </xf>
    <xf numFmtId="180" fontId="64" fillId="2" borderId="0" xfId="0" applyNumberFormat="1" applyFont="1" applyFill="1" applyBorder="1"/>
    <xf numFmtId="0" fontId="2" fillId="47" borderId="0" xfId="0" applyFont="1" applyFill="1" applyBorder="1" applyAlignment="1">
      <alignment horizontal="right"/>
    </xf>
    <xf numFmtId="180" fontId="64" fillId="47" borderId="0" xfId="0" applyNumberFormat="1" applyFont="1" applyFill="1" applyBorder="1"/>
    <xf numFmtId="10" fontId="64" fillId="2" borderId="0" xfId="2" applyNumberFormat="1" applyFont="1" applyFill="1" applyBorder="1"/>
    <xf numFmtId="10" fontId="64" fillId="47" borderId="0" xfId="2" applyNumberFormat="1" applyFont="1" applyFill="1" applyBorder="1"/>
    <xf numFmtId="10" fontId="65" fillId="2" borderId="18" xfId="0" applyNumberFormat="1" applyFont="1" applyFill="1" applyBorder="1"/>
    <xf numFmtId="181" fontId="2" fillId="47" borderId="0" xfId="0" applyNumberFormat="1" applyFont="1" applyFill="1" applyBorder="1"/>
    <xf numFmtId="181" fontId="40" fillId="47" borderId="0" xfId="0" applyNumberFormat="1" applyFont="1" applyFill="1" applyBorder="1" applyAlignment="1">
      <alignment horizontal="right"/>
    </xf>
    <xf numFmtId="181" fontId="2" fillId="47" borderId="0" xfId="0" applyNumberFormat="1" applyFont="1" applyFill="1" applyBorder="1" applyAlignment="1">
      <alignment horizontal="right" vertical="center"/>
    </xf>
    <xf numFmtId="181" fontId="1" fillId="2" borderId="0" xfId="0" applyNumberFormat="1" applyFont="1" applyFill="1" applyBorder="1"/>
    <xf numFmtId="10" fontId="65" fillId="2" borderId="0" xfId="0" applyNumberFormat="1" applyFont="1" applyFill="1" applyBorder="1"/>
    <xf numFmtId="0" fontId="65" fillId="2" borderId="0" xfId="0" applyFont="1" applyFill="1" applyBorder="1" applyAlignment="1"/>
    <xf numFmtId="0" fontId="8" fillId="2" borderId="0" xfId="0" applyFont="1" applyFill="1" applyBorder="1" applyAlignment="1"/>
    <xf numFmtId="0" fontId="2" fillId="2" borderId="0" xfId="0" applyFont="1" applyFill="1" applyBorder="1" applyAlignment="1"/>
    <xf numFmtId="181" fontId="8" fillId="2" borderId="0" xfId="0" applyNumberFormat="1" applyFont="1" applyFill="1" applyBorder="1"/>
    <xf numFmtId="10" fontId="65" fillId="47" borderId="0" xfId="0" applyNumberFormat="1" applyFont="1" applyFill="1" applyBorder="1" applyAlignment="1">
      <alignment horizontal="right"/>
    </xf>
    <xf numFmtId="180" fontId="1" fillId="2" borderId="0" xfId="0" applyNumberFormat="1" applyFont="1" applyFill="1" applyBorder="1"/>
    <xf numFmtId="180" fontId="40" fillId="47" borderId="18" xfId="2" applyNumberFormat="1" applyFont="1" applyFill="1" applyBorder="1"/>
    <xf numFmtId="10" fontId="2" fillId="47" borderId="0" xfId="2" applyNumberFormat="1" applyFont="1" applyFill="1" applyBorder="1" applyAlignment="1">
      <alignment horizontal="right" vertical="center"/>
    </xf>
    <xf numFmtId="0" fontId="2" fillId="47" borderId="0" xfId="0" applyFont="1" applyFill="1" applyBorder="1" applyAlignment="1">
      <alignment vertical="center"/>
    </xf>
    <xf numFmtId="180" fontId="8" fillId="46" borderId="0" xfId="0" applyNumberFormat="1" applyFont="1" applyFill="1" applyBorder="1" applyAlignment="1">
      <alignment horizontal="left" vertical="center"/>
    </xf>
    <xf numFmtId="180" fontId="8" fillId="46" borderId="0" xfId="0" applyNumberFormat="1" applyFont="1" applyFill="1" applyBorder="1" applyAlignment="1">
      <alignment vertical="center"/>
    </xf>
    <xf numFmtId="180" fontId="64" fillId="47" borderId="0" xfId="0" applyNumberFormat="1" applyFont="1" applyFill="1" applyBorder="1" applyAlignment="1">
      <alignment vertical="center"/>
    </xf>
    <xf numFmtId="180" fontId="64" fillId="47" borderId="0" xfId="0" applyNumberFormat="1" applyFont="1" applyFill="1" applyBorder="1" applyAlignment="1">
      <alignment horizontal="right" vertical="center"/>
    </xf>
    <xf numFmtId="0" fontId="1" fillId="47" borderId="0" xfId="0" applyFont="1" applyFill="1" applyBorder="1" applyAlignment="1">
      <alignment horizontal="right"/>
    </xf>
    <xf numFmtId="179" fontId="1" fillId="47" borderId="0" xfId="0" applyNumberFormat="1" applyFont="1" applyFill="1" applyBorder="1" applyAlignment="1">
      <alignment horizontal="right"/>
    </xf>
    <xf numFmtId="0" fontId="2" fillId="47" borderId="18" xfId="0" applyFont="1" applyFill="1" applyBorder="1" applyAlignment="1">
      <alignment horizontal="right"/>
    </xf>
    <xf numFmtId="2" fontId="2" fillId="47" borderId="18" xfId="0" applyNumberFormat="1" applyFont="1" applyFill="1" applyBorder="1"/>
    <xf numFmtId="0" fontId="8" fillId="46" borderId="0" xfId="0" applyFont="1" applyFill="1" applyBorder="1" applyAlignment="1">
      <alignment horizontal="right"/>
    </xf>
    <xf numFmtId="0" fontId="8" fillId="46" borderId="0" xfId="0" applyFont="1" applyFill="1" applyBorder="1"/>
    <xf numFmtId="2" fontId="1" fillId="47" borderId="0" xfId="0" applyNumberFormat="1" applyFont="1" applyFill="1" applyBorder="1"/>
    <xf numFmtId="10" fontId="64" fillId="2" borderId="18" xfId="0" applyNumberFormat="1" applyFont="1" applyFill="1" applyBorder="1"/>
    <xf numFmtId="10" fontId="40" fillId="47" borderId="0" xfId="2" applyNumberFormat="1" applyFont="1" applyFill="1" applyBorder="1" applyAlignment="1">
      <alignment horizontal="right"/>
    </xf>
    <xf numFmtId="2" fontId="2" fillId="47" borderId="0" xfId="0" applyNumberFormat="1" applyFont="1" applyFill="1" applyBorder="1"/>
    <xf numFmtId="181" fontId="2" fillId="2" borderId="0" xfId="0" applyNumberFormat="1" applyFont="1" applyFill="1" applyBorder="1"/>
    <xf numFmtId="2" fontId="64" fillId="2" borderId="0" xfId="0" applyNumberFormat="1" applyFont="1" applyFill="1" applyBorder="1"/>
    <xf numFmtId="0" fontId="65" fillId="2" borderId="0" xfId="0" applyFont="1" applyFill="1" applyBorder="1" applyAlignment="1">
      <alignment horizontal="right"/>
    </xf>
    <xf numFmtId="10" fontId="40" fillId="47" borderId="0" xfId="2" applyNumberFormat="1" applyFont="1" applyFill="1" applyBorder="1" applyAlignment="1">
      <alignment horizontal="right" vertical="center"/>
    </xf>
    <xf numFmtId="164" fontId="40" fillId="2" borderId="0" xfId="0" applyNumberFormat="1" applyFont="1" applyFill="1" applyBorder="1" applyAlignment="1">
      <alignment horizontal="center"/>
    </xf>
    <xf numFmtId="2" fontId="64" fillId="2" borderId="0" xfId="2" applyNumberFormat="1" applyFont="1" applyFill="1" applyBorder="1" applyAlignment="1">
      <alignment horizontal="right"/>
    </xf>
    <xf numFmtId="178" fontId="64" fillId="2" borderId="0" xfId="0" applyNumberFormat="1" applyFont="1" applyFill="1" applyBorder="1"/>
    <xf numFmtId="178" fontId="64" fillId="2" borderId="0" xfId="0" applyNumberFormat="1" applyFont="1" applyFill="1" applyBorder="1" applyAlignment="1">
      <alignment horizontal="right"/>
    </xf>
    <xf numFmtId="164" fontId="8" fillId="2" borderId="0" xfId="0" applyNumberFormat="1" applyFont="1" applyFill="1" applyBorder="1" applyAlignment="1">
      <alignment horizontal="center"/>
    </xf>
    <xf numFmtId="0" fontId="40" fillId="2" borderId="0" xfId="0" applyNumberFormat="1" applyFont="1" applyFill="1" applyBorder="1" applyAlignment="1">
      <alignment horizontal="right"/>
    </xf>
    <xf numFmtId="179" fontId="64" fillId="2" borderId="0" xfId="0" applyNumberFormat="1" applyFont="1" applyFill="1"/>
    <xf numFmtId="10" fontId="64" fillId="2" borderId="0" xfId="2" applyNumberFormat="1" applyFont="1" applyFill="1"/>
    <xf numFmtId="2" fontId="64" fillId="2" borderId="0" xfId="0" applyNumberFormat="1" applyFont="1" applyFill="1"/>
    <xf numFmtId="2" fontId="64" fillId="2" borderId="0" xfId="2" applyNumberFormat="1" applyFont="1" applyFill="1" applyBorder="1" applyAlignment="1"/>
    <xf numFmtId="178" fontId="64" fillId="2" borderId="0" xfId="0" applyNumberFormat="1" applyFont="1" applyFill="1"/>
    <xf numFmtId="10" fontId="8" fillId="46" borderId="0" xfId="0" applyNumberFormat="1" applyFont="1" applyFill="1" applyBorder="1"/>
    <xf numFmtId="182" fontId="1" fillId="2" borderId="0" xfId="0" applyNumberFormat="1" applyFont="1" applyFill="1" applyBorder="1"/>
    <xf numFmtId="182" fontId="2" fillId="49" borderId="0" xfId="0" applyNumberFormat="1" applyFont="1" applyFill="1" applyBorder="1"/>
    <xf numFmtId="0" fontId="1" fillId="49" borderId="0" xfId="0" applyFont="1" applyFill="1" applyBorder="1"/>
    <xf numFmtId="182" fontId="1" fillId="47" borderId="0" xfId="0" applyNumberFormat="1" applyFont="1" applyFill="1" applyBorder="1"/>
    <xf numFmtId="0" fontId="2" fillId="47" borderId="0" xfId="0" applyNumberFormat="1" applyFont="1" applyFill="1" applyBorder="1" applyAlignment="1">
      <alignment horizontal="right" vertical="center"/>
    </xf>
    <xf numFmtId="0" fontId="64" fillId="47" borderId="0" xfId="0" applyFont="1" applyFill="1" applyBorder="1"/>
    <xf numFmtId="184" fontId="2" fillId="49" borderId="0" xfId="0" applyNumberFormat="1" applyFont="1" applyFill="1" applyBorder="1"/>
    <xf numFmtId="184" fontId="2" fillId="47" borderId="0" xfId="0" applyNumberFormat="1" applyFont="1" applyFill="1" applyBorder="1"/>
    <xf numFmtId="184" fontId="1" fillId="47" borderId="0" xfId="0" applyNumberFormat="1" applyFont="1" applyFill="1" applyBorder="1"/>
    <xf numFmtId="10" fontId="40" fillId="2" borderId="0" xfId="2" applyNumberFormat="1" applyFont="1" applyFill="1" applyBorder="1" applyAlignment="1"/>
    <xf numFmtId="0" fontId="2" fillId="49" borderId="0" xfId="0" applyNumberFormat="1" applyFont="1" applyFill="1" applyBorder="1" applyAlignment="1">
      <alignment horizontal="right"/>
    </xf>
    <xf numFmtId="10" fontId="64" fillId="47" borderId="0" xfId="0" applyNumberFormat="1" applyFont="1" applyFill="1" applyBorder="1"/>
    <xf numFmtId="180" fontId="1" fillId="49" borderId="0" xfId="0" applyNumberFormat="1" applyFont="1" applyFill="1" applyBorder="1"/>
    <xf numFmtId="180" fontId="1" fillId="47" borderId="0" xfId="0" applyNumberFormat="1" applyFont="1" applyFill="1" applyBorder="1"/>
    <xf numFmtId="180" fontId="2" fillId="49" borderId="0" xfId="0" applyNumberFormat="1" applyFont="1" applyFill="1" applyBorder="1"/>
    <xf numFmtId="2" fontId="2" fillId="49" borderId="0" xfId="0" applyNumberFormat="1" applyFont="1" applyFill="1" applyBorder="1"/>
    <xf numFmtId="182" fontId="2" fillId="49" borderId="0" xfId="0" applyNumberFormat="1" applyFont="1" applyFill="1" applyBorder="1" applyAlignment="1">
      <alignment horizontal="right" vertical="center"/>
    </xf>
    <xf numFmtId="10" fontId="65" fillId="49" borderId="0" xfId="2" applyNumberFormat="1" applyFont="1" applyFill="1" applyBorder="1" applyAlignment="1">
      <alignment horizontal="right"/>
    </xf>
    <xf numFmtId="9" fontId="67" fillId="46" borderId="0" xfId="0" applyNumberFormat="1" applyFont="1" applyFill="1" applyBorder="1"/>
    <xf numFmtId="9" fontId="67" fillId="46" borderId="0" xfId="0" applyNumberFormat="1" applyFont="1" applyFill="1" applyBorder="1" applyAlignment="1">
      <alignment horizontal="right"/>
    </xf>
    <xf numFmtId="10" fontId="67" fillId="46" borderId="0" xfId="0" applyNumberFormat="1" applyFont="1" applyFill="1" applyBorder="1"/>
    <xf numFmtId="164" fontId="63" fillId="2" borderId="0" xfId="0" applyNumberFormat="1" applyFont="1" applyFill="1" applyBorder="1"/>
    <xf numFmtId="180" fontId="64" fillId="2" borderId="0" xfId="0" applyNumberFormat="1" applyFont="1" applyFill="1" applyBorder="1" applyAlignment="1">
      <alignment vertical="center"/>
    </xf>
    <xf numFmtId="0" fontId="40" fillId="2" borderId="0" xfId="0" applyFont="1" applyFill="1" applyBorder="1" applyAlignment="1">
      <alignment horizontal="left"/>
    </xf>
    <xf numFmtId="0" fontId="2" fillId="2" borderId="0" xfId="0" applyFont="1" applyFill="1" applyBorder="1" applyAlignment="1">
      <alignment horizontal="left" vertical="center"/>
    </xf>
    <xf numFmtId="10" fontId="2" fillId="2" borderId="0" xfId="2" applyNumberFormat="1" applyFont="1" applyFill="1" applyBorder="1" applyAlignment="1">
      <alignment horizontal="right" vertical="center"/>
    </xf>
    <xf numFmtId="180" fontId="8" fillId="2" borderId="0" xfId="0" applyNumberFormat="1" applyFont="1" applyFill="1" applyBorder="1"/>
    <xf numFmtId="0" fontId="7" fillId="46" borderId="0" xfId="0" applyFont="1" applyFill="1" applyBorder="1"/>
    <xf numFmtId="0" fontId="65" fillId="2" borderId="18" xfId="0" applyFont="1" applyFill="1" applyBorder="1" applyAlignment="1"/>
    <xf numFmtId="0" fontId="64" fillId="47" borderId="0" xfId="0" applyNumberFormat="1" applyFont="1" applyFill="1" applyBorder="1"/>
    <xf numFmtId="0" fontId="64" fillId="2" borderId="0" xfId="0" applyNumberFormat="1" applyFont="1" applyFill="1" applyBorder="1"/>
    <xf numFmtId="10" fontId="65" fillId="49" borderId="0" xfId="0" applyNumberFormat="1" applyFont="1" applyFill="1" applyBorder="1"/>
    <xf numFmtId="0" fontId="40" fillId="47" borderId="0" xfId="0" applyFont="1" applyFill="1" applyBorder="1"/>
    <xf numFmtId="10" fontId="2" fillId="47" borderId="18" xfId="2" applyNumberFormat="1" applyFont="1" applyFill="1" applyBorder="1"/>
    <xf numFmtId="178" fontId="2" fillId="2" borderId="0" xfId="0" applyNumberFormat="1" applyFont="1" applyFill="1" applyBorder="1"/>
    <xf numFmtId="164" fontId="64" fillId="47" borderId="0" xfId="0" applyNumberFormat="1" applyFont="1" applyFill="1" applyBorder="1"/>
    <xf numFmtId="0" fontId="6" fillId="47" borderId="0" xfId="0" applyFont="1" applyFill="1" applyBorder="1"/>
    <xf numFmtId="180" fontId="8" fillId="47" borderId="0" xfId="0" applyNumberFormat="1" applyFont="1" applyFill="1" applyBorder="1"/>
    <xf numFmtId="10" fontId="6" fillId="47" borderId="0" xfId="0" applyNumberFormat="1" applyFont="1" applyFill="1" applyBorder="1"/>
    <xf numFmtId="10" fontId="2" fillId="2" borderId="18" xfId="2" applyNumberFormat="1" applyFont="1" applyFill="1" applyBorder="1"/>
    <xf numFmtId="0" fontId="2" fillId="2" borderId="18" xfId="0" applyFont="1" applyFill="1" applyBorder="1"/>
    <xf numFmtId="10" fontId="8" fillId="47" borderId="0" xfId="0" applyNumberFormat="1" applyFont="1" applyFill="1" applyBorder="1"/>
    <xf numFmtId="180" fontId="40" fillId="47" borderId="0" xfId="0" applyNumberFormat="1" applyFont="1" applyFill="1" applyBorder="1"/>
    <xf numFmtId="180" fontId="8" fillId="46" borderId="0" xfId="2" applyNumberFormat="1" applyFont="1" applyFill="1"/>
    <xf numFmtId="2" fontId="64" fillId="2" borderId="0" xfId="2" quotePrefix="1" applyNumberFormat="1" applyFont="1" applyFill="1" applyBorder="1" applyAlignment="1">
      <alignment horizontal="right"/>
    </xf>
    <xf numFmtId="10" fontId="40" fillId="2" borderId="0" xfId="2" applyNumberFormat="1" applyFont="1" applyFill="1" applyBorder="1" applyAlignment="1">
      <alignment horizontal="right" vertical="center"/>
    </xf>
    <xf numFmtId="0" fontId="40" fillId="2" borderId="0" xfId="0" applyFont="1" applyFill="1" applyBorder="1"/>
    <xf numFmtId="10" fontId="6" fillId="2" borderId="0" xfId="0" applyNumberFormat="1" applyFont="1" applyFill="1" applyBorder="1"/>
    <xf numFmtId="9" fontId="64" fillId="47" borderId="0" xfId="0" applyNumberFormat="1" applyFont="1" applyFill="1" applyBorder="1"/>
    <xf numFmtId="10" fontId="8" fillId="46" borderId="0" xfId="2" applyNumberFormat="1" applyFont="1" applyFill="1" applyBorder="1" applyAlignment="1">
      <alignment horizontal="right"/>
    </xf>
    <xf numFmtId="0" fontId="40" fillId="2" borderId="0" xfId="2" applyNumberFormat="1" applyFont="1" applyFill="1" applyBorder="1" applyAlignment="1">
      <alignment horizontal="right"/>
    </xf>
    <xf numFmtId="2" fontId="40" fillId="2" borderId="0" xfId="2" applyNumberFormat="1" applyFont="1" applyFill="1" applyBorder="1" applyAlignment="1">
      <alignment horizontal="right"/>
    </xf>
    <xf numFmtId="179" fontId="40" fillId="2" borderId="0" xfId="2" applyNumberFormat="1" applyFont="1" applyFill="1" applyBorder="1" applyAlignment="1">
      <alignment horizontal="right"/>
    </xf>
    <xf numFmtId="0" fontId="40" fillId="47" borderId="0" xfId="2" applyNumberFormat="1" applyFont="1" applyFill="1" applyBorder="1" applyAlignment="1">
      <alignment horizontal="right"/>
    </xf>
    <xf numFmtId="0" fontId="2" fillId="47" borderId="18" xfId="0" applyFont="1" applyFill="1" applyBorder="1" applyAlignment="1">
      <alignment horizontal="left" vertical="center"/>
    </xf>
    <xf numFmtId="180" fontId="40" fillId="47" borderId="0" xfId="2" applyNumberFormat="1" applyFont="1" applyFill="1" applyBorder="1" applyAlignment="1">
      <alignment horizontal="right"/>
    </xf>
    <xf numFmtId="180" fontId="40" fillId="47" borderId="18" xfId="2" applyNumberFormat="1" applyFont="1" applyFill="1" applyBorder="1" applyAlignment="1">
      <alignment horizontal="right"/>
    </xf>
    <xf numFmtId="10" fontId="66" fillId="47" borderId="0" xfId="2" applyNumberFormat="1" applyFont="1" applyFill="1" applyBorder="1" applyAlignment="1">
      <alignment horizontal="right" vertical="center"/>
    </xf>
    <xf numFmtId="10" fontId="2" fillId="47" borderId="18" xfId="0" applyNumberFormat="1" applyFont="1" applyFill="1" applyBorder="1"/>
    <xf numFmtId="9" fontId="64" fillId="2" borderId="0" xfId="0" applyNumberFormat="1" applyFont="1" applyFill="1" applyBorder="1"/>
    <xf numFmtId="10" fontId="64" fillId="2" borderId="0" xfId="0" applyNumberFormat="1" applyFont="1" applyFill="1" applyBorder="1"/>
    <xf numFmtId="2" fontId="1" fillId="2" borderId="0" xfId="0" applyNumberFormat="1" applyFont="1" applyFill="1" applyBorder="1"/>
    <xf numFmtId="10" fontId="2" fillId="47" borderId="0" xfId="0" applyNumberFormat="1" applyFont="1" applyFill="1" applyBorder="1"/>
    <xf numFmtId="2" fontId="2" fillId="47" borderId="0" xfId="2" applyNumberFormat="1" applyFont="1" applyFill="1" applyBorder="1" applyAlignment="1">
      <alignment horizontal="right"/>
    </xf>
    <xf numFmtId="184" fontId="64" fillId="2" borderId="0" xfId="0" applyNumberFormat="1" applyFont="1" applyFill="1" applyBorder="1"/>
    <xf numFmtId="10" fontId="2" fillId="49" borderId="0" xfId="2" applyNumberFormat="1" applyFont="1" applyFill="1" applyBorder="1"/>
    <xf numFmtId="184" fontId="1" fillId="47" borderId="0" xfId="2" applyNumberFormat="1" applyFont="1" applyFill="1" applyBorder="1"/>
    <xf numFmtId="2" fontId="2" fillId="47" borderId="18" xfId="2" applyNumberFormat="1" applyFont="1" applyFill="1" applyBorder="1"/>
    <xf numFmtId="9" fontId="64" fillId="47" borderId="0" xfId="2" applyNumberFormat="1" applyFont="1" applyFill="1" applyBorder="1"/>
    <xf numFmtId="0" fontId="64" fillId="47" borderId="18" xfId="0" applyFont="1" applyFill="1" applyBorder="1"/>
    <xf numFmtId="10" fontId="64" fillId="47" borderId="18" xfId="2" applyNumberFormat="1" applyFont="1" applyFill="1" applyBorder="1"/>
    <xf numFmtId="184" fontId="1" fillId="2" borderId="0" xfId="0" applyNumberFormat="1" applyFont="1" applyFill="1" applyBorder="1"/>
    <xf numFmtId="0" fontId="2" fillId="2" borderId="0" xfId="0" applyNumberFormat="1" applyFont="1" applyFill="1" applyBorder="1" applyAlignment="1">
      <alignment horizontal="right" vertical="center"/>
    </xf>
    <xf numFmtId="2" fontId="1" fillId="2" borderId="0" xfId="0" applyNumberFormat="1" applyFont="1" applyFill="1" applyBorder="1" applyAlignment="1">
      <alignment horizontal="right"/>
    </xf>
    <xf numFmtId="10" fontId="2" fillId="47" borderId="18" xfId="2" applyNumberFormat="1" applyFont="1" applyFill="1" applyBorder="1" applyAlignment="1">
      <alignment horizontal="right"/>
    </xf>
    <xf numFmtId="164" fontId="2" fillId="49" borderId="0" xfId="0" applyNumberFormat="1" applyFont="1" applyFill="1"/>
    <xf numFmtId="180" fontId="2" fillId="47" borderId="0" xfId="2" applyNumberFormat="1" applyFont="1" applyFill="1" applyBorder="1" applyAlignment="1">
      <alignment horizontal="right"/>
    </xf>
    <xf numFmtId="180" fontId="8" fillId="46" borderId="18" xfId="0" applyNumberFormat="1" applyFont="1" applyFill="1" applyBorder="1"/>
    <xf numFmtId="180" fontId="40" fillId="47" borderId="0" xfId="0" applyNumberFormat="1" applyFont="1" applyFill="1" applyBorder="1" applyAlignment="1"/>
    <xf numFmtId="9" fontId="1" fillId="2" borderId="0" xfId="0" applyNumberFormat="1" applyFont="1" applyFill="1" applyBorder="1"/>
    <xf numFmtId="2" fontId="2" fillId="49" borderId="0" xfId="0" applyNumberFormat="1" applyFont="1" applyFill="1" applyBorder="1" applyAlignment="1">
      <alignment horizontal="right"/>
    </xf>
    <xf numFmtId="2" fontId="2" fillId="47" borderId="0" xfId="0" applyNumberFormat="1" applyFont="1" applyFill="1" applyBorder="1" applyAlignment="1">
      <alignment horizontal="right" vertical="center"/>
    </xf>
    <xf numFmtId="9" fontId="60" fillId="2" borderId="0" xfId="2" applyFont="1" applyFill="1" applyBorder="1"/>
    <xf numFmtId="180" fontId="2" fillId="47" borderId="0" xfId="0" applyNumberFormat="1" applyFont="1" applyFill="1"/>
    <xf numFmtId="0" fontId="2" fillId="49" borderId="0" xfId="0" applyNumberFormat="1" applyFont="1" applyFill="1"/>
    <xf numFmtId="0" fontId="40" fillId="49" borderId="0" xfId="2" applyNumberFormat="1" applyFont="1" applyFill="1" applyBorder="1" applyAlignment="1">
      <alignment horizontal="right"/>
    </xf>
    <xf numFmtId="0" fontId="40" fillId="49" borderId="0" xfId="0" applyNumberFormat="1" applyFont="1" applyFill="1" applyBorder="1" applyAlignment="1">
      <alignment horizontal="right"/>
    </xf>
    <xf numFmtId="0" fontId="40" fillId="49" borderId="0" xfId="2" applyNumberFormat="1" applyFont="1" applyFill="1" applyBorder="1"/>
    <xf numFmtId="0" fontId="40" fillId="49" borderId="0" xfId="0" applyNumberFormat="1" applyFont="1" applyFill="1" applyBorder="1"/>
    <xf numFmtId="164" fontId="1" fillId="2" borderId="0" xfId="0" applyNumberFormat="1" applyFont="1" applyFill="1" applyBorder="1" applyAlignment="1">
      <alignment horizontal="left"/>
    </xf>
    <xf numFmtId="2" fontId="64" fillId="47" borderId="0" xfId="0" applyNumberFormat="1" applyFont="1" applyFill="1" applyBorder="1"/>
    <xf numFmtId="0" fontId="40" fillId="47" borderId="0" xfId="0" applyFont="1" applyFill="1" applyBorder="1" applyAlignment="1"/>
    <xf numFmtId="0" fontId="40" fillId="47" borderId="2" xfId="0" applyFont="1" applyFill="1" applyBorder="1" applyAlignment="1"/>
    <xf numFmtId="0" fontId="2" fillId="49" borderId="0" xfId="0" applyFont="1" applyFill="1" applyBorder="1"/>
    <xf numFmtId="0" fontId="2" fillId="49" borderId="0" xfId="0" applyFont="1" applyFill="1" applyBorder="1" applyAlignment="1">
      <alignment horizontal="right"/>
    </xf>
    <xf numFmtId="0" fontId="2" fillId="49" borderId="0" xfId="0" applyFont="1" applyFill="1" applyBorder="1" applyAlignment="1"/>
    <xf numFmtId="164" fontId="1" fillId="2" borderId="0" xfId="0" applyNumberFormat="1" applyFont="1" applyFill="1" applyAlignment="1">
      <alignment horizontal="right"/>
    </xf>
    <xf numFmtId="164" fontId="60" fillId="47" borderId="0" xfId="0" applyNumberFormat="1" applyFont="1" applyFill="1" applyBorder="1"/>
    <xf numFmtId="164" fontId="40" fillId="47" borderId="17" xfId="0" applyNumberFormat="1" applyFont="1" applyFill="1" applyBorder="1"/>
    <xf numFmtId="180" fontId="40" fillId="47" borderId="17" xfId="0" applyNumberFormat="1" applyFont="1" applyFill="1" applyBorder="1"/>
    <xf numFmtId="49" fontId="60" fillId="47" borderId="0" xfId="0" quotePrefix="1" applyNumberFormat="1" applyFont="1" applyFill="1" applyBorder="1"/>
    <xf numFmtId="49" fontId="60" fillId="47" borderId="0" xfId="0" applyNumberFormat="1" applyFont="1" applyFill="1" applyBorder="1"/>
    <xf numFmtId="180" fontId="40" fillId="47" borderId="0" xfId="0" applyNumberFormat="1" applyFont="1" applyFill="1"/>
    <xf numFmtId="180" fontId="2" fillId="47" borderId="19" xfId="0" applyNumberFormat="1" applyFont="1" applyFill="1" applyBorder="1" applyAlignment="1">
      <alignment horizontal="left" vertical="center"/>
    </xf>
    <xf numFmtId="43" fontId="1" fillId="2" borderId="0" xfId="0" applyNumberFormat="1" applyFont="1" applyFill="1" applyBorder="1"/>
    <xf numFmtId="0" fontId="2" fillId="48" borderId="0" xfId="0" applyFont="1" applyFill="1" applyBorder="1"/>
    <xf numFmtId="10" fontId="2" fillId="48" borderId="0" xfId="2" applyNumberFormat="1" applyFont="1" applyFill="1" applyBorder="1" applyAlignment="1">
      <alignment horizontal="right"/>
    </xf>
    <xf numFmtId="9" fontId="64" fillId="48" borderId="0" xfId="0" applyNumberFormat="1" applyFont="1" applyFill="1" applyBorder="1"/>
    <xf numFmtId="0" fontId="1" fillId="48" borderId="0" xfId="0" applyFont="1" applyFill="1" applyBorder="1" applyAlignment="1">
      <alignment horizontal="right"/>
    </xf>
    <xf numFmtId="180" fontId="40" fillId="48" borderId="0" xfId="0" applyNumberFormat="1" applyFont="1" applyFill="1" applyBorder="1" applyAlignment="1"/>
    <xf numFmtId="0" fontId="1" fillId="48" borderId="0" xfId="0" applyFont="1" applyFill="1" applyBorder="1"/>
    <xf numFmtId="180" fontId="40" fillId="47" borderId="18" xfId="0" applyNumberFormat="1" applyFont="1" applyFill="1" applyBorder="1" applyAlignment="1"/>
    <xf numFmtId="2" fontId="64" fillId="3" borderId="0" xfId="2" applyNumberFormat="1" applyFont="1" applyFill="1" applyBorder="1" applyAlignment="1">
      <alignment horizontal="center"/>
    </xf>
    <xf numFmtId="164" fontId="8" fillId="46" borderId="0" xfId="0" applyNumberFormat="1" applyFont="1" applyFill="1" applyBorder="1" applyAlignment="1">
      <alignment horizontal="center"/>
    </xf>
    <xf numFmtId="164" fontId="8" fillId="46" borderId="0" xfId="0" applyNumberFormat="1" applyFont="1" applyFill="1" applyAlignment="1">
      <alignment horizontal="center"/>
    </xf>
    <xf numFmtId="164" fontId="64" fillId="2" borderId="0" xfId="0" applyNumberFormat="1" applyFont="1" applyFill="1" applyAlignment="1">
      <alignment horizontal="right"/>
    </xf>
    <xf numFmtId="0" fontId="8" fillId="46" borderId="0" xfId="0" applyFont="1" applyFill="1" applyBorder="1" applyAlignment="1">
      <alignment horizontal="center" vertical="center"/>
    </xf>
    <xf numFmtId="0" fontId="8" fillId="46" borderId="0" xfId="0" applyFont="1" applyFill="1" applyBorder="1" applyAlignment="1">
      <alignment horizontal="center"/>
    </xf>
    <xf numFmtId="0" fontId="65" fillId="2" borderId="0" xfId="0" applyFont="1" applyFill="1" applyBorder="1" applyAlignment="1">
      <alignment horizontal="right"/>
    </xf>
  </cellXfs>
  <cellStyles count="169">
    <cellStyle name="%" xfId="135"/>
    <cellStyle name="_x0002_._x0011__x0002_._x001b__x0002_ _x0015_%_x0018__x0001_" xfId="4"/>
    <cellStyle name="_060510 Goal Setting CNV" xfId="5"/>
    <cellStyle name="_2008-08-18 WC SRL" xfId="6"/>
    <cellStyle name="_2008-10-06 Goodwill Test KPMG incl PL 19 (2)" xfId="7"/>
    <cellStyle name="_2008-10-06 Goodwill Test KPMG incl PL 19 (3)" xfId="8"/>
    <cellStyle name="_2009-03-17 Version für 53-19" xfId="9"/>
    <cellStyle name="_Access Bluebook 2007 DCL V7" xfId="10"/>
    <cellStyle name="_AL_cost_outlook_070405_Bluebook2007" xfId="11"/>
    <cellStyle name="_BB_08_BG_COM" xfId="12"/>
    <cellStyle name="_Bluebook-2005-PL-Projections-COM-SR2" xfId="13"/>
    <cellStyle name="_COM Cash Flow Bluebook 2008" xfId="14"/>
    <cellStyle name="_Cordless_Bizcase_070524" xfId="15"/>
    <cellStyle name="_Cordless_Bizcase_Bluebook (2)" xfId="16"/>
    <cellStyle name="_Cordless_Bizcase_Master" xfId="17"/>
    <cellStyle name="_Data" xfId="18"/>
    <cellStyle name="_Foundry Wafer Price Database - BU" xfId="19"/>
    <cellStyle name="_Segment_DCL_FRFC_2007_03" xfId="20"/>
    <cellStyle name="_SR_CSP_Segments" xfId="21"/>
    <cellStyle name="_Wireless_MPP_FRFC0810_V3" xfId="22"/>
    <cellStyle name="_WLS_MPP_BB2008_vs_VRFC0904_bw (2)" xfId="23"/>
    <cellStyle name="0,0_x000d__x000a_NA_x000d__x000a_" xfId="24"/>
    <cellStyle name="20% - Accent1 2" xfId="25"/>
    <cellStyle name="20% - Accent2 2" xfId="26"/>
    <cellStyle name="20% - Accent3 2" xfId="27"/>
    <cellStyle name="20% - Accent4 2" xfId="28"/>
    <cellStyle name="20% - Accent5 2" xfId="29"/>
    <cellStyle name="20% - Accent6 2" xfId="30"/>
    <cellStyle name="40% - Accent1 2" xfId="31"/>
    <cellStyle name="40% - Accent2 2" xfId="32"/>
    <cellStyle name="40% - Accent3 2" xfId="33"/>
    <cellStyle name="40% - Accent4 2" xfId="34"/>
    <cellStyle name="40% - Accent5 2" xfId="35"/>
    <cellStyle name="40% - Accent6 2" xfId="36"/>
    <cellStyle name="60% - Accent1 2" xfId="37"/>
    <cellStyle name="60% - Accent2 2" xfId="38"/>
    <cellStyle name="60% - Accent3 2" xfId="39"/>
    <cellStyle name="60% - Accent4 2" xfId="40"/>
    <cellStyle name="60% - Accent5 2" xfId="41"/>
    <cellStyle name="60% - Accent6 2" xfId="42"/>
    <cellStyle name="Accent1 2" xfId="43"/>
    <cellStyle name="Accent2 2" xfId="44"/>
    <cellStyle name="Accent3 2" xfId="45"/>
    <cellStyle name="Accent4 2" xfId="46"/>
    <cellStyle name="Accent5 2" xfId="47"/>
    <cellStyle name="Accent6 2" xfId="48"/>
    <cellStyle name="AFE" xfId="49"/>
    <cellStyle name="AFE 2" xfId="132"/>
    <cellStyle name="Bad 2" xfId="50"/>
    <cellStyle name="Calculation 2" xfId="51"/>
    <cellStyle name="Check Cell 2" xfId="52"/>
    <cellStyle name="Comma 2" xfId="154"/>
    <cellStyle name="Comma 3" xfId="168"/>
    <cellStyle name="Currency 2" xfId="166"/>
    <cellStyle name="Detail" xfId="53"/>
    <cellStyle name="Euro" xfId="54"/>
    <cellStyle name="Explanatory Text 2" xfId="55"/>
    <cellStyle name="EY Narrative text" xfId="148"/>
    <cellStyle name="EY0dp" xfId="146"/>
    <cellStyle name="EY1dp" xfId="147"/>
    <cellStyle name="EYChartTitle" xfId="141"/>
    <cellStyle name="EYColumnHeading" xfId="144"/>
    <cellStyle name="EYCurrency" xfId="143"/>
    <cellStyle name="EYnumber" xfId="142"/>
    <cellStyle name="EYSectionHeading" xfId="138"/>
    <cellStyle name="EYSheetHeading" xfId="140"/>
    <cellStyle name="EYsmallheading" xfId="139"/>
    <cellStyle name="EYSource" xfId="149"/>
    <cellStyle name="EYtext" xfId="145"/>
    <cellStyle name="Good 2" xfId="56"/>
    <cellStyle name="Grey" xfId="57"/>
    <cellStyle name="Heading 1 2" xfId="58"/>
    <cellStyle name="Heading 2 2" xfId="59"/>
    <cellStyle name="Heading 3 2" xfId="60"/>
    <cellStyle name="Heading 4 2" xfId="61"/>
    <cellStyle name="Hyperlink" xfId="165" builtinId="8"/>
    <cellStyle name="Input [yellow]" xfId="63"/>
    <cellStyle name="Input 2" xfId="62"/>
    <cellStyle name="Linked Cell 2" xfId="64"/>
    <cellStyle name="meny_33-34" xfId="65"/>
    <cellStyle name="Milliers [0]_foxz" xfId="66"/>
    <cellStyle name="Milliers_foxz" xfId="67"/>
    <cellStyle name="Monétaire [0]_foxz" xfId="68"/>
    <cellStyle name="Monétaire_foxz" xfId="69"/>
    <cellStyle name="Neutral 2" xfId="70"/>
    <cellStyle name="Normal" xfId="0" builtinId="0"/>
    <cellStyle name="Normal - Style1" xfId="71"/>
    <cellStyle name="Normal 2" xfId="150"/>
    <cellStyle name="Normal 2 2" xfId="152"/>
    <cellStyle name="Normal 3" xfId="151"/>
    <cellStyle name="Normal 4" xfId="153"/>
    <cellStyle name="Normal 5" xfId="3"/>
    <cellStyle name="Normal 6" xfId="167"/>
    <cellStyle name="Normal_Project Accel Valuation v56" xfId="133"/>
    <cellStyle name="normální_33-34" xfId="72"/>
    <cellStyle name="Note 2" xfId="73"/>
    <cellStyle name="Œ…‹æØ‚è [0.00]_laroux" xfId="74"/>
    <cellStyle name="Œ…‹æØ‚è_laroux" xfId="75"/>
    <cellStyle name="Output 2" xfId="76"/>
    <cellStyle name="Percent" xfId="2" builtinId="5"/>
    <cellStyle name="Percent [2]" xfId="78"/>
    <cellStyle name="Percent 2" xfId="155"/>
    <cellStyle name="Percent 3" xfId="77"/>
    <cellStyle name="Percent 5" xfId="79"/>
    <cellStyle name="Prozent 2" xfId="134"/>
    <cellStyle name="PSChar" xfId="80"/>
    <cellStyle name="PSDate" xfId="81"/>
    <cellStyle name="PSDec" xfId="82"/>
    <cellStyle name="PSHeading" xfId="83"/>
    <cellStyle name="PSInt" xfId="84"/>
    <cellStyle name="PSSpacer" xfId="85"/>
    <cellStyle name="Revenue" xfId="86"/>
    <cellStyle name="SAPBEXaggData" xfId="87"/>
    <cellStyle name="SAPBEXaggDataEmph" xfId="88"/>
    <cellStyle name="SAPBEXaggItem" xfId="89"/>
    <cellStyle name="SAPBEXaggItemX" xfId="90"/>
    <cellStyle name="SAPBEXchaText" xfId="91"/>
    <cellStyle name="SAPBEXexcBad7" xfId="92"/>
    <cellStyle name="SAPBEXexcBad8" xfId="93"/>
    <cellStyle name="SAPBEXexcBad9" xfId="94"/>
    <cellStyle name="SAPBEXexcCritical4" xfId="95"/>
    <cellStyle name="SAPBEXexcCritical5" xfId="96"/>
    <cellStyle name="SAPBEXexcCritical6" xfId="97"/>
    <cellStyle name="SAPBEXexcGood1" xfId="98"/>
    <cellStyle name="SAPBEXexcGood2" xfId="99"/>
    <cellStyle name="SAPBEXexcGood3" xfId="100"/>
    <cellStyle name="SAPBEXfilterDrill" xfId="101"/>
    <cellStyle name="SAPBEXfilterItem" xfId="102"/>
    <cellStyle name="SAPBEXfilterText" xfId="103"/>
    <cellStyle name="SAPBEXformats" xfId="104"/>
    <cellStyle name="SAPBEXheaderItem" xfId="105"/>
    <cellStyle name="SAPBEXheaderText" xfId="106"/>
    <cellStyle name="SAPBEXHLevel0" xfId="107"/>
    <cellStyle name="SAPBEXHLevel0X" xfId="108"/>
    <cellStyle name="SAPBEXHLevel1" xfId="109"/>
    <cellStyle name="SAPBEXHLevel1X" xfId="110"/>
    <cellStyle name="SAPBEXHLevel2" xfId="111"/>
    <cellStyle name="SAPBEXHLevel2X" xfId="112"/>
    <cellStyle name="SAPBEXHLevel3" xfId="113"/>
    <cellStyle name="SAPBEXHLevel3X" xfId="114"/>
    <cellStyle name="SAPBEXresData" xfId="115"/>
    <cellStyle name="SAPBEXresDataEmph" xfId="116"/>
    <cellStyle name="SAPBEXresItem" xfId="117"/>
    <cellStyle name="SAPBEXresItemX" xfId="118"/>
    <cellStyle name="SAPBEXstdData" xfId="119"/>
    <cellStyle name="SAPBEXstdDataEmph" xfId="120"/>
    <cellStyle name="SAPBEXstdItem" xfId="121"/>
    <cellStyle name="SAPBEXstdItemX" xfId="122"/>
    <cellStyle name="SAPBEXtitle" xfId="123"/>
    <cellStyle name="SAPBEXundefined" xfId="124"/>
    <cellStyle name="Smart Subtitle 1" xfId="1"/>
    <cellStyle name="Standard 2" xfId="131"/>
    <cellStyle name="Standard 3" xfId="136"/>
    <cellStyle name="Standard 4" xfId="156"/>
    <cellStyle name="Stil 1" xfId="130"/>
    <cellStyle name="Style 1" xfId="125"/>
    <cellStyle name="Tahoma:10:1" xfId="160"/>
    <cellStyle name="Tahoma:10:129" xfId="161"/>
    <cellStyle name="Tahoma:12:1" xfId="157"/>
    <cellStyle name="Tahoma:12:129" xfId="162"/>
    <cellStyle name="Tahoma:8:0" xfId="158"/>
    <cellStyle name="Tahoma:8:1" xfId="159"/>
    <cellStyle name="Tahoma:8:128" xfId="163"/>
    <cellStyle name="Tahoma:8:129" xfId="164"/>
    <cellStyle name="Title 2" xfId="126"/>
    <cellStyle name="Total 2" xfId="127"/>
    <cellStyle name="Total Row" xfId="128"/>
    <cellStyle name="TTS" xfId="137"/>
    <cellStyle name="Warning Text 2" xfId="129"/>
  </cellStyles>
  <dxfs count="0"/>
  <tableStyles count="0" defaultTableStyle="TableStyleMedium2" defaultPivotStyle="PivotStyleMedium9"/>
  <colors>
    <mruColors>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 Type="http://schemas.openxmlformats.org/officeDocument/2006/relationships/image" Target="../media/image12.png"/></Relationships>
</file>

<file path=xl/drawings/_rels/drawing7.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6.png"/></Relationships>
</file>

<file path=xl/drawings/_rels/drawing9.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8.png"/></Relationships>
</file>

<file path=xl/drawings/_rels/drawing11.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png"/><Relationship Id="rId6" Type="http://schemas.openxmlformats.org/officeDocument/2006/relationships/image" Target="../media/image24.png"/><Relationship Id="rId5" Type="http://schemas.openxmlformats.org/officeDocument/2006/relationships/image" Target="../media/image23.png"/><Relationship Id="rId4"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png"/><Relationship Id="rId6" Type="http://schemas.openxmlformats.org/officeDocument/2006/relationships/image" Target="../media/image24.png"/><Relationship Id="rId5" Type="http://schemas.openxmlformats.org/officeDocument/2006/relationships/image" Target="../media/image23.png"/><Relationship Id="rId4" Type="http://schemas.openxmlformats.org/officeDocument/2006/relationships/image" Target="../media/image22.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png"/><Relationship Id="rId6" Type="http://schemas.openxmlformats.org/officeDocument/2006/relationships/image" Target="../media/image24.png"/><Relationship Id="rId5" Type="http://schemas.openxmlformats.org/officeDocument/2006/relationships/image" Target="../media/image23.png"/><Relationship Id="rId4"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2</xdr:row>
      <xdr:rowOff>57149</xdr:rowOff>
    </xdr:from>
    <xdr:to>
      <xdr:col>10</xdr:col>
      <xdr:colOff>238125</xdr:colOff>
      <xdr:row>22</xdr:row>
      <xdr:rowOff>9525</xdr:rowOff>
    </xdr:to>
    <xdr:pic>
      <xdr:nvPicPr>
        <xdr:cNvPr id="4" name="Picture 3" descr="TRENT Stock Price and Chart — NSE:TRENT — TradingView — India"/>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0666" b="22334"/>
        <a:stretch/>
      </xdr:blipFill>
      <xdr:spPr bwMode="auto">
        <a:xfrm>
          <a:off x="295275" y="857249"/>
          <a:ext cx="5715000" cy="32575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28576</xdr:colOff>
      <xdr:row>5</xdr:row>
      <xdr:rowOff>0</xdr:rowOff>
    </xdr:from>
    <xdr:to>
      <xdr:col>6</xdr:col>
      <xdr:colOff>533400</xdr:colOff>
      <xdr:row>10</xdr:row>
      <xdr:rowOff>47625</xdr:rowOff>
    </xdr:to>
    <xdr:sp macro="" textlink="">
      <xdr:nvSpPr>
        <xdr:cNvPr id="2" name="TextBox 1"/>
        <xdr:cNvSpPr txBox="1"/>
      </xdr:nvSpPr>
      <xdr:spPr>
        <a:xfrm>
          <a:off x="161926" y="809625"/>
          <a:ext cx="4905374" cy="80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About Trent Ltd:</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Retailing of apparels, footwear, accessories, toys, games, food, grocery &amp; non food products through various of its retail formats/ concepts.</a:t>
          </a:r>
        </a:p>
      </xdr:txBody>
    </xdr:sp>
    <xdr:clientData/>
  </xdr:twoCellAnchor>
  <xdr:twoCellAnchor>
    <xdr:from>
      <xdr:col>1</xdr:col>
      <xdr:colOff>28574</xdr:colOff>
      <xdr:row>11</xdr:row>
      <xdr:rowOff>19049</xdr:rowOff>
    </xdr:from>
    <xdr:to>
      <xdr:col>6</xdr:col>
      <xdr:colOff>523874</xdr:colOff>
      <xdr:row>28</xdr:row>
      <xdr:rowOff>76200</xdr:rowOff>
    </xdr:to>
    <xdr:sp macro="" textlink="">
      <xdr:nvSpPr>
        <xdr:cNvPr id="6" name="TextBox 5"/>
        <xdr:cNvSpPr txBox="1"/>
      </xdr:nvSpPr>
      <xdr:spPr>
        <a:xfrm>
          <a:off x="161924" y="1743074"/>
          <a:ext cx="4962525" cy="26479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Retail Stores</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Westside (174 stores) - It offers branded fashion apparel, footwear and accessories for women, men and children, along with a wide range of home furnishings &amp; decor.</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Zudio (133 stores) - It is the company's value fashion concept and offers fashion at competitive prices for women, men and children.</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Star Market (60 stores) - It is a hypermarket and supermarket store chain and offers various products including staples, beverages, health &amp; beauty products,</a:t>
          </a:r>
          <a:r>
            <a:rPr lang="en-US" sz="900" baseline="0">
              <a:latin typeface="Arial" panose="020B0604020202020204" pitchFamily="34" charset="0"/>
              <a:cs typeface="Arial" panose="020B0604020202020204" pitchFamily="34" charset="0"/>
            </a:rPr>
            <a:t> </a:t>
          </a:r>
          <a:r>
            <a:rPr lang="en-US" sz="900">
              <a:latin typeface="Arial" panose="020B0604020202020204" pitchFamily="34" charset="0"/>
              <a:cs typeface="Arial" panose="020B0604020202020204" pitchFamily="34" charset="0"/>
            </a:rPr>
            <a:t>vegetables, fruits, dairy and non-vegetarian products,</a:t>
          </a:r>
          <a:r>
            <a:rPr lang="en-US" sz="900" baseline="0">
              <a:latin typeface="Arial" panose="020B0604020202020204" pitchFamily="34" charset="0"/>
              <a:cs typeface="Arial" panose="020B0604020202020204" pitchFamily="34" charset="0"/>
            </a:rPr>
            <a:t> </a:t>
          </a:r>
          <a:r>
            <a:rPr lang="en-US" sz="900">
              <a:latin typeface="Arial" panose="020B0604020202020204" pitchFamily="34" charset="0"/>
              <a:cs typeface="Arial" panose="020B0604020202020204" pitchFamily="34" charset="0"/>
            </a:rPr>
            <a:t>cleaning-aids, home care products, packaged foods, beverages and personal care products.</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Zara &amp; Massima Dutti (24 stores) - The company has 2 separate associations with Inditex Group wherein it holds 49% stake. One entity is engaged in operating 21 stores of Zara and other entity is engaged in operating 3 stores of Massimo Dutti in India.</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Other Concepts (19 stores) - The other concepts of the co. with a smaller footprint includes Booker Wholesale, Value Mandi, Landmark and Utsa.</a:t>
          </a:r>
        </a:p>
      </xdr:txBody>
    </xdr:sp>
    <xdr:clientData/>
  </xdr:twoCellAnchor>
  <xdr:twoCellAnchor editAs="oneCell">
    <xdr:from>
      <xdr:col>6</xdr:col>
      <xdr:colOff>695325</xdr:colOff>
      <xdr:row>0</xdr:row>
      <xdr:rowOff>25797</xdr:rowOff>
    </xdr:from>
    <xdr:to>
      <xdr:col>11</xdr:col>
      <xdr:colOff>160700</xdr:colOff>
      <xdr:row>11</xdr:row>
      <xdr:rowOff>38101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29225" y="25797"/>
          <a:ext cx="3132500" cy="1736329"/>
        </a:xfrm>
        <a:prstGeom prst="rect">
          <a:avLst/>
        </a:prstGeom>
      </xdr:spPr>
    </xdr:pic>
    <xdr:clientData/>
  </xdr:twoCellAnchor>
  <xdr:twoCellAnchor editAs="oneCell">
    <xdr:from>
      <xdr:col>10</xdr:col>
      <xdr:colOff>571501</xdr:colOff>
      <xdr:row>11</xdr:row>
      <xdr:rowOff>8356</xdr:rowOff>
    </xdr:from>
    <xdr:to>
      <xdr:col>17</xdr:col>
      <xdr:colOff>112744</xdr:colOff>
      <xdr:row>30</xdr:row>
      <xdr:rowOff>66675</xdr:rowOff>
    </xdr:to>
    <xdr:pic>
      <xdr:nvPicPr>
        <xdr:cNvPr id="4" name="Picture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105776" y="1732381"/>
          <a:ext cx="4237068" cy="2953919"/>
        </a:xfrm>
        <a:prstGeom prst="rect">
          <a:avLst/>
        </a:prstGeom>
      </xdr:spPr>
    </xdr:pic>
    <xdr:clientData/>
  </xdr:twoCellAnchor>
  <xdr:twoCellAnchor editAs="oneCell">
    <xdr:from>
      <xdr:col>7</xdr:col>
      <xdr:colOff>14250</xdr:colOff>
      <xdr:row>20</xdr:row>
      <xdr:rowOff>9526</xdr:rowOff>
    </xdr:from>
    <xdr:to>
      <xdr:col>10</xdr:col>
      <xdr:colOff>406643</xdr:colOff>
      <xdr:row>30</xdr:row>
      <xdr:rowOff>114300</xdr:rowOff>
    </xdr:to>
    <xdr:pic>
      <xdr:nvPicPr>
        <xdr:cNvPr id="5" name="Picture 4"/>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310150" y="3105151"/>
          <a:ext cx="2630768" cy="1628774"/>
        </a:xfrm>
        <a:prstGeom prst="rect">
          <a:avLst/>
        </a:prstGeom>
      </xdr:spPr>
    </xdr:pic>
    <xdr:clientData/>
  </xdr:twoCellAnchor>
  <xdr:twoCellAnchor editAs="oneCell">
    <xdr:from>
      <xdr:col>11</xdr:col>
      <xdr:colOff>383324</xdr:colOff>
      <xdr:row>0</xdr:row>
      <xdr:rowOff>38100</xdr:rowOff>
    </xdr:from>
    <xdr:to>
      <xdr:col>15</xdr:col>
      <xdr:colOff>561974</xdr:colOff>
      <xdr:row>11</xdr:row>
      <xdr:rowOff>68758</xdr:rowOff>
    </xdr:to>
    <xdr:pic>
      <xdr:nvPicPr>
        <xdr:cNvPr id="7" name="Picture 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584349" y="38100"/>
          <a:ext cx="2988525" cy="1754683"/>
        </a:xfrm>
        <a:prstGeom prst="rect">
          <a:avLst/>
        </a:prstGeom>
      </xdr:spPr>
    </xdr:pic>
    <xdr:clientData/>
  </xdr:twoCellAnchor>
  <xdr:twoCellAnchor editAs="oneCell">
    <xdr:from>
      <xdr:col>7</xdr:col>
      <xdr:colOff>9450</xdr:colOff>
      <xdr:row>11</xdr:row>
      <xdr:rowOff>9451</xdr:rowOff>
    </xdr:from>
    <xdr:to>
      <xdr:col>10</xdr:col>
      <xdr:colOff>457200</xdr:colOff>
      <xdr:row>19</xdr:row>
      <xdr:rowOff>112545</xdr:rowOff>
    </xdr:to>
    <xdr:pic>
      <xdr:nvPicPr>
        <xdr:cNvPr id="8" name="Picture 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305350" y="1733476"/>
          <a:ext cx="2686125" cy="132229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17</xdr:col>
      <xdr:colOff>9525</xdr:colOff>
      <xdr:row>29</xdr:row>
      <xdr:rowOff>104775</xdr:rowOff>
    </xdr:to>
    <xdr:sp macro="" textlink="">
      <xdr:nvSpPr>
        <xdr:cNvPr id="9" name="TextBox 8"/>
        <xdr:cNvSpPr txBox="1"/>
      </xdr:nvSpPr>
      <xdr:spPr>
        <a:xfrm>
          <a:off x="133350" y="352425"/>
          <a:ext cx="12106275" cy="4219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Trent Ltd Products: </a:t>
          </a:r>
          <a:r>
            <a:rPr lang="en-US" sz="900" b="0">
              <a:latin typeface="Arial" panose="020B0604020202020204" pitchFamily="34" charset="0"/>
              <a:cs typeface="Arial" panose="020B0604020202020204" pitchFamily="34" charset="0"/>
            </a:rPr>
            <a:t>Major</a:t>
          </a:r>
          <a:r>
            <a:rPr lang="en-US" sz="900" b="1">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Products include lifestyle retail stores like WestSide </a:t>
          </a:r>
          <a:r>
            <a:rPr lang="en-US" sz="900" b="0" baseline="0">
              <a:latin typeface="Arial" panose="020B0604020202020204" pitchFamily="34" charset="0"/>
              <a:cs typeface="Arial" panose="020B0604020202020204" pitchFamily="34" charset="0"/>
            </a:rPr>
            <a:t>(flagship product), Zudio, Zara (which creates 34.91% of Trent's total value), Massimo Dutti and food/grocery retail business like Star Market and Booker India Ltd.</a:t>
          </a:r>
          <a:endParaRPr lang="en-US" sz="900" b="0">
            <a:solidFill>
              <a:schemeClr val="dk1"/>
            </a:solidFill>
            <a:effectLst/>
            <a:latin typeface="Arial" panose="020B0604020202020204" pitchFamily="34" charset="0"/>
            <a:ea typeface="+mn-ea"/>
            <a:cs typeface="Arial" panose="020B0604020202020204" pitchFamily="34" charset="0"/>
          </a:endParaRPr>
        </a:p>
        <a:p>
          <a:endParaRPr lang="en-US" sz="900">
            <a:solidFill>
              <a:schemeClr val="dk1"/>
            </a:solidFill>
            <a:effectLst/>
            <a:latin typeface="Arial" panose="020B0604020202020204" pitchFamily="34" charset="0"/>
            <a:ea typeface="+mn-ea"/>
            <a:cs typeface="Arial" panose="020B0604020202020204" pitchFamily="34" charset="0"/>
          </a:endParaRPr>
        </a:p>
        <a:p>
          <a:r>
            <a:rPr lang="en-US" sz="900" b="1">
              <a:solidFill>
                <a:schemeClr val="dk1"/>
              </a:solidFill>
              <a:effectLst/>
              <a:latin typeface="Arial" panose="020B0604020202020204" pitchFamily="34" charset="0"/>
              <a:ea typeface="+mn-ea"/>
              <a:cs typeface="Arial" panose="020B0604020202020204" pitchFamily="34" charset="0"/>
            </a:rPr>
            <a:t>Market</a:t>
          </a:r>
          <a:r>
            <a:rPr lang="en-US" sz="900" b="1" baseline="0">
              <a:solidFill>
                <a:schemeClr val="dk1"/>
              </a:solidFill>
              <a:effectLst/>
              <a:latin typeface="Arial" panose="020B0604020202020204" pitchFamily="34" charset="0"/>
              <a:ea typeface="+mn-ea"/>
              <a:cs typeface="Arial" panose="020B0604020202020204" pitchFamily="34" charset="0"/>
            </a:rPr>
            <a:t> that Trent Ltd can grow in</a:t>
          </a:r>
          <a:r>
            <a:rPr lang="en-US" sz="900" b="1">
              <a:solidFill>
                <a:schemeClr val="dk1"/>
              </a:solidFill>
              <a:effectLst/>
              <a:latin typeface="Arial" panose="020B0604020202020204" pitchFamily="34" charset="0"/>
              <a:ea typeface="+mn-ea"/>
              <a:cs typeface="Arial" panose="020B0604020202020204" pitchFamily="34" charset="0"/>
            </a:rPr>
            <a:t>: </a:t>
          </a:r>
          <a:r>
            <a:rPr lang="en-US" sz="900" b="0">
              <a:solidFill>
                <a:schemeClr val="dk1"/>
              </a:solidFill>
              <a:effectLst/>
              <a:latin typeface="Arial" panose="020B0604020202020204" pitchFamily="34" charset="0"/>
              <a:ea typeface="+mn-ea"/>
              <a:cs typeface="Arial" panose="020B0604020202020204" pitchFamily="34" charset="0"/>
            </a:rPr>
            <a:t>Trent Ltd already</a:t>
          </a:r>
          <a:r>
            <a:rPr lang="en-US" sz="900" b="0" baseline="0">
              <a:solidFill>
                <a:schemeClr val="dk1"/>
              </a:solidFill>
              <a:effectLst/>
              <a:latin typeface="Arial" panose="020B0604020202020204" pitchFamily="34" charset="0"/>
              <a:ea typeface="+mn-ea"/>
              <a:cs typeface="Arial" panose="020B0604020202020204" pitchFamily="34" charset="0"/>
            </a:rPr>
            <a:t> has a big presence in lifestyle retail industry with WestSide and Zara. They can expand their food and grocery business (Star Market) which is loss making right now.</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Competitive Advantages (Brand Name) - </a:t>
          </a:r>
          <a:r>
            <a:rPr lang="en-US" sz="900" b="0" baseline="0">
              <a:solidFill>
                <a:schemeClr val="dk1"/>
              </a:solidFill>
              <a:effectLst/>
              <a:latin typeface="Arial" panose="020B0604020202020204" pitchFamily="34" charset="0"/>
              <a:ea typeface="+mn-ea"/>
              <a:cs typeface="Arial" panose="020B0604020202020204" pitchFamily="34" charset="0"/>
            </a:rPr>
            <a:t>Trent Ltd already has a big brand association mainly from Zara and WestSide. But, I believe it's not a 'sustainable' competitve advantage especially for a lifestyle retail business which associates themselves with attractively priced lifestyle products. This would mean that there would be a potential price war between similar staged brands.</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Potential Opportunity for Trent Ltd: </a:t>
          </a:r>
          <a:r>
            <a:rPr lang="en-US" sz="900" b="0" baseline="0">
              <a:solidFill>
                <a:schemeClr val="dk1"/>
              </a:solidFill>
              <a:effectLst/>
              <a:latin typeface="Arial" panose="020B0604020202020204" pitchFamily="34" charset="0"/>
              <a:ea typeface="+mn-ea"/>
              <a:cs typeface="Arial" panose="020B0604020202020204" pitchFamily="34" charset="0"/>
            </a:rPr>
            <a:t>Trent Ltd focuses heavily on being efficient in operations. This has refected in their 'Sales per square feet' which is maintained at Rs.10,500 even after expanding more retail stores across India and shrinkage (%) at 0.14%. Another big potential opportunity for Trent Ltd is WestSide Club Members which contribute to over 85% in sales. If they can create a strong networking effect in their member base, they can build a strong competitive advantage.</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Nature of Product/Service: </a:t>
          </a:r>
          <a:r>
            <a:rPr lang="en-US" sz="900" b="0" baseline="0">
              <a:solidFill>
                <a:schemeClr val="dk1"/>
              </a:solidFill>
              <a:effectLst/>
              <a:latin typeface="Arial" panose="020B0604020202020204" pitchFamily="34" charset="0"/>
              <a:ea typeface="+mn-ea"/>
              <a:cs typeface="Arial" panose="020B0604020202020204" pitchFamily="34" charset="0"/>
            </a:rPr>
            <a:t>Lifestyle Products are somewhat discretionary in nature. During recessions, the industry will hit slightly.</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The Customers:</a:t>
          </a:r>
          <a:r>
            <a:rPr lang="en-US" sz="900" b="0" baseline="0">
              <a:solidFill>
                <a:schemeClr val="dk1"/>
              </a:solidFill>
              <a:effectLst/>
              <a:latin typeface="Arial" panose="020B0604020202020204" pitchFamily="34" charset="0"/>
              <a:ea typeface="+mn-ea"/>
              <a:cs typeface="Arial" panose="020B0604020202020204" pitchFamily="34" charset="0"/>
            </a:rPr>
            <a:t> The Target Audience is Urban Middle Class Households. Lifestyle Products are tilted towards women's fashion.</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The Customers Pain Points: </a:t>
          </a:r>
          <a:r>
            <a:rPr lang="en-US" sz="900" b="0" baseline="0">
              <a:solidFill>
                <a:schemeClr val="dk1"/>
              </a:solidFill>
              <a:effectLst/>
              <a:latin typeface="Arial" panose="020B0604020202020204" pitchFamily="34" charset="0"/>
              <a:ea typeface="+mn-ea"/>
              <a:cs typeface="Arial" panose="020B0604020202020204" pitchFamily="34" charset="0"/>
            </a:rPr>
            <a:t> Women like variety in their fashion closet especially for their Instagram Feed. They want clothes which look expensive but can be bought at an attractive price i.e. On Sale.</a:t>
          </a:r>
          <a:endParaRPr lang="en-US" sz="900" b="0">
            <a:solidFill>
              <a:schemeClr val="dk1"/>
            </a:solidFill>
            <a:effectLst/>
            <a:latin typeface="Arial" panose="020B0604020202020204" pitchFamily="34" charset="0"/>
            <a:ea typeface="+mn-ea"/>
            <a:cs typeface="Arial" panose="020B0604020202020204" pitchFamily="34" charset="0"/>
          </a:endParaRPr>
        </a:p>
        <a:p>
          <a:endParaRPr lang="en-US" sz="900" b="1">
            <a:solidFill>
              <a:schemeClr val="dk1"/>
            </a:solidFill>
            <a:effectLst/>
            <a:latin typeface="Arial" panose="020B0604020202020204" pitchFamily="34" charset="0"/>
            <a:ea typeface="+mn-ea"/>
            <a:cs typeface="Arial" panose="020B0604020202020204" pitchFamily="34" charset="0"/>
          </a:endParaRPr>
        </a:p>
        <a:p>
          <a:r>
            <a:rPr lang="en-US" sz="900" b="1">
              <a:latin typeface="Arial" panose="020B0604020202020204" pitchFamily="34" charset="0"/>
              <a:cs typeface="Arial" panose="020B0604020202020204" pitchFamily="34" charset="0"/>
            </a:rPr>
            <a:t>Pricing: </a:t>
          </a:r>
          <a:r>
            <a:rPr lang="en-US" sz="900" b="0">
              <a:latin typeface="Arial" panose="020B0604020202020204" pitchFamily="34" charset="0"/>
              <a:cs typeface="Arial" panose="020B0604020202020204" pitchFamily="34" charset="0"/>
            </a:rPr>
            <a:t>An Average Bill Size from WestSide Club members is around Rs. 2,800</a:t>
          </a:r>
          <a:r>
            <a:rPr lang="en-US" sz="900" b="0" baseline="0">
              <a:latin typeface="Arial" panose="020B0604020202020204" pitchFamily="34" charset="0"/>
              <a:cs typeface="Arial" panose="020B0604020202020204" pitchFamily="34" charset="0"/>
            </a:rPr>
            <a:t>.</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Revenues to Profits: </a:t>
          </a:r>
          <a:r>
            <a:rPr lang="en-US" sz="900" b="0" baseline="0">
              <a:latin typeface="Arial" panose="020B0604020202020204" pitchFamily="34" charset="0"/>
              <a:cs typeface="Arial" panose="020B0604020202020204" pitchFamily="34" charset="0"/>
            </a:rPr>
            <a:t>Trent Ltd biggest expenditure are their employee benefit expenses (people handling the rides, sweepers, security guards etc), cost for leasing assets, advertising and marketing expense, freight charges. They make about 15.58% Operating Profit Margin.</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Competition: </a:t>
          </a:r>
          <a:r>
            <a:rPr lang="en-US" sz="900" b="0" baseline="0">
              <a:latin typeface="Arial" panose="020B0604020202020204" pitchFamily="34" charset="0"/>
              <a:cs typeface="Arial" panose="020B0604020202020204" pitchFamily="34" charset="0"/>
            </a:rPr>
            <a:t>Competition comes from Metro Brands, V-Mart, Shoppers Stop, Future Lifstyle Fashions and V2 Retail. Some purely occasion fashion brands like Manyavar on a lesser extent. </a:t>
          </a:r>
        </a:p>
        <a:p>
          <a:endParaRPr lang="en-US" sz="900" b="1"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How Much Capital Intensive?: </a:t>
          </a:r>
          <a:r>
            <a:rPr lang="en-US" sz="900" b="0" baseline="0">
              <a:latin typeface="Arial" panose="020B0604020202020204" pitchFamily="34" charset="0"/>
              <a:cs typeface="Arial" panose="020B0604020202020204" pitchFamily="34" charset="0"/>
            </a:rPr>
            <a:t>Retail Business usually requires high capital expenditure like huge Leasing and Aquisition Cost. Trent Ltd has been efficient enough in their operations and making Rs. 2.19 of Sales for every Rs.1 of Invested Capital. If they follow this trend in the future, they would need to invest about Rs. 264 cr per annum for the next 10 years to increase their Return on Capital to 14.88%. Trent Ltd has reinvested 50% of their earnings in FY22 but as the company matures, it can reduce it's reinvestment rate to about 13% while maintaining a high Return on Capital.</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Strengths and Weakness: </a:t>
          </a:r>
          <a:r>
            <a:rPr lang="en-US" sz="900" b="0" baseline="0">
              <a:latin typeface="Arial" panose="020B0604020202020204" pitchFamily="34" charset="0"/>
              <a:cs typeface="Arial" panose="020B0604020202020204" pitchFamily="34" charset="0"/>
            </a:rPr>
            <a:t>Trent Ltd has a big brand name association with Zara and WestSide. They have good operational efficiency which is a lifeline for of a retail business. One of their weakness is Interest Coverage Ratio which is 2.04 in FY22 while another weakness is their Return on Capital (8.94%) is lower than Cost of Capital (11.08%) as of FY22.</a:t>
          </a:r>
          <a:endParaRPr lang="en-US" sz="900" b="1">
            <a:latin typeface="Arial" panose="020B0604020202020204" pitchFamily="34" charset="0"/>
            <a:cs typeface="Arial" panose="020B0604020202020204" pitchFamily="34" charset="0"/>
          </a:endParaRPr>
        </a:p>
        <a:p>
          <a:endParaRPr lang="en-US" sz="900" b="1">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12</xdr:col>
      <xdr:colOff>342900</xdr:colOff>
      <xdr:row>1</xdr:row>
      <xdr:rowOff>0</xdr:rowOff>
    </xdr:from>
    <xdr:to>
      <xdr:col>18</xdr:col>
      <xdr:colOff>27398</xdr:colOff>
      <xdr:row>14</xdr:row>
      <xdr:rowOff>43891</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91575" y="200025"/>
          <a:ext cx="3342098" cy="2120341"/>
        </a:xfrm>
        <a:prstGeom prst="rect">
          <a:avLst/>
        </a:prstGeom>
      </xdr:spPr>
    </xdr:pic>
    <xdr:clientData/>
  </xdr:twoCellAnchor>
  <xdr:twoCellAnchor editAs="oneCell">
    <xdr:from>
      <xdr:col>12</xdr:col>
      <xdr:colOff>352426</xdr:colOff>
      <xdr:row>15</xdr:row>
      <xdr:rowOff>19051</xdr:rowOff>
    </xdr:from>
    <xdr:to>
      <xdr:col>18</xdr:col>
      <xdr:colOff>28576</xdr:colOff>
      <xdr:row>29</xdr:row>
      <xdr:rowOff>63396</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01101" y="2447926"/>
          <a:ext cx="3333750" cy="2177945"/>
        </a:xfrm>
        <a:prstGeom prst="rect">
          <a:avLst/>
        </a:prstGeom>
      </xdr:spPr>
    </xdr:pic>
    <xdr:clientData/>
  </xdr:twoCellAnchor>
  <xdr:twoCellAnchor editAs="oneCell">
    <xdr:from>
      <xdr:col>6</xdr:col>
      <xdr:colOff>57811</xdr:colOff>
      <xdr:row>1</xdr:row>
      <xdr:rowOff>95250</xdr:rowOff>
    </xdr:from>
    <xdr:to>
      <xdr:col>12</xdr:col>
      <xdr:colOff>545</xdr:colOff>
      <xdr:row>20</xdr:row>
      <xdr:rowOff>28575</xdr:rowOff>
    </xdr:to>
    <xdr:pic>
      <xdr:nvPicPr>
        <xdr:cNvPr id="4"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48886" y="295275"/>
          <a:ext cx="3600334" cy="29241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81141</xdr:colOff>
      <xdr:row>0</xdr:row>
      <xdr:rowOff>161925</xdr:rowOff>
    </xdr:from>
    <xdr:to>
      <xdr:col>17</xdr:col>
      <xdr:colOff>96043</xdr:colOff>
      <xdr:row>19</xdr:row>
      <xdr:rowOff>48580</xdr:rowOff>
    </xdr:to>
    <xdr:pic>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205716" y="161925"/>
          <a:ext cx="6110902" cy="2829880"/>
        </a:xfrm>
        <a:prstGeom prst="rect">
          <a:avLst/>
        </a:prstGeom>
        <a:ln>
          <a:solidFill>
            <a:srgbClr val="DDDDDD"/>
          </a:solidFill>
        </a:ln>
      </xdr:spPr>
    </xdr:pic>
    <xdr:clientData/>
  </xdr:twoCellAnchor>
  <xdr:twoCellAnchor editAs="oneCell">
    <xdr:from>
      <xdr:col>7</xdr:col>
      <xdr:colOff>83597</xdr:colOff>
      <xdr:row>20</xdr:row>
      <xdr:rowOff>32741</xdr:rowOff>
    </xdr:from>
    <xdr:to>
      <xdr:col>17</xdr:col>
      <xdr:colOff>114301</xdr:colOff>
      <xdr:row>29</xdr:row>
      <xdr:rowOff>95250</xdr:rowOff>
    </xdr:to>
    <xdr:pic>
      <xdr:nvPicPr>
        <xdr:cNvPr id="6" name="Pictur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208172" y="3147416"/>
          <a:ext cx="6126704" cy="1424584"/>
        </a:xfrm>
        <a:prstGeom prst="rect">
          <a:avLst/>
        </a:prstGeom>
        <a:ln>
          <a:solidFill>
            <a:srgbClr val="DDDDDD"/>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266700</xdr:colOff>
      <xdr:row>1</xdr:row>
      <xdr:rowOff>76200</xdr:rowOff>
    </xdr:from>
    <xdr:to>
      <xdr:col>12</xdr:col>
      <xdr:colOff>200710</xdr:colOff>
      <xdr:row>27</xdr:row>
      <xdr:rowOff>558</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29050" y="266700"/>
          <a:ext cx="4906060" cy="4001058"/>
        </a:xfrm>
        <a:prstGeom prst="rect">
          <a:avLst/>
        </a:prstGeom>
      </xdr:spPr>
    </xdr:pic>
    <xdr:clientData/>
  </xdr:twoCellAnchor>
  <xdr:twoCellAnchor>
    <xdr:from>
      <xdr:col>11</xdr:col>
      <xdr:colOff>66675</xdr:colOff>
      <xdr:row>9</xdr:row>
      <xdr:rowOff>114298</xdr:rowOff>
    </xdr:from>
    <xdr:to>
      <xdr:col>11</xdr:col>
      <xdr:colOff>533400</xdr:colOff>
      <xdr:row>12</xdr:row>
      <xdr:rowOff>38099</xdr:rowOff>
    </xdr:to>
    <xdr:sp macro="" textlink="">
      <xdr:nvSpPr>
        <xdr:cNvPr id="3" name="Rectangle 2"/>
        <xdr:cNvSpPr/>
      </xdr:nvSpPr>
      <xdr:spPr>
        <a:xfrm flipV="1">
          <a:off x="7981950" y="1600198"/>
          <a:ext cx="466725" cy="381001"/>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66675</xdr:colOff>
      <xdr:row>18</xdr:row>
      <xdr:rowOff>85725</xdr:rowOff>
    </xdr:from>
    <xdr:to>
      <xdr:col>11</xdr:col>
      <xdr:colOff>533400</xdr:colOff>
      <xdr:row>20</xdr:row>
      <xdr:rowOff>94728</xdr:rowOff>
    </xdr:to>
    <xdr:sp macro="" textlink="">
      <xdr:nvSpPr>
        <xdr:cNvPr id="4" name="Rectangle 3"/>
        <xdr:cNvSpPr/>
      </xdr:nvSpPr>
      <xdr:spPr>
        <a:xfrm flipV="1">
          <a:off x="7981950" y="2981325"/>
          <a:ext cx="466725" cy="313803"/>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200025</xdr:colOff>
      <xdr:row>0</xdr:row>
      <xdr:rowOff>133350</xdr:rowOff>
    </xdr:from>
    <xdr:to>
      <xdr:col>13</xdr:col>
      <xdr:colOff>410383</xdr:colOff>
      <xdr:row>8</xdr:row>
      <xdr:rowOff>95421</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71925" y="133350"/>
          <a:ext cx="5792008" cy="1228896"/>
        </a:xfrm>
        <a:prstGeom prst="rect">
          <a:avLst/>
        </a:prstGeom>
      </xdr:spPr>
    </xdr:pic>
    <xdr:clientData/>
  </xdr:twoCellAnchor>
  <xdr:twoCellAnchor editAs="oneCell">
    <xdr:from>
      <xdr:col>4</xdr:col>
      <xdr:colOff>209550</xdr:colOff>
      <xdr:row>8</xdr:row>
      <xdr:rowOff>123825</xdr:rowOff>
    </xdr:from>
    <xdr:to>
      <xdr:col>13</xdr:col>
      <xdr:colOff>429435</xdr:colOff>
      <xdr:row>21</xdr:row>
      <xdr:rowOff>57470</xdr:rowOff>
    </xdr:to>
    <xdr:pic>
      <xdr:nvPicPr>
        <xdr:cNvPr id="6" name="Picture 5"/>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4936"/>
        <a:stretch/>
      </xdr:blipFill>
      <xdr:spPr>
        <a:xfrm>
          <a:off x="3981450" y="1390650"/>
          <a:ext cx="5801535" cy="1952945"/>
        </a:xfrm>
        <a:prstGeom prst="rect">
          <a:avLst/>
        </a:prstGeom>
      </xdr:spPr>
    </xdr:pic>
    <xdr:clientData/>
  </xdr:twoCellAnchor>
  <xdr:twoCellAnchor editAs="oneCell">
    <xdr:from>
      <xdr:col>4</xdr:col>
      <xdr:colOff>247651</xdr:colOff>
      <xdr:row>21</xdr:row>
      <xdr:rowOff>114300</xdr:rowOff>
    </xdr:from>
    <xdr:to>
      <xdr:col>13</xdr:col>
      <xdr:colOff>323851</xdr:colOff>
      <xdr:row>29</xdr:row>
      <xdr:rowOff>17689</xdr:rowOff>
    </xdr:to>
    <xdr:pic>
      <xdr:nvPicPr>
        <xdr:cNvPr id="7" name="Picture 6"/>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019551" y="3400425"/>
          <a:ext cx="5657850" cy="1122589"/>
        </a:xfrm>
        <a:prstGeom prst="rect">
          <a:avLst/>
        </a:prstGeom>
      </xdr:spPr>
    </xdr:pic>
    <xdr:clientData/>
  </xdr:twoCellAnchor>
  <xdr:twoCellAnchor>
    <xdr:from>
      <xdr:col>11</xdr:col>
      <xdr:colOff>190500</xdr:colOff>
      <xdr:row>26</xdr:row>
      <xdr:rowOff>123825</xdr:rowOff>
    </xdr:from>
    <xdr:to>
      <xdr:col>11</xdr:col>
      <xdr:colOff>523875</xdr:colOff>
      <xdr:row>26</xdr:row>
      <xdr:rowOff>123825</xdr:rowOff>
    </xdr:to>
    <xdr:cxnSp macro="">
      <xdr:nvCxnSpPr>
        <xdr:cNvPr id="9" name="Straight Arrow Connector 8"/>
        <xdr:cNvCxnSpPr/>
      </xdr:nvCxnSpPr>
      <xdr:spPr>
        <a:xfrm>
          <a:off x="8315325" y="4171950"/>
          <a:ext cx="3333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361950</xdr:colOff>
      <xdr:row>20</xdr:row>
      <xdr:rowOff>114300</xdr:rowOff>
    </xdr:from>
    <xdr:to>
      <xdr:col>13</xdr:col>
      <xdr:colOff>572673</xdr:colOff>
      <xdr:row>27</xdr:row>
      <xdr:rowOff>95396</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562350" y="3295650"/>
          <a:ext cx="8402223" cy="1047896"/>
        </a:xfrm>
        <a:prstGeom prst="rect">
          <a:avLst/>
        </a:prstGeom>
      </xdr:spPr>
    </xdr:pic>
    <xdr:clientData/>
  </xdr:twoCellAnchor>
  <xdr:twoCellAnchor>
    <xdr:from>
      <xdr:col>10</xdr:col>
      <xdr:colOff>447675</xdr:colOff>
      <xdr:row>22</xdr:row>
      <xdr:rowOff>9525</xdr:rowOff>
    </xdr:from>
    <xdr:to>
      <xdr:col>11</xdr:col>
      <xdr:colOff>227301</xdr:colOff>
      <xdr:row>22</xdr:row>
      <xdr:rowOff>47625</xdr:rowOff>
    </xdr:to>
    <xdr:cxnSp macro="">
      <xdr:nvCxnSpPr>
        <xdr:cNvPr id="4" name="Straight Arrow Connector 3"/>
        <xdr:cNvCxnSpPr/>
      </xdr:nvCxnSpPr>
      <xdr:spPr>
        <a:xfrm flipV="1">
          <a:off x="9963150" y="3495675"/>
          <a:ext cx="379701" cy="381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447675</xdr:colOff>
      <xdr:row>23</xdr:row>
      <xdr:rowOff>9527</xdr:rowOff>
    </xdr:from>
    <xdr:to>
      <xdr:col>11</xdr:col>
      <xdr:colOff>200025</xdr:colOff>
      <xdr:row>23</xdr:row>
      <xdr:rowOff>47625</xdr:rowOff>
    </xdr:to>
    <xdr:cxnSp macro="">
      <xdr:nvCxnSpPr>
        <xdr:cNvPr id="6" name="Straight Arrow Connector 5"/>
        <xdr:cNvCxnSpPr/>
      </xdr:nvCxnSpPr>
      <xdr:spPr>
        <a:xfrm flipV="1">
          <a:off x="9963150" y="3648077"/>
          <a:ext cx="352425" cy="3809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11814</xdr:colOff>
      <xdr:row>0</xdr:row>
      <xdr:rowOff>139117</xdr:rowOff>
    </xdr:from>
    <xdr:to>
      <xdr:col>15</xdr:col>
      <xdr:colOff>47625</xdr:colOff>
      <xdr:row>22</xdr:row>
      <xdr:rowOff>38100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32014" y="139117"/>
          <a:ext cx="3207636" cy="3289883"/>
        </a:xfrm>
        <a:prstGeom prst="rect">
          <a:avLst/>
        </a:prstGeom>
        <a:ln>
          <a:solidFill>
            <a:sysClr val="windowText" lastClr="0000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133349</xdr:colOff>
      <xdr:row>9</xdr:row>
      <xdr:rowOff>9525</xdr:rowOff>
    </xdr:from>
    <xdr:to>
      <xdr:col>4</xdr:col>
      <xdr:colOff>1609725</xdr:colOff>
      <xdr:row>11</xdr:row>
      <xdr:rowOff>133350</xdr:rowOff>
    </xdr:to>
    <xdr:sp macro="" textlink="">
      <xdr:nvSpPr>
        <xdr:cNvPr id="4" name="TextBox 3"/>
        <xdr:cNvSpPr txBox="1"/>
      </xdr:nvSpPr>
      <xdr:spPr>
        <a:xfrm>
          <a:off x="4486274" y="1419225"/>
          <a:ext cx="1476376"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a:solidFill>
                <a:schemeClr val="dk1"/>
              </a:solidFill>
              <a:effectLst/>
              <a:latin typeface="+mn-lt"/>
              <a:ea typeface="+mn-ea"/>
              <a:cs typeface="+mn-cs"/>
            </a:rPr>
            <a:t>Value Company</a:t>
          </a:r>
          <a:r>
            <a:rPr lang="en-US" sz="1050" baseline="0">
              <a:solidFill>
                <a:schemeClr val="dk1"/>
              </a:solidFill>
              <a:effectLst/>
              <a:latin typeface="+mn-lt"/>
              <a:ea typeface="+mn-ea"/>
              <a:cs typeface="+mn-cs"/>
            </a:rPr>
            <a:t> and </a:t>
          </a:r>
          <a:r>
            <a:rPr lang="en-US" sz="1050">
              <a:solidFill>
                <a:schemeClr val="dk1"/>
              </a:solidFill>
              <a:effectLst/>
              <a:latin typeface="+mn-lt"/>
              <a:ea typeface="+mn-ea"/>
              <a:cs typeface="+mn-cs"/>
            </a:rPr>
            <a:t>Substract</a:t>
          </a:r>
          <a:r>
            <a:rPr lang="en-US" sz="1050" baseline="0">
              <a:solidFill>
                <a:schemeClr val="dk1"/>
              </a:solidFill>
              <a:effectLst/>
              <a:latin typeface="+mn-lt"/>
              <a:ea typeface="+mn-ea"/>
              <a:cs typeface="+mn-cs"/>
            </a:rPr>
            <a:t> Non Owner.</a:t>
          </a:r>
          <a:endParaRPr lang="en-US" sz="1050">
            <a:effectLst/>
          </a:endParaRPr>
        </a:p>
        <a:p>
          <a:endParaRPr lang="en-US" sz="1050"/>
        </a:p>
      </xdr:txBody>
    </xdr:sp>
    <xdr:clientData/>
  </xdr:twoCellAnchor>
  <xdr:twoCellAnchor>
    <xdr:from>
      <xdr:col>4</xdr:col>
      <xdr:colOff>133349</xdr:colOff>
      <xdr:row>12</xdr:row>
      <xdr:rowOff>95250</xdr:rowOff>
    </xdr:from>
    <xdr:to>
      <xdr:col>4</xdr:col>
      <xdr:colOff>1609725</xdr:colOff>
      <xdr:row>18</xdr:row>
      <xdr:rowOff>114300</xdr:rowOff>
    </xdr:to>
    <xdr:sp macro="" textlink="">
      <xdr:nvSpPr>
        <xdr:cNvPr id="5" name="TextBox 4"/>
        <xdr:cNvSpPr txBox="1"/>
      </xdr:nvSpPr>
      <xdr:spPr>
        <a:xfrm>
          <a:off x="4486274" y="1971675"/>
          <a:ext cx="1476376"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a:solidFill>
                <a:schemeClr val="dk1"/>
              </a:solidFill>
              <a:effectLst/>
              <a:latin typeface="+mn-lt"/>
              <a:ea typeface="+mn-ea"/>
              <a:cs typeface="+mn-cs"/>
            </a:rPr>
            <a:t>Not Consolidated in Financial Statements so value each</a:t>
          </a:r>
          <a:r>
            <a:rPr lang="en-US" sz="1050" baseline="0">
              <a:solidFill>
                <a:schemeClr val="dk1"/>
              </a:solidFill>
              <a:effectLst/>
              <a:latin typeface="+mn-lt"/>
              <a:ea typeface="+mn-ea"/>
              <a:cs typeface="+mn-cs"/>
            </a:rPr>
            <a:t> </a:t>
          </a:r>
          <a:r>
            <a:rPr lang="en-US" sz="1050">
              <a:solidFill>
                <a:schemeClr val="dk1"/>
              </a:solidFill>
              <a:effectLst/>
              <a:latin typeface="+mn-lt"/>
              <a:ea typeface="+mn-ea"/>
              <a:cs typeface="+mn-cs"/>
            </a:rPr>
            <a:t>company</a:t>
          </a:r>
          <a:r>
            <a:rPr lang="en-US" sz="1050" baseline="0">
              <a:solidFill>
                <a:schemeClr val="dk1"/>
              </a:solidFill>
              <a:effectLst/>
              <a:latin typeface="+mn-lt"/>
              <a:ea typeface="+mn-ea"/>
              <a:cs typeface="+mn-cs"/>
            </a:rPr>
            <a:t> and a</a:t>
          </a:r>
          <a:r>
            <a:rPr lang="en-US" sz="1050">
              <a:solidFill>
                <a:schemeClr val="dk1"/>
              </a:solidFill>
              <a:effectLst/>
              <a:latin typeface="+mn-lt"/>
              <a:ea typeface="+mn-ea"/>
              <a:cs typeface="+mn-cs"/>
            </a:rPr>
            <a:t>dd</a:t>
          </a:r>
          <a:r>
            <a:rPr lang="en-US" sz="1050" baseline="0">
              <a:solidFill>
                <a:schemeClr val="dk1"/>
              </a:solidFill>
              <a:effectLst/>
              <a:latin typeface="+mn-lt"/>
              <a:ea typeface="+mn-ea"/>
              <a:cs typeface="+mn-cs"/>
            </a:rPr>
            <a:t> ownership stake.</a:t>
          </a:r>
          <a:endParaRPr lang="en-US" sz="1050">
            <a:effectLst/>
          </a:endParaRPr>
        </a:p>
      </xdr:txBody>
    </xdr:sp>
    <xdr:clientData/>
  </xdr:twoCellAnchor>
  <xdr:twoCellAnchor>
    <xdr:from>
      <xdr:col>4</xdr:col>
      <xdr:colOff>133349</xdr:colOff>
      <xdr:row>4</xdr:row>
      <xdr:rowOff>57150</xdr:rowOff>
    </xdr:from>
    <xdr:to>
      <xdr:col>4</xdr:col>
      <xdr:colOff>1609724</xdr:colOff>
      <xdr:row>8</xdr:row>
      <xdr:rowOff>57150</xdr:rowOff>
    </xdr:to>
    <xdr:sp macro="" textlink="">
      <xdr:nvSpPr>
        <xdr:cNvPr id="6" name="TextBox 5"/>
        <xdr:cNvSpPr txBox="1"/>
      </xdr:nvSpPr>
      <xdr:spPr>
        <a:xfrm>
          <a:off x="4486274" y="704850"/>
          <a:ext cx="147637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a:solidFill>
                <a:schemeClr val="dk1"/>
              </a:solidFill>
              <a:effectLst/>
              <a:latin typeface="+mn-lt"/>
              <a:ea typeface="+mn-ea"/>
              <a:cs typeface="+mn-cs"/>
            </a:rPr>
            <a:t>Do Nothing!</a:t>
          </a:r>
          <a:r>
            <a:rPr lang="en-US" sz="1050" baseline="0">
              <a:solidFill>
                <a:schemeClr val="dk1"/>
              </a:solidFill>
              <a:effectLst/>
              <a:latin typeface="+mn-lt"/>
              <a:ea typeface="+mn-ea"/>
              <a:cs typeface="+mn-cs"/>
            </a:rPr>
            <a:t> It's a</a:t>
          </a:r>
          <a:r>
            <a:rPr lang="en-US" sz="1050">
              <a:solidFill>
                <a:schemeClr val="dk1"/>
              </a:solidFill>
              <a:effectLst/>
              <a:latin typeface="+mn-lt"/>
              <a:ea typeface="+mn-ea"/>
              <a:cs typeface="+mn-cs"/>
            </a:rPr>
            <a:t>lready 100% part of the company.</a:t>
          </a:r>
          <a:endParaRPr lang="en-US" sz="1050">
            <a:effectLst/>
          </a:endParaRPr>
        </a:p>
        <a:p>
          <a:endParaRPr lang="en-US" sz="1050"/>
        </a:p>
      </xdr:txBody>
    </xdr:sp>
    <xdr:clientData/>
  </xdr:twoCellAnchor>
  <xdr:twoCellAnchor editAs="oneCell">
    <xdr:from>
      <xdr:col>6</xdr:col>
      <xdr:colOff>476250</xdr:colOff>
      <xdr:row>1</xdr:row>
      <xdr:rowOff>122571</xdr:rowOff>
    </xdr:from>
    <xdr:to>
      <xdr:col>14</xdr:col>
      <xdr:colOff>105582</xdr:colOff>
      <xdr:row>27</xdr:row>
      <xdr:rowOff>114969</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400925" y="313071"/>
          <a:ext cx="4782357" cy="396432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7</xdr:col>
      <xdr:colOff>38100</xdr:colOff>
      <xdr:row>49</xdr:row>
      <xdr:rowOff>19050</xdr:rowOff>
    </xdr:from>
    <xdr:to>
      <xdr:col>13</xdr:col>
      <xdr:colOff>648656</xdr:colOff>
      <xdr:row>77</xdr:row>
      <xdr:rowOff>123825</xdr:rowOff>
    </xdr:to>
    <xdr:pic>
      <xdr:nvPicPr>
        <xdr:cNvPr id="5" name="Picture 4"/>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091" b="1926"/>
        <a:stretch/>
      </xdr:blipFill>
      <xdr:spPr>
        <a:xfrm>
          <a:off x="6391275" y="7534275"/>
          <a:ext cx="5449256" cy="4371975"/>
        </a:xfrm>
        <a:prstGeom prst="rect">
          <a:avLst/>
        </a:prstGeom>
      </xdr:spPr>
    </xdr:pic>
    <xdr:clientData/>
  </xdr:twoCellAnchor>
  <xdr:twoCellAnchor editAs="oneCell">
    <xdr:from>
      <xdr:col>7</xdr:col>
      <xdr:colOff>90678</xdr:colOff>
      <xdr:row>78</xdr:row>
      <xdr:rowOff>0</xdr:rowOff>
    </xdr:from>
    <xdr:to>
      <xdr:col>13</xdr:col>
      <xdr:colOff>601010</xdr:colOff>
      <xdr:row>99</xdr:row>
      <xdr:rowOff>47625</xdr:rowOff>
    </xdr:to>
    <xdr:pic>
      <xdr:nvPicPr>
        <xdr:cNvPr id="6" name="Picture 5"/>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4941" b="456"/>
        <a:stretch/>
      </xdr:blipFill>
      <xdr:spPr>
        <a:xfrm>
          <a:off x="6443853" y="11934825"/>
          <a:ext cx="5349032" cy="3248025"/>
        </a:xfrm>
        <a:prstGeom prst="rect">
          <a:avLst/>
        </a:prstGeom>
      </xdr:spPr>
    </xdr:pic>
    <xdr:clientData/>
  </xdr:twoCellAnchor>
  <xdr:twoCellAnchor editAs="oneCell">
    <xdr:from>
      <xdr:col>7</xdr:col>
      <xdr:colOff>85725</xdr:colOff>
      <xdr:row>99</xdr:row>
      <xdr:rowOff>57149</xdr:rowOff>
    </xdr:from>
    <xdr:to>
      <xdr:col>13</xdr:col>
      <xdr:colOff>649926</xdr:colOff>
      <xdr:row>118</xdr:row>
      <xdr:rowOff>57896</xdr:rowOff>
    </xdr:to>
    <xdr:pic>
      <xdr:nvPicPr>
        <xdr:cNvPr id="7" name="Picture 6"/>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32300"/>
        <a:stretch/>
      </xdr:blipFill>
      <xdr:spPr>
        <a:xfrm>
          <a:off x="6438900" y="15192374"/>
          <a:ext cx="5402901" cy="2896347"/>
        </a:xfrm>
        <a:prstGeom prst="rect">
          <a:avLst/>
        </a:prstGeom>
      </xdr:spPr>
    </xdr:pic>
    <xdr:clientData/>
  </xdr:twoCellAnchor>
  <xdr:twoCellAnchor editAs="oneCell">
    <xdr:from>
      <xdr:col>1</xdr:col>
      <xdr:colOff>200026</xdr:colOff>
      <xdr:row>49</xdr:row>
      <xdr:rowOff>9524</xdr:rowOff>
    </xdr:from>
    <xdr:to>
      <xdr:col>6</xdr:col>
      <xdr:colOff>494171</xdr:colOff>
      <xdr:row>76</xdr:row>
      <xdr:rowOff>114969</xdr:rowOff>
    </xdr:to>
    <xdr:pic>
      <xdr:nvPicPr>
        <xdr:cNvPr id="9" name="Picture 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33376" y="7524749"/>
          <a:ext cx="5618620" cy="4220245"/>
        </a:xfrm>
        <a:prstGeom prst="rect">
          <a:avLst/>
        </a:prstGeom>
      </xdr:spPr>
    </xdr:pic>
    <xdr:clientData/>
  </xdr:twoCellAnchor>
  <xdr:twoCellAnchor editAs="oneCell">
    <xdr:from>
      <xdr:col>1</xdr:col>
      <xdr:colOff>197625</xdr:colOff>
      <xdr:row>76</xdr:row>
      <xdr:rowOff>93096</xdr:rowOff>
    </xdr:from>
    <xdr:to>
      <xdr:col>6</xdr:col>
      <xdr:colOff>491769</xdr:colOff>
      <xdr:row>105</xdr:row>
      <xdr:rowOff>103078</xdr:rowOff>
    </xdr:to>
    <xdr:pic>
      <xdr:nvPicPr>
        <xdr:cNvPr id="10" name="Picture 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30975" y="11723121"/>
          <a:ext cx="5618619" cy="4429582"/>
        </a:xfrm>
        <a:prstGeom prst="rect">
          <a:avLst/>
        </a:prstGeom>
      </xdr:spPr>
    </xdr:pic>
    <xdr:clientData/>
  </xdr:twoCellAnchor>
  <xdr:twoCellAnchor editAs="oneCell">
    <xdr:from>
      <xdr:col>1</xdr:col>
      <xdr:colOff>223800</xdr:colOff>
      <xdr:row>105</xdr:row>
      <xdr:rowOff>26142</xdr:rowOff>
    </xdr:from>
    <xdr:to>
      <xdr:col>6</xdr:col>
      <xdr:colOff>514350</xdr:colOff>
      <xdr:row>133</xdr:row>
      <xdr:rowOff>119723</xdr:rowOff>
    </xdr:to>
    <xdr:pic>
      <xdr:nvPicPr>
        <xdr:cNvPr id="11" name="Picture 1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57150" y="16075767"/>
          <a:ext cx="5615025" cy="436078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7</xdr:col>
      <xdr:colOff>38100</xdr:colOff>
      <xdr:row>49</xdr:row>
      <xdr:rowOff>19050</xdr:rowOff>
    </xdr:from>
    <xdr:to>
      <xdr:col>13</xdr:col>
      <xdr:colOff>648656</xdr:colOff>
      <xdr:row>77</xdr:row>
      <xdr:rowOff>123825</xdr:rowOff>
    </xdr:to>
    <xdr:pic>
      <xdr:nvPicPr>
        <xdr:cNvPr id="2" name="Picture 1"/>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091" b="1926"/>
        <a:stretch/>
      </xdr:blipFill>
      <xdr:spPr>
        <a:xfrm>
          <a:off x="6324600" y="7534275"/>
          <a:ext cx="5449256" cy="4371975"/>
        </a:xfrm>
        <a:prstGeom prst="rect">
          <a:avLst/>
        </a:prstGeom>
      </xdr:spPr>
    </xdr:pic>
    <xdr:clientData/>
  </xdr:twoCellAnchor>
  <xdr:twoCellAnchor editAs="oneCell">
    <xdr:from>
      <xdr:col>7</xdr:col>
      <xdr:colOff>90678</xdr:colOff>
      <xdr:row>78</xdr:row>
      <xdr:rowOff>0</xdr:rowOff>
    </xdr:from>
    <xdr:to>
      <xdr:col>13</xdr:col>
      <xdr:colOff>601010</xdr:colOff>
      <xdr:row>99</xdr:row>
      <xdr:rowOff>47625</xdr:rowOff>
    </xdr:to>
    <xdr:pic>
      <xdr:nvPicPr>
        <xdr:cNvPr id="3" name="Picture 2"/>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4941" b="456"/>
        <a:stretch/>
      </xdr:blipFill>
      <xdr:spPr>
        <a:xfrm>
          <a:off x="6377178" y="11934825"/>
          <a:ext cx="5349032" cy="3248025"/>
        </a:xfrm>
        <a:prstGeom prst="rect">
          <a:avLst/>
        </a:prstGeom>
      </xdr:spPr>
    </xdr:pic>
    <xdr:clientData/>
  </xdr:twoCellAnchor>
  <xdr:twoCellAnchor editAs="oneCell">
    <xdr:from>
      <xdr:col>7</xdr:col>
      <xdr:colOff>85725</xdr:colOff>
      <xdr:row>99</xdr:row>
      <xdr:rowOff>57149</xdr:rowOff>
    </xdr:from>
    <xdr:to>
      <xdr:col>13</xdr:col>
      <xdr:colOff>649926</xdr:colOff>
      <xdr:row>118</xdr:row>
      <xdr:rowOff>57896</xdr:rowOff>
    </xdr:to>
    <xdr:pic>
      <xdr:nvPicPr>
        <xdr:cNvPr id="4" name="Picture 3"/>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32300"/>
        <a:stretch/>
      </xdr:blipFill>
      <xdr:spPr>
        <a:xfrm>
          <a:off x="6372225" y="15192374"/>
          <a:ext cx="5402901" cy="2896347"/>
        </a:xfrm>
        <a:prstGeom prst="rect">
          <a:avLst/>
        </a:prstGeom>
      </xdr:spPr>
    </xdr:pic>
    <xdr:clientData/>
  </xdr:twoCellAnchor>
  <xdr:twoCellAnchor editAs="oneCell">
    <xdr:from>
      <xdr:col>1</xdr:col>
      <xdr:colOff>200026</xdr:colOff>
      <xdr:row>49</xdr:row>
      <xdr:rowOff>9524</xdr:rowOff>
    </xdr:from>
    <xdr:to>
      <xdr:col>6</xdr:col>
      <xdr:colOff>494171</xdr:colOff>
      <xdr:row>76</xdr:row>
      <xdr:rowOff>114969</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33376" y="7524749"/>
          <a:ext cx="5618620" cy="4220245"/>
        </a:xfrm>
        <a:prstGeom prst="rect">
          <a:avLst/>
        </a:prstGeom>
      </xdr:spPr>
    </xdr:pic>
    <xdr:clientData/>
  </xdr:twoCellAnchor>
  <xdr:twoCellAnchor editAs="oneCell">
    <xdr:from>
      <xdr:col>1</xdr:col>
      <xdr:colOff>197625</xdr:colOff>
      <xdr:row>76</xdr:row>
      <xdr:rowOff>93096</xdr:rowOff>
    </xdr:from>
    <xdr:to>
      <xdr:col>6</xdr:col>
      <xdr:colOff>491769</xdr:colOff>
      <xdr:row>105</xdr:row>
      <xdr:rowOff>103078</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30975" y="11723121"/>
          <a:ext cx="5618619" cy="4429582"/>
        </a:xfrm>
        <a:prstGeom prst="rect">
          <a:avLst/>
        </a:prstGeom>
      </xdr:spPr>
    </xdr:pic>
    <xdr:clientData/>
  </xdr:twoCellAnchor>
  <xdr:twoCellAnchor editAs="oneCell">
    <xdr:from>
      <xdr:col>1</xdr:col>
      <xdr:colOff>223800</xdr:colOff>
      <xdr:row>105</xdr:row>
      <xdr:rowOff>26142</xdr:rowOff>
    </xdr:from>
    <xdr:to>
      <xdr:col>6</xdr:col>
      <xdr:colOff>514350</xdr:colOff>
      <xdr:row>133</xdr:row>
      <xdr:rowOff>119723</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57150" y="16075767"/>
          <a:ext cx="5615025" cy="436078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7</xdr:col>
      <xdr:colOff>38100</xdr:colOff>
      <xdr:row>49</xdr:row>
      <xdr:rowOff>19050</xdr:rowOff>
    </xdr:from>
    <xdr:to>
      <xdr:col>13</xdr:col>
      <xdr:colOff>601031</xdr:colOff>
      <xdr:row>77</xdr:row>
      <xdr:rowOff>123825</xdr:rowOff>
    </xdr:to>
    <xdr:pic>
      <xdr:nvPicPr>
        <xdr:cNvPr id="2" name="Picture 1"/>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091" b="1926"/>
        <a:stretch/>
      </xdr:blipFill>
      <xdr:spPr>
        <a:xfrm>
          <a:off x="6324600" y="7534275"/>
          <a:ext cx="5449256" cy="4371975"/>
        </a:xfrm>
        <a:prstGeom prst="rect">
          <a:avLst/>
        </a:prstGeom>
      </xdr:spPr>
    </xdr:pic>
    <xdr:clientData/>
  </xdr:twoCellAnchor>
  <xdr:twoCellAnchor editAs="oneCell">
    <xdr:from>
      <xdr:col>7</xdr:col>
      <xdr:colOff>90678</xdr:colOff>
      <xdr:row>78</xdr:row>
      <xdr:rowOff>0</xdr:rowOff>
    </xdr:from>
    <xdr:to>
      <xdr:col>13</xdr:col>
      <xdr:colOff>553385</xdr:colOff>
      <xdr:row>99</xdr:row>
      <xdr:rowOff>47625</xdr:rowOff>
    </xdr:to>
    <xdr:pic>
      <xdr:nvPicPr>
        <xdr:cNvPr id="3" name="Picture 2"/>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4941" b="456"/>
        <a:stretch/>
      </xdr:blipFill>
      <xdr:spPr>
        <a:xfrm>
          <a:off x="6377178" y="11934825"/>
          <a:ext cx="5349032" cy="3248025"/>
        </a:xfrm>
        <a:prstGeom prst="rect">
          <a:avLst/>
        </a:prstGeom>
      </xdr:spPr>
    </xdr:pic>
    <xdr:clientData/>
  </xdr:twoCellAnchor>
  <xdr:twoCellAnchor editAs="oneCell">
    <xdr:from>
      <xdr:col>7</xdr:col>
      <xdr:colOff>85725</xdr:colOff>
      <xdr:row>99</xdr:row>
      <xdr:rowOff>57149</xdr:rowOff>
    </xdr:from>
    <xdr:to>
      <xdr:col>13</xdr:col>
      <xdr:colOff>602301</xdr:colOff>
      <xdr:row>118</xdr:row>
      <xdr:rowOff>57896</xdr:rowOff>
    </xdr:to>
    <xdr:pic>
      <xdr:nvPicPr>
        <xdr:cNvPr id="4" name="Picture 3"/>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32300"/>
        <a:stretch/>
      </xdr:blipFill>
      <xdr:spPr>
        <a:xfrm>
          <a:off x="6372225" y="15192374"/>
          <a:ext cx="5402901" cy="2896347"/>
        </a:xfrm>
        <a:prstGeom prst="rect">
          <a:avLst/>
        </a:prstGeom>
      </xdr:spPr>
    </xdr:pic>
    <xdr:clientData/>
  </xdr:twoCellAnchor>
  <xdr:twoCellAnchor editAs="oneCell">
    <xdr:from>
      <xdr:col>1</xdr:col>
      <xdr:colOff>200026</xdr:colOff>
      <xdr:row>49</xdr:row>
      <xdr:rowOff>9524</xdr:rowOff>
    </xdr:from>
    <xdr:to>
      <xdr:col>6</xdr:col>
      <xdr:colOff>494171</xdr:colOff>
      <xdr:row>76</xdr:row>
      <xdr:rowOff>114969</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33376" y="7524749"/>
          <a:ext cx="5618620" cy="4220245"/>
        </a:xfrm>
        <a:prstGeom prst="rect">
          <a:avLst/>
        </a:prstGeom>
      </xdr:spPr>
    </xdr:pic>
    <xdr:clientData/>
  </xdr:twoCellAnchor>
  <xdr:twoCellAnchor editAs="oneCell">
    <xdr:from>
      <xdr:col>1</xdr:col>
      <xdr:colOff>197625</xdr:colOff>
      <xdr:row>76</xdr:row>
      <xdr:rowOff>93096</xdr:rowOff>
    </xdr:from>
    <xdr:to>
      <xdr:col>6</xdr:col>
      <xdr:colOff>491769</xdr:colOff>
      <xdr:row>105</xdr:row>
      <xdr:rowOff>103078</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30975" y="11723121"/>
          <a:ext cx="5618619" cy="4429582"/>
        </a:xfrm>
        <a:prstGeom prst="rect">
          <a:avLst/>
        </a:prstGeom>
      </xdr:spPr>
    </xdr:pic>
    <xdr:clientData/>
  </xdr:twoCellAnchor>
  <xdr:twoCellAnchor editAs="oneCell">
    <xdr:from>
      <xdr:col>1</xdr:col>
      <xdr:colOff>223800</xdr:colOff>
      <xdr:row>105</xdr:row>
      <xdr:rowOff>26142</xdr:rowOff>
    </xdr:from>
    <xdr:to>
      <xdr:col>6</xdr:col>
      <xdr:colOff>514350</xdr:colOff>
      <xdr:row>133</xdr:row>
      <xdr:rowOff>119723</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57150" y="16075767"/>
          <a:ext cx="5615025" cy="436078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https://trendlyne.com/equity/EPS/NIFTY50/1887/nifty-50-earnings-per-share/" TargetMode="External"/><Relationship Id="rId2" Type="http://schemas.openxmlformats.org/officeDocument/2006/relationships/hyperlink" Target="https://trendlyne.com/equity/DIV/NIFTY50/1887/nifty-50-dividend-yield/" TargetMode="External"/><Relationship Id="rId1" Type="http://schemas.openxmlformats.org/officeDocument/2006/relationships/hyperlink" Target="https://www.google.co.in/search?ie=UTF-8&amp;oe=UTF-8&amp;sourceid=navclient&amp;gfns=1&amp;q=Nifty50+Dividend+Points&amp;gws_rd=ssl" TargetMode="External"/><Relationship Id="rId5" Type="http://schemas.openxmlformats.org/officeDocument/2006/relationships/printerSettings" Target="../printerSettings/printerSettings6.bin"/><Relationship Id="rId4" Type="http://schemas.openxmlformats.org/officeDocument/2006/relationships/hyperlink" Target="https://in.investing.com/rates-bonds/india-10-year-bond-yield-historical-data"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7.bin"/><Relationship Id="rId1" Type="http://schemas.openxmlformats.org/officeDocument/2006/relationships/hyperlink" Target="https://tradingeconomics.com/india/corporate-tax-rate" TargetMode="External"/><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s://pages.stern.nyu.edu/~adamodar/New_Home_Page/datafile/ratings.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B1:O15"/>
  <sheetViews>
    <sheetView workbookViewId="0"/>
  </sheetViews>
  <sheetFormatPr defaultColWidth="9.140625" defaultRowHeight="12.75"/>
  <cols>
    <col min="1" max="1" width="2" style="62" customWidth="1"/>
    <col min="2" max="8" width="9.140625" style="62"/>
    <col min="9" max="9" width="11.42578125" style="62" customWidth="1"/>
    <col min="10" max="16384" width="9.140625" style="62"/>
  </cols>
  <sheetData>
    <row r="1" spans="2:15" ht="50.25">
      <c r="B1" s="63" t="s">
        <v>58</v>
      </c>
    </row>
    <row r="3" spans="2:15" ht="13.5" customHeight="1">
      <c r="F3" s="63"/>
      <c r="H3" s="63"/>
    </row>
    <row r="9" spans="2:15">
      <c r="C9" s="64"/>
    </row>
    <row r="10" spans="2:15">
      <c r="C10" s="64"/>
    </row>
    <row r="12" spans="2:15" ht="15">
      <c r="J12"/>
    </row>
    <row r="13" spans="2:15">
      <c r="O13" s="65"/>
    </row>
    <row r="15" spans="2:15" ht="15">
      <c r="J15"/>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12.7109375" style="2" customWidth="1"/>
    <col min="4" max="4" width="2.85546875" style="2" customWidth="1"/>
    <col min="5" max="5" width="17.5703125" style="2" customWidth="1"/>
    <col min="6" max="6" width="10" style="15"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8" t="s">
        <v>103</v>
      </c>
      <c r="E1" s="3"/>
      <c r="F1" s="68"/>
      <c r="G1" s="3"/>
      <c r="H1" s="3"/>
      <c r="I1" s="3"/>
      <c r="J1" s="3"/>
      <c r="K1" s="3"/>
      <c r="L1" s="3"/>
      <c r="M1" s="3"/>
      <c r="N1" s="3"/>
    </row>
    <row r="2" spans="2:14">
      <c r="E2" s="3"/>
      <c r="F2" s="68"/>
      <c r="G2" s="3"/>
      <c r="H2" s="3"/>
      <c r="I2" s="3"/>
      <c r="J2" s="3"/>
      <c r="K2" s="3"/>
      <c r="L2" s="3"/>
      <c r="M2" s="3"/>
      <c r="N2" s="3"/>
    </row>
    <row r="3" spans="2:14">
      <c r="B3" s="3" t="s">
        <v>101</v>
      </c>
      <c r="C3" s="86" t="s">
        <v>100</v>
      </c>
      <c r="D3" s="24"/>
      <c r="E3" s="51"/>
      <c r="F3" s="125"/>
      <c r="G3" s="121"/>
      <c r="H3" s="108"/>
      <c r="I3" s="108"/>
      <c r="J3" s="108"/>
      <c r="K3" s="3"/>
      <c r="L3" s="126"/>
      <c r="M3" s="108"/>
      <c r="N3" s="3"/>
    </row>
    <row r="4" spans="2:14">
      <c r="B4" s="2" t="s">
        <v>102</v>
      </c>
      <c r="C4" s="132" t="s">
        <v>295</v>
      </c>
      <c r="D4" s="6"/>
      <c r="E4" s="3"/>
      <c r="F4" s="72"/>
      <c r="G4" s="122"/>
      <c r="H4" s="123"/>
      <c r="I4" s="51"/>
      <c r="J4" s="70"/>
      <c r="K4" s="3"/>
      <c r="L4" s="71"/>
      <c r="M4" s="88"/>
      <c r="N4" s="3"/>
    </row>
    <row r="5" spans="2:14">
      <c r="D5" s="6"/>
      <c r="E5" s="3"/>
      <c r="F5" s="72"/>
      <c r="G5" s="122"/>
      <c r="H5" s="123"/>
      <c r="I5" s="51"/>
      <c r="J5" s="70"/>
      <c r="K5" s="3"/>
      <c r="L5" s="71"/>
      <c r="M5" s="88"/>
      <c r="N5" s="3"/>
    </row>
    <row r="6" spans="2:14">
      <c r="C6" s="79"/>
      <c r="D6" s="26"/>
      <c r="E6" s="3"/>
      <c r="F6" s="72"/>
      <c r="G6" s="122"/>
      <c r="H6" s="123"/>
      <c r="I6" s="51"/>
      <c r="J6" s="70"/>
      <c r="K6" s="3"/>
      <c r="L6" s="71"/>
      <c r="M6" s="88"/>
      <c r="N6" s="3"/>
    </row>
    <row r="7" spans="2:14">
      <c r="C7" s="80"/>
      <c r="D7" s="6"/>
      <c r="E7" s="3"/>
      <c r="F7" s="72"/>
      <c r="G7" s="122"/>
      <c r="H7" s="123"/>
      <c r="I7" s="51"/>
      <c r="J7" s="70"/>
      <c r="K7" s="3"/>
      <c r="L7" s="71"/>
      <c r="M7" s="88"/>
      <c r="N7" s="3"/>
    </row>
    <row r="8" spans="2:14">
      <c r="C8" s="50"/>
      <c r="D8" s="6"/>
      <c r="E8" s="3"/>
      <c r="F8" s="72"/>
      <c r="G8" s="122"/>
      <c r="H8" s="123"/>
      <c r="I8" s="51"/>
      <c r="J8" s="70"/>
      <c r="K8" s="3"/>
      <c r="L8" s="71"/>
      <c r="M8" s="88"/>
      <c r="N8" s="3"/>
    </row>
    <row r="9" spans="2:14">
      <c r="B9" s="3"/>
      <c r="C9" s="86"/>
      <c r="D9" s="6"/>
      <c r="E9" s="3"/>
      <c r="F9" s="72"/>
      <c r="G9" s="122"/>
      <c r="H9" s="123"/>
      <c r="I9" s="51"/>
      <c r="J9" s="70"/>
      <c r="K9" s="3"/>
      <c r="L9" s="71"/>
      <c r="M9" s="88"/>
      <c r="N9" s="3"/>
    </row>
    <row r="10" spans="2:14">
      <c r="B10" s="3"/>
      <c r="C10" s="86"/>
      <c r="D10" s="6"/>
      <c r="E10" s="3"/>
      <c r="F10" s="72"/>
      <c r="G10" s="122"/>
      <c r="H10" s="123"/>
      <c r="I10" s="51"/>
      <c r="J10" s="70"/>
      <c r="K10" s="3"/>
      <c r="L10" s="69"/>
      <c r="M10" s="3"/>
      <c r="N10" s="3"/>
    </row>
    <row r="11" spans="2:14">
      <c r="B11" s="3"/>
      <c r="C11" s="87"/>
      <c r="D11" s="6"/>
      <c r="E11" s="3"/>
      <c r="F11" s="72"/>
      <c r="G11" s="122"/>
      <c r="H11" s="123"/>
      <c r="I11" s="51"/>
      <c r="J11" s="70"/>
      <c r="K11" s="3"/>
      <c r="L11" s="84"/>
      <c r="M11" s="93"/>
      <c r="N11" s="3"/>
    </row>
    <row r="12" spans="2:14">
      <c r="B12" s="3"/>
      <c r="C12" s="3"/>
      <c r="D12" s="6"/>
      <c r="E12" s="3"/>
      <c r="F12" s="72"/>
      <c r="G12" s="122"/>
      <c r="H12" s="123"/>
      <c r="I12" s="51"/>
      <c r="J12" s="70"/>
      <c r="K12" s="3"/>
      <c r="L12" s="67"/>
      <c r="M12" s="93"/>
      <c r="N12" s="3"/>
    </row>
    <row r="13" spans="2:14">
      <c r="B13" s="3"/>
      <c r="C13" s="61"/>
      <c r="D13" s="6"/>
      <c r="E13" s="3"/>
      <c r="F13" s="72"/>
      <c r="G13" s="122"/>
      <c r="H13" s="123"/>
      <c r="I13" s="51"/>
      <c r="J13" s="70"/>
      <c r="K13" s="3"/>
      <c r="L13" s="3"/>
      <c r="M13" s="3"/>
      <c r="N13" s="3"/>
    </row>
    <row r="14" spans="2:14">
      <c r="B14" s="25"/>
      <c r="C14" s="25"/>
      <c r="D14" s="26"/>
      <c r="E14" s="3"/>
      <c r="F14" s="71"/>
      <c r="G14" s="9"/>
      <c r="H14" s="3"/>
      <c r="I14" s="51"/>
      <c r="J14" s="25"/>
      <c r="K14" s="3"/>
      <c r="L14" s="3"/>
      <c r="M14" s="3"/>
      <c r="N14" s="3"/>
    </row>
    <row r="15" spans="2:14">
      <c r="B15" s="3"/>
      <c r="C15" s="131"/>
      <c r="D15" s="6"/>
      <c r="E15" s="51"/>
      <c r="F15" s="67"/>
      <c r="G15" s="3"/>
      <c r="H15" s="3"/>
      <c r="I15" s="3"/>
      <c r="J15" s="3"/>
      <c r="K15" s="3"/>
      <c r="L15" s="3"/>
      <c r="M15" s="3"/>
      <c r="N15" s="3"/>
    </row>
    <row r="16" spans="2:14">
      <c r="B16" s="3"/>
      <c r="C16" s="3"/>
      <c r="D16" s="6"/>
      <c r="E16" s="51"/>
      <c r="F16" s="84"/>
      <c r="G16" s="85"/>
      <c r="H16" s="49"/>
      <c r="I16" s="3"/>
      <c r="J16" s="3"/>
      <c r="K16" s="3"/>
      <c r="L16" s="3"/>
      <c r="M16" s="3"/>
      <c r="N16" s="3"/>
    </row>
    <row r="17" spans="2:14">
      <c r="B17" s="3"/>
      <c r="C17" s="80"/>
      <c r="D17" s="6"/>
      <c r="E17" s="51"/>
      <c r="F17" s="67"/>
      <c r="G17" s="85"/>
      <c r="H17" s="3"/>
      <c r="I17" s="3"/>
      <c r="J17" s="3"/>
      <c r="K17" s="3"/>
      <c r="L17" s="3"/>
      <c r="M17" s="3"/>
      <c r="N17" s="3"/>
    </row>
    <row r="18" spans="2:14">
      <c r="B18" s="3"/>
      <c r="C18" s="3"/>
      <c r="D18" s="26"/>
      <c r="E18" s="51"/>
      <c r="F18" s="67"/>
      <c r="G18" s="3"/>
      <c r="H18" s="3"/>
      <c r="I18" s="3"/>
      <c r="J18" s="3"/>
      <c r="K18" s="3"/>
      <c r="L18" s="3"/>
      <c r="M18" s="3"/>
      <c r="N18" s="3"/>
    </row>
    <row r="19" spans="2:14">
      <c r="B19" s="25"/>
      <c r="C19" s="25"/>
      <c r="D19" s="6"/>
      <c r="E19" s="51"/>
      <c r="F19" s="67"/>
      <c r="G19" s="3"/>
      <c r="H19" s="3"/>
      <c r="I19" s="3"/>
      <c r="J19" s="3"/>
      <c r="K19" s="3"/>
      <c r="L19" s="3"/>
      <c r="M19" s="3"/>
      <c r="N19" s="3"/>
    </row>
    <row r="20" spans="2:14">
      <c r="B20" s="3"/>
      <c r="C20" s="3"/>
      <c r="D20" s="6"/>
      <c r="E20" s="124"/>
      <c r="F20" s="126"/>
      <c r="G20" s="126"/>
      <c r="H20" s="126"/>
      <c r="I20" s="126"/>
      <c r="J20" s="126"/>
      <c r="K20" s="126"/>
      <c r="L20" s="3"/>
      <c r="M20" s="3"/>
      <c r="N20" s="3"/>
    </row>
    <row r="21" spans="2:14">
      <c r="B21" s="3"/>
      <c r="C21" s="3"/>
      <c r="D21" s="6"/>
      <c r="E21" s="104"/>
      <c r="F21" s="127"/>
      <c r="G21" s="9"/>
      <c r="H21" s="9"/>
      <c r="I21" s="9"/>
      <c r="J21" s="9"/>
      <c r="K21" s="9"/>
      <c r="L21" s="3"/>
      <c r="M21" s="3"/>
      <c r="N21" s="3"/>
    </row>
    <row r="22" spans="2:14">
      <c r="B22" s="3"/>
      <c r="C22" s="3"/>
      <c r="D22" s="6"/>
      <c r="E22" s="51"/>
      <c r="F22" s="68"/>
      <c r="G22" s="68"/>
      <c r="H22" s="68"/>
      <c r="I22" s="105"/>
      <c r="J22" s="67"/>
      <c r="K22" s="68"/>
      <c r="L22" s="3"/>
      <c r="M22" s="3"/>
      <c r="N22" s="3"/>
    </row>
    <row r="23" spans="2:14">
      <c r="B23" s="25"/>
      <c r="C23" s="25"/>
      <c r="D23" s="26"/>
      <c r="E23" s="51"/>
      <c r="F23" s="3"/>
      <c r="G23" s="3"/>
      <c r="H23" s="3"/>
      <c r="I23" s="3"/>
      <c r="J23" s="3"/>
      <c r="K23" s="3"/>
      <c r="L23" s="128"/>
      <c r="M23" s="3"/>
      <c r="N23" s="3"/>
    </row>
    <row r="24" spans="2:14">
      <c r="B24" s="3"/>
      <c r="C24" s="3"/>
      <c r="D24" s="6"/>
      <c r="E24" s="51"/>
      <c r="F24" s="3"/>
      <c r="G24" s="3"/>
      <c r="H24" s="3"/>
      <c r="I24" s="3"/>
      <c r="J24" s="3"/>
      <c r="K24" s="3"/>
      <c r="L24" s="3"/>
      <c r="M24" s="3"/>
      <c r="N24" s="3"/>
    </row>
    <row r="25" spans="2:14">
      <c r="B25" s="3"/>
      <c r="C25" s="3"/>
      <c r="D25" s="6"/>
      <c r="E25" s="6"/>
      <c r="F25" s="68"/>
      <c r="G25" s="3"/>
      <c r="H25" s="84"/>
      <c r="I25" s="85"/>
      <c r="J25" s="3"/>
      <c r="K25" s="3"/>
      <c r="L25" s="3"/>
      <c r="M25" s="3"/>
      <c r="N25" s="3"/>
    </row>
    <row r="26" spans="2:14">
      <c r="B26" s="3"/>
      <c r="C26" s="3"/>
      <c r="D26" s="6"/>
      <c r="E26" s="26"/>
      <c r="F26" s="50"/>
      <c r="G26" s="3"/>
      <c r="H26" s="67"/>
      <c r="I26" s="85"/>
      <c r="J26" s="3"/>
      <c r="K26" s="3"/>
      <c r="L26" s="129"/>
      <c r="M26" s="3"/>
      <c r="N26" s="3"/>
    </row>
    <row r="27" spans="2:14">
      <c r="B27" s="3"/>
      <c r="C27" s="3"/>
      <c r="D27" s="26"/>
      <c r="E27" s="25"/>
      <c r="F27" s="130"/>
      <c r="G27" s="3"/>
      <c r="H27" s="3"/>
      <c r="I27" s="3"/>
      <c r="J27" s="3"/>
      <c r="K27" s="3"/>
      <c r="L27" s="3"/>
      <c r="M27" s="3"/>
      <c r="N27" s="3"/>
    </row>
    <row r="28" spans="2:14">
      <c r="B28" s="3"/>
      <c r="C28" s="3"/>
      <c r="D28" s="9" t="s">
        <v>98</v>
      </c>
      <c r="E28" s="25"/>
      <c r="F28" s="130"/>
      <c r="G28" s="3"/>
      <c r="H28" s="3"/>
      <c r="I28" s="3"/>
      <c r="J28" s="3"/>
      <c r="K28" s="3"/>
      <c r="L28" s="3"/>
      <c r="M28" s="3"/>
      <c r="N28" s="3"/>
    </row>
    <row r="29" spans="2:14">
      <c r="B29" s="3"/>
      <c r="C29" s="3"/>
      <c r="D29" s="3"/>
      <c r="E29" s="3"/>
      <c r="F29" s="68"/>
      <c r="G29" s="3"/>
      <c r="H29" s="3"/>
      <c r="I29" s="3"/>
      <c r="J29" s="3"/>
      <c r="K29" s="3"/>
      <c r="L29" s="3"/>
      <c r="M29" s="3"/>
      <c r="N29" s="3"/>
    </row>
    <row r="30" spans="2:14">
      <c r="B30" s="3"/>
      <c r="C30" s="3"/>
      <c r="D30" s="3"/>
      <c r="E30" s="3"/>
      <c r="F30" s="68"/>
    </row>
    <row r="31" spans="2:14">
      <c r="D31" s="3"/>
      <c r="E31" s="3"/>
      <c r="F31" s="68"/>
    </row>
    <row r="32" spans="2:14">
      <c r="D32" s="3"/>
      <c r="E32" s="3"/>
      <c r="F32" s="68"/>
    </row>
    <row r="33" spans="4:6">
      <c r="D33" s="3"/>
      <c r="E33" s="3"/>
      <c r="F33" s="68"/>
    </row>
    <row r="34" spans="4:6">
      <c r="D34" s="3"/>
      <c r="E34" s="3"/>
      <c r="F34" s="68"/>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12.7109375" style="2" customWidth="1"/>
    <col min="4" max="4" width="2.85546875" style="2" customWidth="1"/>
    <col min="5" max="5" width="17.5703125" style="2" customWidth="1"/>
    <col min="6" max="6" width="10" style="15"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8" t="s">
        <v>382</v>
      </c>
      <c r="E1" s="3"/>
      <c r="F1" s="68"/>
      <c r="G1" s="3"/>
      <c r="H1" s="3"/>
      <c r="I1" s="3"/>
      <c r="J1" s="3"/>
      <c r="K1" s="3"/>
      <c r="L1" s="3"/>
      <c r="M1" s="3"/>
      <c r="N1" s="3"/>
    </row>
    <row r="2" spans="2:14">
      <c r="E2" s="3"/>
      <c r="F2" s="68"/>
      <c r="G2" s="3"/>
      <c r="H2" s="3"/>
      <c r="I2" s="3"/>
      <c r="J2" s="3"/>
      <c r="K2" s="3"/>
      <c r="L2" s="3"/>
      <c r="M2" s="3"/>
      <c r="N2" s="3"/>
    </row>
    <row r="3" spans="2:14">
      <c r="B3" s="3"/>
      <c r="C3" s="86"/>
      <c r="D3" s="24"/>
      <c r="E3" s="51"/>
      <c r="F3" s="125"/>
      <c r="G3" s="121"/>
      <c r="H3" s="108"/>
      <c r="I3" s="108"/>
      <c r="J3" s="108"/>
      <c r="K3" s="3"/>
      <c r="L3" s="126"/>
      <c r="M3" s="108"/>
      <c r="N3" s="3"/>
    </row>
    <row r="4" spans="2:14">
      <c r="C4" s="132"/>
      <c r="D4" s="6"/>
      <c r="E4" s="3"/>
      <c r="F4" s="72"/>
      <c r="G4" s="122"/>
      <c r="H4" s="123"/>
      <c r="I4" s="51"/>
      <c r="J4" s="70"/>
      <c r="K4" s="3"/>
      <c r="L4" s="71"/>
      <c r="M4" s="88"/>
      <c r="N4" s="3"/>
    </row>
    <row r="5" spans="2:14">
      <c r="D5" s="6"/>
      <c r="E5" s="3"/>
      <c r="F5" s="72"/>
      <c r="G5" s="122"/>
      <c r="H5" s="123"/>
      <c r="I5" s="51"/>
      <c r="J5" s="70"/>
      <c r="K5" s="3"/>
      <c r="L5" s="71"/>
      <c r="M5" s="88"/>
      <c r="N5" s="3"/>
    </row>
    <row r="6" spans="2:14">
      <c r="C6" s="79"/>
      <c r="D6" s="26"/>
      <c r="E6" s="3"/>
      <c r="F6" s="72"/>
      <c r="G6" s="122"/>
      <c r="H6" s="123"/>
      <c r="I6" s="51"/>
      <c r="J6" s="70"/>
      <c r="K6" s="3"/>
      <c r="L6" s="71"/>
      <c r="M6" s="88"/>
      <c r="N6" s="3"/>
    </row>
    <row r="7" spans="2:14">
      <c r="C7" s="80"/>
      <c r="D7" s="6"/>
      <c r="E7" s="3"/>
      <c r="F7" s="72"/>
      <c r="G7" s="122"/>
      <c r="H7" s="123"/>
      <c r="I7" s="51"/>
      <c r="J7" s="70"/>
      <c r="K7" s="3"/>
      <c r="L7" s="71"/>
      <c r="M7" s="88"/>
      <c r="N7" s="3"/>
    </row>
    <row r="8" spans="2:14">
      <c r="C8" s="50"/>
      <c r="D8" s="6"/>
      <c r="E8" s="3"/>
      <c r="F8" s="72"/>
      <c r="G8" s="122"/>
      <c r="H8" s="123"/>
      <c r="I8" s="51"/>
      <c r="J8" s="70"/>
      <c r="K8" s="3"/>
      <c r="L8" s="71"/>
      <c r="M8" s="88"/>
      <c r="N8" s="3"/>
    </row>
    <row r="9" spans="2:14">
      <c r="B9" s="3"/>
      <c r="C9" s="86"/>
      <c r="D9" s="6"/>
      <c r="E9" s="3"/>
      <c r="F9" s="72"/>
      <c r="G9" s="122"/>
      <c r="H9" s="123"/>
      <c r="I9" s="51"/>
      <c r="J9" s="70"/>
      <c r="K9" s="3"/>
      <c r="L9" s="71"/>
      <c r="M9" s="88"/>
      <c r="N9" s="3"/>
    </row>
    <row r="10" spans="2:14">
      <c r="B10" s="3"/>
      <c r="C10" s="86"/>
      <c r="D10" s="6"/>
      <c r="E10" s="3"/>
      <c r="F10" s="72"/>
      <c r="G10" s="122"/>
      <c r="H10" s="123"/>
      <c r="I10" s="51"/>
      <c r="J10" s="70"/>
      <c r="K10" s="3"/>
      <c r="L10" s="69"/>
      <c r="M10" s="3"/>
      <c r="N10" s="3"/>
    </row>
    <row r="11" spans="2:14">
      <c r="B11" s="3"/>
      <c r="C11" s="87"/>
      <c r="D11" s="6"/>
      <c r="E11" s="3"/>
      <c r="F11" s="72"/>
      <c r="G11" s="122"/>
      <c r="H11" s="123"/>
      <c r="I11" s="51"/>
      <c r="J11" s="70"/>
      <c r="K11" s="3"/>
      <c r="L11" s="84"/>
      <c r="M11" s="93"/>
      <c r="N11" s="3"/>
    </row>
    <row r="12" spans="2:14">
      <c r="B12" s="3"/>
      <c r="C12" s="3"/>
      <c r="D12" s="6"/>
      <c r="E12" s="3"/>
      <c r="F12" s="72"/>
      <c r="G12" s="122"/>
      <c r="H12" s="123"/>
      <c r="I12" s="51"/>
      <c r="J12" s="70"/>
      <c r="K12" s="3"/>
      <c r="L12" s="67"/>
      <c r="M12" s="93"/>
      <c r="N12" s="3"/>
    </row>
    <row r="13" spans="2:14">
      <c r="B13" s="3"/>
      <c r="C13" s="61"/>
      <c r="D13" s="6"/>
      <c r="E13" s="3"/>
      <c r="F13" s="72"/>
      <c r="G13" s="122"/>
      <c r="H13" s="123"/>
      <c r="I13" s="51"/>
      <c r="J13" s="70"/>
      <c r="K13" s="3"/>
      <c r="L13" s="3"/>
      <c r="M13" s="3"/>
      <c r="N13" s="3"/>
    </row>
    <row r="14" spans="2:14">
      <c r="B14" s="25"/>
      <c r="C14" s="25"/>
      <c r="D14" s="26"/>
      <c r="E14" s="3"/>
      <c r="F14" s="71"/>
      <c r="G14" s="9"/>
      <c r="H14" s="3"/>
      <c r="I14" s="51"/>
      <c r="J14" s="25"/>
      <c r="K14" s="3"/>
      <c r="L14" s="3"/>
      <c r="M14" s="3"/>
      <c r="N14" s="3"/>
    </row>
    <row r="15" spans="2:14">
      <c r="B15" s="3"/>
      <c r="C15" s="131"/>
      <c r="D15" s="6"/>
      <c r="E15" s="51"/>
      <c r="F15" s="67"/>
      <c r="G15" s="3"/>
      <c r="H15" s="3"/>
      <c r="I15" s="3"/>
      <c r="J15" s="3"/>
      <c r="K15" s="3"/>
      <c r="L15" s="3"/>
      <c r="M15" s="3"/>
      <c r="N15" s="3"/>
    </row>
    <row r="16" spans="2:14">
      <c r="B16" s="3"/>
      <c r="C16" s="3"/>
      <c r="D16" s="6"/>
      <c r="E16" s="51"/>
      <c r="F16" s="84"/>
      <c r="G16" s="85"/>
      <c r="H16" s="49"/>
      <c r="I16" s="3"/>
      <c r="J16" s="3"/>
      <c r="K16" s="3"/>
      <c r="L16" s="3"/>
      <c r="M16" s="3"/>
      <c r="N16" s="3"/>
    </row>
    <row r="17" spans="2:14">
      <c r="B17" s="3"/>
      <c r="C17" s="80"/>
      <c r="D17" s="6"/>
      <c r="E17" s="51"/>
      <c r="F17" s="67"/>
      <c r="G17" s="85"/>
      <c r="H17" s="3"/>
      <c r="I17" s="3"/>
      <c r="J17" s="3"/>
      <c r="K17" s="3"/>
      <c r="L17" s="3"/>
      <c r="M17" s="3"/>
      <c r="N17" s="3"/>
    </row>
    <row r="18" spans="2:14">
      <c r="B18" s="3"/>
      <c r="C18" s="3"/>
      <c r="D18" s="26"/>
      <c r="E18" s="51"/>
      <c r="F18" s="67"/>
      <c r="G18" s="3"/>
      <c r="H18" s="3"/>
      <c r="I18" s="3"/>
      <c r="J18" s="3"/>
      <c r="K18" s="3"/>
      <c r="L18" s="3"/>
      <c r="M18" s="3"/>
      <c r="N18" s="3"/>
    </row>
    <row r="19" spans="2:14">
      <c r="B19" s="25"/>
      <c r="C19" s="25"/>
      <c r="D19" s="6"/>
      <c r="E19" s="51"/>
      <c r="F19" s="67"/>
      <c r="G19" s="3"/>
      <c r="H19" s="3"/>
      <c r="I19" s="3"/>
      <c r="J19" s="3"/>
      <c r="K19" s="3"/>
      <c r="L19" s="3"/>
      <c r="M19" s="3"/>
      <c r="N19" s="3"/>
    </row>
    <row r="20" spans="2:14">
      <c r="B20" s="3"/>
      <c r="C20" s="3"/>
      <c r="D20" s="6"/>
      <c r="E20" s="124"/>
      <c r="F20" s="126"/>
      <c r="G20" s="126"/>
      <c r="H20" s="126"/>
      <c r="I20" s="126"/>
      <c r="J20" s="126"/>
      <c r="K20" s="126"/>
      <c r="L20" s="3"/>
      <c r="M20" s="3"/>
      <c r="N20" s="3"/>
    </row>
    <row r="21" spans="2:14">
      <c r="B21" s="3"/>
      <c r="C21" s="3"/>
      <c r="D21" s="6"/>
      <c r="E21" s="104"/>
      <c r="F21" s="127"/>
      <c r="G21" s="9"/>
      <c r="H21" s="9"/>
      <c r="I21" s="9"/>
      <c r="J21" s="9"/>
      <c r="K21" s="9"/>
      <c r="L21" s="3"/>
      <c r="M21" s="3"/>
      <c r="N21" s="3"/>
    </row>
    <row r="22" spans="2:14">
      <c r="B22" s="3"/>
      <c r="C22" s="3"/>
      <c r="D22" s="6"/>
      <c r="E22" s="51"/>
      <c r="F22" s="68"/>
      <c r="G22" s="68"/>
      <c r="H22" s="68"/>
      <c r="I22" s="105"/>
      <c r="J22" s="67"/>
      <c r="K22" s="68"/>
      <c r="L22" s="3"/>
      <c r="M22" s="3"/>
      <c r="N22" s="3"/>
    </row>
    <row r="23" spans="2:14">
      <c r="B23" s="25"/>
      <c r="C23" s="25"/>
      <c r="D23" s="26"/>
      <c r="E23" s="51"/>
      <c r="F23" s="3"/>
      <c r="G23" s="3"/>
      <c r="H23" s="3"/>
      <c r="I23" s="3"/>
      <c r="J23" s="3"/>
      <c r="K23" s="3"/>
      <c r="L23" s="128"/>
      <c r="M23" s="3"/>
      <c r="N23" s="3"/>
    </row>
    <row r="24" spans="2:14">
      <c r="B24" s="3"/>
      <c r="C24" s="3"/>
      <c r="D24" s="6"/>
      <c r="E24" s="51"/>
      <c r="F24" s="3"/>
      <c r="G24" s="3"/>
      <c r="H24" s="3"/>
      <c r="I24" s="3"/>
      <c r="J24" s="3"/>
      <c r="K24" s="3"/>
      <c r="L24" s="3"/>
      <c r="M24" s="3"/>
      <c r="N24" s="3"/>
    </row>
    <row r="25" spans="2:14">
      <c r="B25" s="3"/>
      <c r="C25" s="3"/>
      <c r="D25" s="6"/>
      <c r="E25" s="6"/>
      <c r="F25" s="68"/>
      <c r="G25" s="3"/>
      <c r="H25" s="84"/>
      <c r="I25" s="85"/>
      <c r="J25" s="3"/>
      <c r="K25" s="3"/>
      <c r="L25" s="3"/>
      <c r="M25" s="3"/>
      <c r="N25" s="3"/>
    </row>
    <row r="26" spans="2:14">
      <c r="B26" s="3"/>
      <c r="C26" s="3"/>
      <c r="D26" s="6"/>
      <c r="E26" s="26"/>
      <c r="F26" s="50"/>
      <c r="G26" s="3"/>
      <c r="H26" s="67"/>
      <c r="I26" s="85"/>
      <c r="J26" s="3"/>
      <c r="K26" s="3"/>
      <c r="L26" s="129"/>
      <c r="M26" s="3"/>
      <c r="N26" s="3"/>
    </row>
    <row r="27" spans="2:14">
      <c r="B27" s="3"/>
      <c r="C27" s="3"/>
      <c r="D27" s="26"/>
      <c r="E27" s="25"/>
      <c r="F27" s="130"/>
      <c r="G27" s="3"/>
      <c r="H27" s="3"/>
      <c r="I27" s="3"/>
      <c r="J27" s="3"/>
      <c r="K27" s="3"/>
      <c r="L27" s="3"/>
      <c r="M27" s="3"/>
      <c r="N27" s="3"/>
    </row>
    <row r="28" spans="2:14">
      <c r="B28" s="3"/>
      <c r="C28" s="3"/>
      <c r="D28" s="9"/>
      <c r="E28" s="25"/>
      <c r="F28" s="130"/>
      <c r="G28" s="3"/>
      <c r="H28" s="3"/>
      <c r="I28" s="3"/>
      <c r="J28" s="3"/>
      <c r="K28" s="3"/>
      <c r="L28" s="3"/>
      <c r="M28" s="3"/>
      <c r="N28" s="3"/>
    </row>
    <row r="29" spans="2:14">
      <c r="B29" s="3"/>
      <c r="C29" s="3"/>
      <c r="D29" s="3"/>
      <c r="E29" s="3"/>
      <c r="F29" s="68"/>
      <c r="G29" s="3"/>
      <c r="H29" s="3"/>
      <c r="I29" s="3"/>
      <c r="J29" s="3"/>
      <c r="K29" s="3"/>
      <c r="L29" s="3"/>
      <c r="M29" s="3"/>
      <c r="N29" s="3"/>
    </row>
    <row r="30" spans="2:14">
      <c r="B30" s="3"/>
      <c r="C30" s="3"/>
      <c r="D30" s="3"/>
      <c r="E30" s="3"/>
      <c r="F30" s="68"/>
    </row>
    <row r="31" spans="2:14">
      <c r="D31" s="3"/>
      <c r="E31" s="3"/>
      <c r="F31" s="68"/>
    </row>
    <row r="32" spans="2:14">
      <c r="D32" s="3"/>
      <c r="E32" s="3"/>
      <c r="F32" s="68"/>
    </row>
    <row r="33" spans="4:6">
      <c r="D33" s="3"/>
      <c r="E33" s="3"/>
      <c r="F33" s="68"/>
    </row>
    <row r="34" spans="4:6">
      <c r="D34" s="3"/>
      <c r="E34" s="3"/>
      <c r="F34" s="68"/>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C29"/>
  <sheetViews>
    <sheetView workbookViewId="0">
      <pane xSplit="3" ySplit="4" topLeftCell="D5" activePane="bottomRight" state="frozen"/>
      <selection pane="topRight" activeCell="D1" sqref="D1"/>
      <selection pane="bottomLeft" activeCell="A5" sqref="A5"/>
      <selection pane="bottomRight"/>
    </sheetView>
  </sheetViews>
  <sheetFormatPr defaultRowHeight="12"/>
  <cols>
    <col min="1" max="1" width="2" style="1" customWidth="1"/>
    <col min="2" max="2" width="10" style="1" customWidth="1"/>
    <col min="3" max="3" width="26" style="1" customWidth="1"/>
    <col min="4" max="16384" width="9.140625" style="1"/>
  </cols>
  <sheetData>
    <row r="1" spans="2:3" ht="15.75">
      <c r="B1" s="40" t="s">
        <v>195</v>
      </c>
      <c r="C1" s="11"/>
    </row>
    <row r="2" spans="2:3">
      <c r="B2" s="41"/>
      <c r="C2" s="11"/>
    </row>
    <row r="3" spans="2:3">
      <c r="B3" s="11"/>
      <c r="C3" s="11"/>
    </row>
    <row r="4" spans="2:3">
      <c r="B4" s="66" t="s">
        <v>0</v>
      </c>
      <c r="C4" s="66" t="s">
        <v>1</v>
      </c>
    </row>
    <row r="5" spans="2:3">
      <c r="B5" s="44">
        <v>1</v>
      </c>
      <c r="C5" s="45" t="s">
        <v>16</v>
      </c>
    </row>
    <row r="6" spans="2:3">
      <c r="B6" s="42">
        <f>B5+1</f>
        <v>2</v>
      </c>
      <c r="C6" s="43" t="s">
        <v>19</v>
      </c>
    </row>
    <row r="7" spans="2:3">
      <c r="B7" s="42">
        <f t="shared" ref="B7:B26" si="0">B6+1</f>
        <v>3</v>
      </c>
      <c r="C7" s="43" t="s">
        <v>20</v>
      </c>
    </row>
    <row r="8" spans="2:3">
      <c r="B8" s="42">
        <f t="shared" si="0"/>
        <v>4</v>
      </c>
      <c r="C8" s="43" t="s">
        <v>14</v>
      </c>
    </row>
    <row r="9" spans="2:3">
      <c r="B9" s="42">
        <f t="shared" si="0"/>
        <v>5</v>
      </c>
      <c r="C9" s="43" t="s">
        <v>175</v>
      </c>
    </row>
    <row r="10" spans="2:3">
      <c r="B10" s="42">
        <f t="shared" si="0"/>
        <v>6</v>
      </c>
      <c r="C10" s="43" t="s">
        <v>8</v>
      </c>
    </row>
    <row r="11" spans="2:3">
      <c r="B11" s="42">
        <f t="shared" si="0"/>
        <v>7</v>
      </c>
      <c r="C11" s="45" t="s">
        <v>193</v>
      </c>
    </row>
    <row r="12" spans="2:3">
      <c r="B12" s="42">
        <f t="shared" si="0"/>
        <v>8</v>
      </c>
      <c r="C12" s="43" t="s">
        <v>206</v>
      </c>
    </row>
    <row r="13" spans="2:3">
      <c r="B13" s="42">
        <f t="shared" si="0"/>
        <v>9</v>
      </c>
      <c r="C13" s="43" t="s">
        <v>368</v>
      </c>
    </row>
    <row r="14" spans="2:3">
      <c r="B14" s="42">
        <f t="shared" si="0"/>
        <v>10</v>
      </c>
      <c r="C14" s="43" t="s">
        <v>215</v>
      </c>
    </row>
    <row r="15" spans="2:3">
      <c r="B15" s="42">
        <f t="shared" si="0"/>
        <v>11</v>
      </c>
      <c r="C15" s="43" t="s">
        <v>237</v>
      </c>
    </row>
    <row r="16" spans="2:3">
      <c r="B16" s="42">
        <f t="shared" si="0"/>
        <v>12</v>
      </c>
      <c r="C16" s="45" t="s">
        <v>259</v>
      </c>
    </row>
    <row r="17" spans="2:3">
      <c r="B17" s="42">
        <f t="shared" si="0"/>
        <v>13</v>
      </c>
      <c r="C17" s="43" t="s">
        <v>256</v>
      </c>
    </row>
    <row r="18" spans="2:3">
      <c r="B18" s="42">
        <f t="shared" si="0"/>
        <v>14</v>
      </c>
      <c r="C18" s="43" t="s">
        <v>257</v>
      </c>
    </row>
    <row r="19" spans="2:3">
      <c r="B19" s="42">
        <f t="shared" si="0"/>
        <v>15</v>
      </c>
      <c r="C19" s="43" t="s">
        <v>258</v>
      </c>
    </row>
    <row r="20" spans="2:3">
      <c r="B20" s="42">
        <f t="shared" si="0"/>
        <v>16</v>
      </c>
      <c r="C20" s="45" t="s">
        <v>367</v>
      </c>
    </row>
    <row r="21" spans="2:3">
      <c r="B21" s="42">
        <f t="shared" si="0"/>
        <v>17</v>
      </c>
      <c r="C21" s="43" t="s">
        <v>342</v>
      </c>
    </row>
    <row r="22" spans="2:3">
      <c r="B22" s="42">
        <f t="shared" si="0"/>
        <v>18</v>
      </c>
      <c r="C22" s="43" t="s">
        <v>347</v>
      </c>
    </row>
    <row r="23" spans="2:3">
      <c r="B23" s="42">
        <f t="shared" si="0"/>
        <v>19</v>
      </c>
      <c r="C23" s="43" t="s">
        <v>363</v>
      </c>
    </row>
    <row r="24" spans="2:3">
      <c r="B24" s="42">
        <f t="shared" si="0"/>
        <v>20</v>
      </c>
      <c r="C24" s="43" t="s">
        <v>364</v>
      </c>
    </row>
    <row r="25" spans="2:3">
      <c r="B25" s="42">
        <f t="shared" si="0"/>
        <v>21</v>
      </c>
      <c r="C25" s="43" t="s">
        <v>365</v>
      </c>
    </row>
    <row r="26" spans="2:3">
      <c r="B26" s="42">
        <f t="shared" si="0"/>
        <v>22</v>
      </c>
      <c r="C26" s="43" t="s">
        <v>366</v>
      </c>
    </row>
    <row r="27" spans="2:3">
      <c r="B27" s="42"/>
      <c r="C27" s="43"/>
    </row>
    <row r="28" spans="2:3">
      <c r="B28" s="42"/>
      <c r="C28" s="43"/>
    </row>
    <row r="29" spans="2:3">
      <c r="B29" s="11"/>
      <c r="C29" s="11"/>
    </row>
  </sheetData>
  <hyperlinks>
    <hyperlink ref="C17" location="'Expected Growth Rate'!A1" display="Expected Growth Rate"/>
    <hyperlink ref="C18" location="'Future Cashflows (10 Yrs)'!A1" display="Future Cash Flows (10 Yrs)"/>
    <hyperlink ref="C19" location="'Terminal Value'!A1" display="Terminal Value"/>
    <hyperlink ref="C21" location="'Cash &amp; Marketable Securities'!A1" display="Cash and Marketable Securities"/>
    <hyperlink ref="C22" location="'Value of Cross Holdings'!A1" display="Value of Cross Holdings"/>
    <hyperlink ref="C23" location="'Trent HyperMarket Pvt Ltd'!A1" display="Trent HyperMarket"/>
    <hyperlink ref="C24" location="'Massimo Dutti Pvt Ltd'!A1" display="Massimo Dutti"/>
    <hyperlink ref="C25" location="'Inditex Retail Pvt Ltd'!A1" display="Inditex Retail Ltd"/>
    <hyperlink ref="C7" location="'Equity Risk Premium'!A1" display="Equity Risk Premium"/>
    <hyperlink ref="C8" location="'BS assumptions'!A1" display="BS assumptions"/>
    <hyperlink ref="C10" location="WACC!A1" display="WACC"/>
    <hyperlink ref="C9" location="'Cost of Equity &amp; Debt'!A1" display="Cost of Equity &amp; Debt"/>
    <hyperlink ref="C6" location="'Risk Free Rate'!A1" display="Risk Free Rate"/>
    <hyperlink ref="C26" location="'Fair Value of Share'!A1" display="Fair Value of Share"/>
    <hyperlink ref="C12" location="'EBIT &amp; Operating Lease'!A1" display="EBIT &amp; Operating Lease"/>
    <hyperlink ref="C13" location="'Net CapEx'!A1" display="Reinvestment (Net CapEx)"/>
    <hyperlink ref="C14" location="'Working Capital Changes'!A1" display="Working Capital Changes"/>
    <hyperlink ref="C15" location="'FCFF &amp; FCFE'!A1" display="FCFE &amp; FCFF"/>
  </hyperlink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4"/>
  <sheetViews>
    <sheetView tabSelected="1" zoomScaleNormal="100" workbookViewId="0"/>
  </sheetViews>
  <sheetFormatPr defaultRowHeight="12"/>
  <cols>
    <col min="1" max="1" width="2" style="2" customWidth="1"/>
    <col min="2" max="2" width="34.85546875" style="2" customWidth="1"/>
    <col min="3" max="3" width="9.140625" style="2"/>
    <col min="4" max="4" width="10.28515625" style="2" customWidth="1"/>
    <col min="5" max="5" width="11.5703125" style="2" bestFit="1" customWidth="1"/>
    <col min="6" max="6" width="18.85546875" style="2" customWidth="1"/>
    <col min="7" max="7" width="2.7109375" style="2" customWidth="1"/>
    <col min="8" max="8" width="30.42578125" style="2" customWidth="1"/>
    <col min="9" max="16384" width="9.140625" style="2"/>
  </cols>
  <sheetData>
    <row r="1" spans="2:13" ht="15.75">
      <c r="B1" s="18" t="s">
        <v>284</v>
      </c>
    </row>
    <row r="3" spans="2:13">
      <c r="B3" s="25"/>
      <c r="C3" s="25"/>
      <c r="D3" s="24"/>
      <c r="E3" s="53" t="s">
        <v>54</v>
      </c>
      <c r="F3" s="54" t="s">
        <v>55</v>
      </c>
      <c r="I3" s="3"/>
      <c r="J3" s="3"/>
      <c r="K3" s="3"/>
    </row>
    <row r="4" spans="2:13">
      <c r="B4" s="20" t="s">
        <v>19</v>
      </c>
      <c r="C4" s="58">
        <f>C6-C8</f>
        <v>5.722E-2</v>
      </c>
      <c r="D4" s="6"/>
      <c r="E4" s="53" t="s">
        <v>39</v>
      </c>
      <c r="F4" s="14">
        <v>0</v>
      </c>
      <c r="I4" s="3"/>
      <c r="J4" s="3"/>
      <c r="K4" s="3"/>
    </row>
    <row r="5" spans="2:13">
      <c r="B5" s="3"/>
      <c r="C5" s="3"/>
      <c r="D5" s="6"/>
      <c r="E5" s="53" t="s">
        <v>40</v>
      </c>
      <c r="F5" s="14">
        <v>3.3999999999999998E-3</v>
      </c>
      <c r="I5" s="3"/>
      <c r="J5" s="3"/>
      <c r="K5" s="3"/>
      <c r="M5" s="3"/>
    </row>
    <row r="6" spans="2:13">
      <c r="B6" s="20" t="s">
        <v>21</v>
      </c>
      <c r="C6" s="59">
        <v>7.5920000000000001E-2</v>
      </c>
      <c r="D6" s="26"/>
      <c r="E6" s="53" t="s">
        <v>33</v>
      </c>
      <c r="F6" s="14">
        <v>4.1999999999999997E-3</v>
      </c>
      <c r="I6" s="3"/>
      <c r="J6" s="3"/>
      <c r="K6" s="3"/>
    </row>
    <row r="7" spans="2:13">
      <c r="B7" s="20" t="s">
        <v>22</v>
      </c>
      <c r="C7" s="60" t="s">
        <v>52</v>
      </c>
      <c r="D7" s="6"/>
      <c r="E7" s="53" t="s">
        <v>44</v>
      </c>
      <c r="F7" s="14">
        <v>5.1000000000000004E-3</v>
      </c>
      <c r="I7" s="3"/>
      <c r="J7" s="3"/>
      <c r="K7" s="3"/>
    </row>
    <row r="8" spans="2:13">
      <c r="B8" s="20" t="s">
        <v>23</v>
      </c>
      <c r="C8" s="57">
        <f>VLOOKUP(C7,$E$3:$F$24,2,0)</f>
        <v>1.8700000000000001E-2</v>
      </c>
      <c r="D8" s="6"/>
      <c r="E8" s="53" t="s">
        <v>49</v>
      </c>
      <c r="F8" s="50">
        <v>6.0000000000000001E-3</v>
      </c>
      <c r="I8" s="3"/>
      <c r="J8" s="3"/>
      <c r="K8" s="3"/>
    </row>
    <row r="9" spans="2:13">
      <c r="B9" s="3"/>
      <c r="C9" s="3"/>
      <c r="D9" s="6"/>
      <c r="E9" s="53" t="s">
        <v>46</v>
      </c>
      <c r="F9" s="14">
        <v>7.1999999999999998E-3</v>
      </c>
      <c r="I9" s="3"/>
      <c r="J9" s="3"/>
      <c r="K9" s="3"/>
    </row>
    <row r="10" spans="2:13">
      <c r="B10" s="56" t="s">
        <v>57</v>
      </c>
      <c r="C10" s="25"/>
      <c r="D10" s="6"/>
      <c r="E10" s="53" t="s">
        <v>47</v>
      </c>
      <c r="F10" s="14">
        <v>1.0200000000000001E-2</v>
      </c>
      <c r="I10" s="3"/>
      <c r="J10" s="3"/>
      <c r="K10" s="3"/>
    </row>
    <row r="11" spans="2:13">
      <c r="B11" s="3"/>
      <c r="C11" s="3"/>
      <c r="D11" s="6"/>
      <c r="E11" s="53" t="s">
        <v>48</v>
      </c>
      <c r="F11" s="14">
        <v>1.3599999999999999E-2</v>
      </c>
      <c r="I11" s="3"/>
      <c r="J11" s="3"/>
      <c r="K11" s="3"/>
    </row>
    <row r="12" spans="2:13">
      <c r="B12" s="52" t="s">
        <v>56</v>
      </c>
      <c r="C12" s="3"/>
      <c r="D12" s="6"/>
      <c r="E12" s="53" t="s">
        <v>35</v>
      </c>
      <c r="F12" s="14">
        <v>1.6199999999999999E-2</v>
      </c>
      <c r="I12" s="3"/>
      <c r="J12" s="3"/>
      <c r="K12" s="3"/>
    </row>
    <row r="13" spans="2:13">
      <c r="B13" s="55" t="s">
        <v>24</v>
      </c>
      <c r="C13" s="3"/>
      <c r="D13" s="6"/>
      <c r="E13" s="53" t="s">
        <v>52</v>
      </c>
      <c r="F13" s="14">
        <v>1.8700000000000001E-2</v>
      </c>
    </row>
    <row r="14" spans="2:13">
      <c r="B14" s="55" t="s">
        <v>25</v>
      </c>
      <c r="C14" s="25"/>
      <c r="D14" s="26"/>
      <c r="E14" s="53" t="s">
        <v>51</v>
      </c>
      <c r="F14" s="14">
        <v>2.1299999999999999E-2</v>
      </c>
    </row>
    <row r="15" spans="2:13">
      <c r="B15" s="55" t="s">
        <v>26</v>
      </c>
      <c r="C15" s="3"/>
      <c r="D15" s="6"/>
      <c r="E15" s="53" t="s">
        <v>41</v>
      </c>
      <c r="F15" s="14">
        <v>2.5600000000000001E-2</v>
      </c>
    </row>
    <row r="16" spans="2:13">
      <c r="B16" s="55" t="s">
        <v>27</v>
      </c>
      <c r="C16" s="3"/>
      <c r="D16" s="6"/>
      <c r="E16" s="53" t="s">
        <v>38</v>
      </c>
      <c r="F16" s="14">
        <v>3.0599999999999999E-2</v>
      </c>
    </row>
    <row r="17" spans="2:9">
      <c r="B17" s="55" t="s">
        <v>28</v>
      </c>
      <c r="C17" s="3"/>
      <c r="D17" s="6"/>
      <c r="E17" s="53" t="s">
        <v>34</v>
      </c>
      <c r="F17" s="14">
        <v>3.8300000000000001E-2</v>
      </c>
    </row>
    <row r="18" spans="2:9">
      <c r="B18" s="55" t="s">
        <v>29</v>
      </c>
      <c r="C18" s="3"/>
      <c r="D18" s="26"/>
      <c r="E18" s="53" t="s">
        <v>42</v>
      </c>
      <c r="F18" s="14">
        <v>4.6800000000000001E-2</v>
      </c>
    </row>
    <row r="19" spans="2:9">
      <c r="B19" s="55" t="s">
        <v>30</v>
      </c>
      <c r="C19" s="25"/>
      <c r="D19" s="6"/>
      <c r="E19" s="53" t="s">
        <v>36</v>
      </c>
      <c r="F19" s="14">
        <v>5.5300000000000002E-2</v>
      </c>
    </row>
    <row r="20" spans="2:9">
      <c r="B20" s="55" t="s">
        <v>31</v>
      </c>
      <c r="C20" s="3"/>
      <c r="D20" s="6"/>
      <c r="E20" s="53" t="s">
        <v>43</v>
      </c>
      <c r="F20" s="14">
        <v>6.3799999999999996E-2</v>
      </c>
    </row>
    <row r="21" spans="2:9">
      <c r="B21" s="55" t="s">
        <v>32</v>
      </c>
      <c r="C21" s="3"/>
      <c r="D21" s="6"/>
      <c r="E21" s="53" t="s">
        <v>50</v>
      </c>
      <c r="F21" s="14">
        <v>7.6600000000000001E-2</v>
      </c>
    </row>
    <row r="22" spans="2:9">
      <c r="B22" s="3"/>
      <c r="C22" s="3"/>
      <c r="D22" s="6"/>
      <c r="E22" s="53" t="s">
        <v>45</v>
      </c>
      <c r="F22" s="14">
        <v>8.5099999999999995E-2</v>
      </c>
    </row>
    <row r="23" spans="2:9">
      <c r="B23" s="25"/>
      <c r="C23" s="25"/>
      <c r="D23" s="26"/>
      <c r="E23" s="53" t="s">
        <v>37</v>
      </c>
      <c r="F23" s="14">
        <v>0.1021</v>
      </c>
      <c r="I23" s="4"/>
    </row>
    <row r="24" spans="2:9">
      <c r="B24" s="3"/>
      <c r="C24" s="3"/>
      <c r="D24" s="6"/>
      <c r="E24" s="53" t="s">
        <v>53</v>
      </c>
      <c r="F24" s="14">
        <v>0.17499999999999999</v>
      </c>
    </row>
    <row r="25" spans="2:9">
      <c r="B25" s="3"/>
      <c r="C25" s="3"/>
      <c r="D25" s="6"/>
      <c r="E25" s="6"/>
    </row>
    <row r="26" spans="2:9">
      <c r="B26" s="3"/>
      <c r="C26" s="3"/>
      <c r="D26" s="6"/>
      <c r="E26" s="6"/>
    </row>
    <row r="27" spans="2:9">
      <c r="B27" s="3"/>
      <c r="C27" s="3"/>
      <c r="D27" s="26"/>
      <c r="E27" s="26"/>
      <c r="F27" s="26"/>
    </row>
    <row r="28" spans="2:9">
      <c r="B28" s="3"/>
      <c r="C28" s="3"/>
      <c r="D28" s="3"/>
      <c r="E28" s="3"/>
      <c r="F28" s="3"/>
    </row>
    <row r="29" spans="2:9">
      <c r="B29" s="3"/>
      <c r="C29" s="3"/>
      <c r="D29" s="3"/>
      <c r="E29" s="3"/>
      <c r="F29" s="3"/>
    </row>
    <row r="30" spans="2:9">
      <c r="B30" s="3"/>
      <c r="C30" s="3"/>
      <c r="D30" s="3"/>
      <c r="E30" s="3"/>
      <c r="F30" s="3"/>
    </row>
    <row r="31" spans="2:9">
      <c r="D31" s="3"/>
      <c r="E31" s="3"/>
      <c r="F31" s="3"/>
    </row>
    <row r="32" spans="2:9">
      <c r="D32" s="3"/>
      <c r="E32" s="3"/>
      <c r="F32" s="3"/>
    </row>
    <row r="33" spans="4:6">
      <c r="D33" s="3"/>
      <c r="E33" s="3"/>
      <c r="F33" s="3"/>
    </row>
    <row r="34" spans="4:6">
      <c r="D34" s="3"/>
      <c r="E34" s="3"/>
      <c r="F34" s="3"/>
    </row>
  </sheetData>
  <sortState ref="E4:F24">
    <sortCondition ref="F6"/>
  </sortState>
  <conditionalFormatting sqref="F4:F24">
    <cfRule type="colorScale" priority="1">
      <colorScale>
        <cfvo type="min"/>
        <cfvo type="percentile" val="50"/>
        <cfvo type="max"/>
        <color rgb="FF63BE7B"/>
        <color rgb="FFFFEB84"/>
        <color rgb="FFF8696B"/>
      </colorScale>
    </cfRule>
  </conditionalFormatting>
  <pageMargins left="0.7" right="0.7" top="0.75" bottom="0.75" header="0.3" footer="0.3"/>
  <pageSetup paperSize="11"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4"/>
  <sheetViews>
    <sheetView zoomScaleNormal="100" workbookViewId="0"/>
  </sheetViews>
  <sheetFormatPr defaultRowHeight="12"/>
  <cols>
    <col min="1" max="1" width="2" style="2" customWidth="1"/>
    <col min="2" max="2" width="36.42578125" style="2" customWidth="1"/>
    <col min="3" max="3" width="10" style="2" bestFit="1" customWidth="1"/>
    <col min="4" max="4" width="2.85546875" style="2" customWidth="1"/>
    <col min="5" max="5" width="18.5703125" style="2" customWidth="1"/>
    <col min="6" max="6" width="10" style="15"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3" ht="15.75">
      <c r="B1" s="18" t="s">
        <v>20</v>
      </c>
    </row>
    <row r="3" spans="2:13">
      <c r="B3" s="20" t="s">
        <v>60</v>
      </c>
      <c r="C3" s="94">
        <f>G13</f>
        <v>189.17</v>
      </c>
      <c r="D3" s="24"/>
      <c r="E3" s="51"/>
      <c r="F3" s="74" t="s">
        <v>59</v>
      </c>
      <c r="G3" s="75" t="s">
        <v>61</v>
      </c>
      <c r="H3" s="77" t="s">
        <v>62</v>
      </c>
      <c r="I3" s="77" t="s">
        <v>65</v>
      </c>
      <c r="J3" s="77" t="s">
        <v>92</v>
      </c>
      <c r="K3" s="3"/>
      <c r="L3" s="91" t="s">
        <v>59</v>
      </c>
      <c r="M3" s="77" t="s">
        <v>88</v>
      </c>
    </row>
    <row r="4" spans="2:13">
      <c r="B4" s="32" t="s">
        <v>66</v>
      </c>
      <c r="C4" s="99">
        <f>J14/I14</f>
        <v>138.95218181818183</v>
      </c>
      <c r="D4" s="6"/>
      <c r="F4" s="73" t="s">
        <v>70</v>
      </c>
      <c r="G4" s="76">
        <v>77.72</v>
      </c>
      <c r="H4" s="78">
        <v>1.47E-2</v>
      </c>
      <c r="I4" s="53">
        <v>1</v>
      </c>
      <c r="J4" s="82">
        <f t="shared" ref="J4:J13" si="0">G4*I4</f>
        <v>77.72</v>
      </c>
      <c r="K4" s="3"/>
      <c r="L4" s="89" t="s">
        <v>80</v>
      </c>
      <c r="M4" s="90">
        <f>C11</f>
        <v>0.172634108417556</v>
      </c>
    </row>
    <row r="5" spans="2:13">
      <c r="D5" s="6"/>
      <c r="F5" s="73" t="s">
        <v>71</v>
      </c>
      <c r="G5" s="76">
        <v>97.24</v>
      </c>
      <c r="H5" s="78">
        <v>1.37E-2</v>
      </c>
      <c r="I5" s="53">
        <v>2</v>
      </c>
      <c r="J5" s="82">
        <f t="shared" si="0"/>
        <v>194.48</v>
      </c>
      <c r="K5" s="3"/>
      <c r="L5" s="89" t="s">
        <v>81</v>
      </c>
      <c r="M5" s="90">
        <f>(M4+M6)/2</f>
        <v>0.146583081313167</v>
      </c>
    </row>
    <row r="6" spans="2:13">
      <c r="B6" s="32" t="s">
        <v>64</v>
      </c>
      <c r="C6" s="95">
        <f>H13</f>
        <v>1.11E-2</v>
      </c>
      <c r="D6" s="26"/>
      <c r="F6" s="73" t="s">
        <v>72</v>
      </c>
      <c r="G6" s="76">
        <v>122.26</v>
      </c>
      <c r="H6" s="78">
        <v>1.2800000000000001E-2</v>
      </c>
      <c r="I6" s="53">
        <v>3</v>
      </c>
      <c r="J6" s="82">
        <f t="shared" si="0"/>
        <v>366.78000000000003</v>
      </c>
      <c r="K6" s="3"/>
      <c r="L6" s="89" t="s">
        <v>82</v>
      </c>
      <c r="M6" s="90">
        <f>(M4+M8)/2</f>
        <v>0.12053205420877799</v>
      </c>
    </row>
    <row r="7" spans="2:13">
      <c r="B7" s="32" t="s">
        <v>63</v>
      </c>
      <c r="C7" s="96">
        <f>AVERAGE(H4:H13)</f>
        <v>1.315E-2</v>
      </c>
      <c r="D7" s="6"/>
      <c r="F7" s="73" t="s">
        <v>73</v>
      </c>
      <c r="G7" s="76">
        <v>121.01</v>
      </c>
      <c r="H7" s="78">
        <v>1.49E-2</v>
      </c>
      <c r="I7" s="53">
        <v>4</v>
      </c>
      <c r="J7" s="82">
        <f t="shared" si="0"/>
        <v>484.04</v>
      </c>
      <c r="K7" s="3"/>
      <c r="L7" s="89" t="s">
        <v>83</v>
      </c>
      <c r="M7" s="90">
        <f>(M6+M8)/2</f>
        <v>9.4481027104388993E-2</v>
      </c>
    </row>
    <row r="8" spans="2:13">
      <c r="C8" s="50"/>
      <c r="D8" s="6"/>
      <c r="F8" s="73" t="s">
        <v>74</v>
      </c>
      <c r="G8" s="76">
        <v>112.54</v>
      </c>
      <c r="H8" s="78">
        <v>1.23E-2</v>
      </c>
      <c r="I8" s="53">
        <v>5</v>
      </c>
      <c r="J8" s="82">
        <f t="shared" si="0"/>
        <v>562.70000000000005</v>
      </c>
      <c r="K8" s="3"/>
      <c r="L8" s="89" t="s">
        <v>84</v>
      </c>
      <c r="M8" s="90">
        <v>6.8430000000000005E-2</v>
      </c>
    </row>
    <row r="9" spans="2:13">
      <c r="B9" s="20" t="s">
        <v>85</v>
      </c>
      <c r="C9" s="97">
        <v>282.98</v>
      </c>
      <c r="D9" s="6"/>
      <c r="F9" s="73" t="s">
        <v>75</v>
      </c>
      <c r="G9" s="76">
        <v>137.75</v>
      </c>
      <c r="H9" s="78">
        <v>1.2500000000000001E-2</v>
      </c>
      <c r="I9" s="53">
        <v>6</v>
      </c>
      <c r="J9" s="82">
        <f t="shared" si="0"/>
        <v>826.5</v>
      </c>
      <c r="K9" s="3"/>
      <c r="L9" s="71"/>
      <c r="M9" s="92">
        <f>AVERAGE(M4:M8)</f>
        <v>0.12053205420877799</v>
      </c>
    </row>
    <row r="10" spans="2:13">
      <c r="B10" s="20" t="s">
        <v>86</v>
      </c>
      <c r="C10" s="97">
        <v>771.5</v>
      </c>
      <c r="D10" s="6"/>
      <c r="F10" s="73" t="s">
        <v>76</v>
      </c>
      <c r="G10" s="76">
        <v>142.54</v>
      </c>
      <c r="H10" s="78">
        <v>1.1299999999999999E-2</v>
      </c>
      <c r="I10" s="53">
        <v>7</v>
      </c>
      <c r="J10" s="82">
        <f t="shared" si="0"/>
        <v>997.78</v>
      </c>
      <c r="K10" s="3"/>
      <c r="L10" s="69"/>
    </row>
    <row r="11" spans="2:13">
      <c r="B11" s="20" t="s">
        <v>87</v>
      </c>
      <c r="C11" s="98">
        <f>((C10-C9)/C9)/10</f>
        <v>0.172634108417556</v>
      </c>
      <c r="D11" s="6"/>
      <c r="F11" s="73" t="s">
        <v>77</v>
      </c>
      <c r="G11" s="76">
        <v>149.1</v>
      </c>
      <c r="H11" s="78">
        <v>1.83E-2</v>
      </c>
      <c r="I11" s="53">
        <v>8</v>
      </c>
      <c r="J11" s="82">
        <f t="shared" si="0"/>
        <v>1192.8</v>
      </c>
      <c r="K11" s="3"/>
      <c r="L11" s="84" t="s">
        <v>67</v>
      </c>
      <c r="M11" s="93" t="s">
        <v>90</v>
      </c>
    </row>
    <row r="12" spans="2:13">
      <c r="B12" s="3"/>
      <c r="C12" s="3"/>
      <c r="D12" s="6"/>
      <c r="F12" s="73" t="s">
        <v>78</v>
      </c>
      <c r="G12" s="76">
        <v>116.43</v>
      </c>
      <c r="H12" s="78">
        <v>9.9000000000000008E-3</v>
      </c>
      <c r="I12" s="53">
        <v>9</v>
      </c>
      <c r="J12" s="82">
        <f t="shared" si="0"/>
        <v>1047.8700000000001</v>
      </c>
      <c r="K12" s="3"/>
      <c r="L12" s="67"/>
      <c r="M12" s="93" t="s">
        <v>91</v>
      </c>
    </row>
    <row r="13" spans="2:13">
      <c r="B13" s="20" t="s">
        <v>89</v>
      </c>
      <c r="C13" s="58">
        <f>M9</f>
        <v>0.12053205420877799</v>
      </c>
      <c r="D13" s="6"/>
      <c r="F13" s="73" t="s">
        <v>79</v>
      </c>
      <c r="G13" s="76">
        <v>189.17</v>
      </c>
      <c r="H13" s="78">
        <v>1.11E-2</v>
      </c>
      <c r="I13" s="53">
        <v>10</v>
      </c>
      <c r="J13" s="82">
        <f t="shared" si="0"/>
        <v>1891.6999999999998</v>
      </c>
    </row>
    <row r="14" spans="2:13">
      <c r="B14" s="25"/>
      <c r="C14" s="25"/>
      <c r="D14" s="26"/>
      <c r="F14" s="71"/>
      <c r="G14" s="9"/>
      <c r="I14" s="81">
        <f>SUM(I4:I13)</f>
        <v>55</v>
      </c>
      <c r="J14" s="83">
        <f>SUM(J4:J13)</f>
        <v>7642.37</v>
      </c>
    </row>
    <row r="15" spans="2:13">
      <c r="B15" s="20" t="s">
        <v>93</v>
      </c>
      <c r="C15" s="102">
        <v>17464.75</v>
      </c>
      <c r="D15" s="6"/>
      <c r="E15" s="51"/>
      <c r="F15" s="67"/>
      <c r="G15" s="3"/>
      <c r="H15" s="3"/>
    </row>
    <row r="16" spans="2:13">
      <c r="B16" s="3"/>
      <c r="C16" s="3"/>
      <c r="D16" s="6"/>
      <c r="E16" s="51"/>
      <c r="F16" s="84" t="s">
        <v>67</v>
      </c>
      <c r="G16" s="85" t="s">
        <v>69</v>
      </c>
      <c r="H16" s="49"/>
    </row>
    <row r="17" spans="2:12">
      <c r="B17" s="20" t="s">
        <v>99</v>
      </c>
      <c r="C17" s="96">
        <v>1.8200000000000001E-2</v>
      </c>
      <c r="D17" s="6"/>
      <c r="E17" s="51"/>
      <c r="F17" s="67"/>
      <c r="G17" s="85" t="s">
        <v>68</v>
      </c>
    </row>
    <row r="18" spans="2:12">
      <c r="B18" s="3"/>
      <c r="C18" s="3"/>
      <c r="D18" s="26"/>
      <c r="E18" s="51"/>
      <c r="F18" s="67"/>
      <c r="G18" s="3"/>
      <c r="H18" s="3"/>
    </row>
    <row r="19" spans="2:12">
      <c r="B19" s="25"/>
      <c r="C19" s="25"/>
      <c r="D19" s="6"/>
      <c r="E19" s="51"/>
      <c r="F19" s="67"/>
      <c r="G19" s="3"/>
      <c r="H19" s="3"/>
    </row>
    <row r="20" spans="2:12">
      <c r="B20" s="3"/>
      <c r="C20" s="3"/>
      <c r="D20" s="6"/>
      <c r="E20" s="103" t="s">
        <v>94</v>
      </c>
      <c r="F20" s="91" t="s">
        <v>79</v>
      </c>
      <c r="G20" s="91" t="s">
        <v>80</v>
      </c>
      <c r="H20" s="91" t="s">
        <v>81</v>
      </c>
      <c r="I20" s="91" t="s">
        <v>82</v>
      </c>
      <c r="J20" s="91" t="s">
        <v>83</v>
      </c>
      <c r="K20" s="91" t="s">
        <v>84</v>
      </c>
    </row>
    <row r="21" spans="2:12">
      <c r="B21" s="3"/>
      <c r="C21" s="3"/>
      <c r="D21" s="6"/>
      <c r="E21" s="109">
        <f>-C15</f>
        <v>-17464.75</v>
      </c>
      <c r="F21" s="100">
        <f>$C$4</f>
        <v>138.95218181818183</v>
      </c>
      <c r="G21" s="101">
        <f>F21*(1+$C$13)</f>
        <v>155.7003737295189</v>
      </c>
      <c r="H21" s="101">
        <f>G21*(1+$C$13)</f>
        <v>174.46725961621226</v>
      </c>
      <c r="I21" s="101">
        <f t="shared" ref="I21:K21" si="1">H21*(1+$C$13)</f>
        <v>195.49615680993051</v>
      </c>
      <c r="J21" s="101">
        <f t="shared" si="1"/>
        <v>219.05971018015282</v>
      </c>
      <c r="K21" s="101">
        <f t="shared" si="1"/>
        <v>245.46342704254619</v>
      </c>
    </row>
    <row r="22" spans="2:12">
      <c r="B22" s="3"/>
      <c r="C22" s="3"/>
      <c r="D22" s="6"/>
      <c r="E22" s="53"/>
      <c r="F22" s="110"/>
      <c r="G22" s="110"/>
      <c r="H22" s="110"/>
      <c r="I22" s="111"/>
      <c r="J22" s="112"/>
      <c r="K22" s="110"/>
    </row>
    <row r="23" spans="2:12">
      <c r="B23" s="25"/>
      <c r="C23" s="25"/>
      <c r="D23" s="26"/>
      <c r="E23" s="53" t="s">
        <v>95</v>
      </c>
      <c r="F23" s="32">
        <f>NPV(10%,$G$21:$K$21)+($K$21*(1+$M$8))/(10%-$M$8)*((1+10%)^5)+$E$21</f>
        <v>-3351.1628706754473</v>
      </c>
      <c r="G23" s="32"/>
      <c r="H23" s="32"/>
      <c r="I23" s="32"/>
      <c r="J23" s="32"/>
      <c r="K23" s="32"/>
      <c r="L23" s="106"/>
    </row>
    <row r="24" spans="2:12">
      <c r="B24" s="3"/>
      <c r="C24" s="3"/>
      <c r="D24" s="6"/>
      <c r="E24" s="53" t="s">
        <v>96</v>
      </c>
      <c r="F24" s="32">
        <f>NPV(9%,$G$21:$K$21)+($K$21*(1+$M$8))/(9%-$M$8)*((1+9%)^5)+$E$21</f>
        <v>1998.0973412469721</v>
      </c>
      <c r="G24" s="32"/>
      <c r="H24" s="32"/>
      <c r="I24" s="32"/>
      <c r="J24" s="32"/>
      <c r="K24" s="32"/>
    </row>
    <row r="25" spans="2:12">
      <c r="B25" s="3"/>
      <c r="C25" s="3"/>
      <c r="D25" s="6"/>
      <c r="E25" s="19"/>
      <c r="F25" s="110"/>
      <c r="G25" s="32"/>
      <c r="H25" s="118"/>
      <c r="I25" s="119"/>
      <c r="J25" s="32"/>
      <c r="K25" s="32"/>
    </row>
    <row r="26" spans="2:12">
      <c r="B26" s="3"/>
      <c r="C26" s="3"/>
      <c r="D26" s="6"/>
      <c r="E26" s="46" t="s">
        <v>97</v>
      </c>
      <c r="F26" s="113">
        <f>9%+($F$24/($F$24-$F$23)*(10%-9%))</f>
        <v>9.3735277892807708E-2</v>
      </c>
      <c r="G26" s="32"/>
      <c r="H26" s="120"/>
      <c r="I26" s="119"/>
      <c r="J26" s="32"/>
      <c r="K26" s="32"/>
      <c r="L26" s="107"/>
    </row>
    <row r="27" spans="2:12">
      <c r="B27" s="3"/>
      <c r="C27" s="3"/>
      <c r="D27" s="9" t="s">
        <v>98</v>
      </c>
      <c r="E27" s="114" t="s">
        <v>19</v>
      </c>
      <c r="F27" s="115">
        <f>'Risk Free Rate'!C4</f>
        <v>5.722E-2</v>
      </c>
      <c r="G27" s="32"/>
      <c r="H27" s="32"/>
      <c r="I27" s="32"/>
      <c r="J27" s="32"/>
      <c r="K27" s="32"/>
    </row>
    <row r="28" spans="2:12">
      <c r="B28" s="3"/>
      <c r="C28" s="3"/>
      <c r="E28" s="116" t="s">
        <v>20</v>
      </c>
      <c r="F28" s="117">
        <f>F26-F27</f>
        <v>3.6515277892807708E-2</v>
      </c>
      <c r="G28" s="32"/>
      <c r="H28" s="32"/>
      <c r="I28" s="32"/>
      <c r="J28" s="32"/>
      <c r="K28" s="32"/>
    </row>
    <row r="29" spans="2:12">
      <c r="B29" s="3"/>
      <c r="C29" s="3"/>
      <c r="D29" s="3"/>
    </row>
    <row r="30" spans="2:12">
      <c r="B30" s="3"/>
      <c r="C30" s="3"/>
      <c r="D30" s="3"/>
      <c r="E30" s="3"/>
      <c r="F30" s="68"/>
    </row>
    <row r="31" spans="2:12">
      <c r="D31" s="3"/>
      <c r="E31" s="3"/>
      <c r="F31" s="68"/>
    </row>
    <row r="32" spans="2:12">
      <c r="D32" s="3"/>
      <c r="E32" s="3"/>
      <c r="F32" s="68"/>
    </row>
    <row r="33" spans="4:6">
      <c r="D33" s="3"/>
      <c r="E33" s="3"/>
      <c r="F33" s="68"/>
    </row>
    <row r="34" spans="4:6">
      <c r="D34" s="3"/>
      <c r="E34" s="3"/>
      <c r="F34" s="68"/>
    </row>
  </sheetData>
  <hyperlinks>
    <hyperlink ref="G16" r:id="rId1"/>
    <hyperlink ref="G17" r:id="rId2"/>
    <hyperlink ref="M11" r:id="rId3"/>
    <hyperlink ref="M12" r:id="rId4"/>
  </hyperlinks>
  <pageMargins left="0.7" right="0.7" top="0.75" bottom="0.75" header="0.3" footer="0.3"/>
  <pageSetup orientation="portrait" r:id="rId5"/>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Q33"/>
  <sheetViews>
    <sheetView zoomScaleNormal="100" workbookViewId="0"/>
  </sheetViews>
  <sheetFormatPr defaultRowHeight="12"/>
  <cols>
    <col min="1" max="1" width="2" style="2" customWidth="1"/>
    <col min="2" max="2" width="27" style="2" customWidth="1"/>
    <col min="3" max="3" width="12.7109375" style="2" customWidth="1"/>
    <col min="4" max="4" width="9.140625" style="2" customWidth="1"/>
    <col min="5" max="5" width="8.7109375" style="2" customWidth="1"/>
    <col min="6" max="6" width="3" style="15" customWidth="1"/>
    <col min="7" max="7" width="27" style="2" customWidth="1"/>
    <col min="8" max="8" width="14.42578125" style="2" customWidth="1"/>
    <col min="9" max="9" width="19.85546875" style="15" customWidth="1"/>
    <col min="10" max="10" width="10.85546875" style="2" customWidth="1"/>
    <col min="11" max="14" width="9.42578125" style="2" customWidth="1"/>
    <col min="15" max="15" width="7.85546875" style="2" customWidth="1"/>
    <col min="16" max="16" width="6.28515625" style="2" customWidth="1"/>
    <col min="17" max="16384" width="9.140625" style="2"/>
  </cols>
  <sheetData>
    <row r="1" spans="2:17" ht="15.75">
      <c r="B1" s="18" t="s">
        <v>154</v>
      </c>
      <c r="E1" s="3"/>
      <c r="F1" s="68"/>
      <c r="G1" s="3"/>
      <c r="H1" s="3"/>
      <c r="I1" s="68"/>
      <c r="J1" s="3"/>
      <c r="K1" s="3"/>
      <c r="L1" s="3"/>
      <c r="M1" s="3"/>
      <c r="N1" s="3"/>
      <c r="O1" s="3"/>
      <c r="P1" s="3"/>
      <c r="Q1" s="3"/>
    </row>
    <row r="2" spans="2:17">
      <c r="E2" s="3"/>
      <c r="F2" s="68"/>
      <c r="G2" s="396" t="s">
        <v>140</v>
      </c>
      <c r="H2" s="396"/>
      <c r="I2" s="396"/>
      <c r="J2" s="396"/>
      <c r="K2" s="396" t="s">
        <v>129</v>
      </c>
      <c r="L2" s="396"/>
      <c r="M2" s="166"/>
      <c r="N2" s="166"/>
      <c r="O2" s="3"/>
      <c r="P2" s="3"/>
      <c r="Q2" s="3"/>
    </row>
    <row r="3" spans="2:17">
      <c r="B3" s="20" t="s">
        <v>101</v>
      </c>
      <c r="C3" s="97" t="str">
        <f>About!C3</f>
        <v>Retailing</v>
      </c>
      <c r="D3" s="24"/>
      <c r="F3" s="125"/>
      <c r="G3" s="53" t="s">
        <v>104</v>
      </c>
      <c r="H3" s="53" t="s">
        <v>110</v>
      </c>
      <c r="I3" s="140" t="s">
        <v>128</v>
      </c>
      <c r="J3" s="141" t="s">
        <v>127</v>
      </c>
      <c r="K3" s="141" t="s">
        <v>130</v>
      </c>
      <c r="L3" s="82" t="s">
        <v>131</v>
      </c>
      <c r="M3" s="82" t="s">
        <v>143</v>
      </c>
      <c r="N3" s="82" t="s">
        <v>146</v>
      </c>
      <c r="O3" s="126"/>
      <c r="P3" s="108"/>
      <c r="Q3" s="3"/>
    </row>
    <row r="4" spans="2:17">
      <c r="B4" s="32" t="s">
        <v>102</v>
      </c>
      <c r="C4" s="151" t="str">
        <f>About!C4</f>
        <v>Lifestyle Retail</v>
      </c>
      <c r="D4" s="6"/>
      <c r="E4" s="3"/>
      <c r="F4" s="72"/>
      <c r="G4" s="76" t="s">
        <v>109</v>
      </c>
      <c r="H4" s="76" t="s">
        <v>111</v>
      </c>
      <c r="I4" s="395" t="s">
        <v>126</v>
      </c>
      <c r="J4" s="395"/>
      <c r="K4" s="395"/>
      <c r="L4" s="395"/>
      <c r="M4" s="146">
        <v>0.24</v>
      </c>
      <c r="N4" s="148">
        <v>23.5</v>
      </c>
      <c r="O4" s="134"/>
      <c r="P4" s="88"/>
      <c r="Q4" s="3"/>
    </row>
    <row r="5" spans="2:17">
      <c r="D5" s="6"/>
      <c r="E5" s="3"/>
      <c r="F5" s="72"/>
      <c r="G5" s="76" t="s">
        <v>112</v>
      </c>
      <c r="H5" s="76" t="s">
        <v>113</v>
      </c>
      <c r="I5" s="145">
        <v>0.78820000000000001</v>
      </c>
      <c r="J5" s="146">
        <v>0.248</v>
      </c>
      <c r="K5" s="146">
        <f>I5-(2*J5)</f>
        <v>0.29220000000000002</v>
      </c>
      <c r="L5" s="146">
        <f>I5+(2*J5)</f>
        <v>1.2842</v>
      </c>
      <c r="M5" s="146">
        <v>1.48</v>
      </c>
      <c r="N5" s="146">
        <v>3.15</v>
      </c>
      <c r="O5" s="135"/>
      <c r="P5" s="88"/>
      <c r="Q5" s="3"/>
    </row>
    <row r="6" spans="2:17">
      <c r="B6" s="32" t="s">
        <v>105</v>
      </c>
      <c r="C6" s="95" t="s">
        <v>106</v>
      </c>
      <c r="D6" s="26"/>
      <c r="E6" s="3"/>
      <c r="F6" s="72"/>
      <c r="G6" s="76" t="s">
        <v>114</v>
      </c>
      <c r="H6" s="76" t="s">
        <v>115</v>
      </c>
      <c r="I6" s="395" t="s">
        <v>126</v>
      </c>
      <c r="J6" s="395"/>
      <c r="K6" s="395"/>
      <c r="L6" s="395"/>
      <c r="M6" s="146">
        <v>0.55000000000000004</v>
      </c>
      <c r="N6" s="146">
        <v>11.1</v>
      </c>
      <c r="O6" s="134"/>
      <c r="P6" s="88"/>
      <c r="Q6" s="3"/>
    </row>
    <row r="7" spans="2:17">
      <c r="B7" s="32" t="s">
        <v>107</v>
      </c>
      <c r="C7" s="96" t="s">
        <v>108</v>
      </c>
      <c r="D7" s="6"/>
      <c r="E7" s="3"/>
      <c r="F7" s="72"/>
      <c r="G7" s="76" t="s">
        <v>117</v>
      </c>
      <c r="H7" s="76" t="s">
        <v>116</v>
      </c>
      <c r="I7" s="145">
        <v>1.0954999999999999</v>
      </c>
      <c r="J7" s="146">
        <v>0.26600000000000001</v>
      </c>
      <c r="K7" s="146">
        <f t="shared" ref="K7:K10" si="0">I7-(2*J7)</f>
        <v>0.56349999999999989</v>
      </c>
      <c r="L7" s="146">
        <f t="shared" ref="L7:L10" si="1">I7+(2*J7)</f>
        <v>1.6274999999999999</v>
      </c>
      <c r="M7" s="146">
        <v>1.06</v>
      </c>
      <c r="N7" s="146">
        <v>3.55</v>
      </c>
      <c r="O7" s="71"/>
      <c r="P7" s="88"/>
      <c r="Q7" s="3"/>
    </row>
    <row r="8" spans="2:17">
      <c r="C8" s="50"/>
      <c r="D8" s="6"/>
      <c r="E8" s="3"/>
      <c r="F8" s="72"/>
      <c r="G8" s="76" t="s">
        <v>118</v>
      </c>
      <c r="H8" s="76" t="s">
        <v>119</v>
      </c>
      <c r="I8" s="145">
        <v>1.2392000000000001</v>
      </c>
      <c r="J8" s="146">
        <v>0.28199999999999997</v>
      </c>
      <c r="K8" s="146">
        <f t="shared" si="0"/>
        <v>0.67520000000000013</v>
      </c>
      <c r="L8" s="146">
        <f t="shared" si="1"/>
        <v>1.8031999999999999</v>
      </c>
      <c r="M8" s="153">
        <v>27.9</v>
      </c>
      <c r="N8" s="146">
        <v>2.71</v>
      </c>
      <c r="O8" s="134" t="s">
        <v>145</v>
      </c>
      <c r="P8" s="88"/>
      <c r="Q8" s="3"/>
    </row>
    <row r="9" spans="2:17">
      <c r="B9" s="32" t="s">
        <v>149</v>
      </c>
      <c r="C9" s="54">
        <f>C11-C10</f>
        <v>4004.2299999999996</v>
      </c>
      <c r="D9" s="162">
        <f>C9/C11</f>
        <v>0.85684419555639246</v>
      </c>
      <c r="E9" s="3"/>
      <c r="F9" s="72"/>
      <c r="G9" s="76" t="s">
        <v>120</v>
      </c>
      <c r="H9" s="76" t="s">
        <v>121</v>
      </c>
      <c r="I9" s="145">
        <v>0.6724</v>
      </c>
      <c r="J9" s="146">
        <v>0.252</v>
      </c>
      <c r="K9" s="146">
        <f t="shared" si="0"/>
        <v>0.16839999999999999</v>
      </c>
      <c r="L9" s="146">
        <f t="shared" si="1"/>
        <v>1.1764000000000001</v>
      </c>
      <c r="M9" s="146">
        <v>1.28</v>
      </c>
      <c r="N9" s="146">
        <v>1.33</v>
      </c>
      <c r="O9" s="71"/>
      <c r="P9" s="88"/>
      <c r="Q9" s="3"/>
    </row>
    <row r="10" spans="2:17">
      <c r="B10" s="32" t="s">
        <v>150</v>
      </c>
      <c r="C10" s="161">
        <f>1338/2</f>
        <v>669</v>
      </c>
      <c r="D10" s="162">
        <f>C10/C11</f>
        <v>0.14315580444360754</v>
      </c>
      <c r="E10" s="3"/>
      <c r="F10" s="72"/>
      <c r="G10" s="76" t="s">
        <v>122</v>
      </c>
      <c r="H10" s="76" t="s">
        <v>123</v>
      </c>
      <c r="I10" s="145">
        <v>1.0973999999999999</v>
      </c>
      <c r="J10" s="146">
        <v>0.46200000000000002</v>
      </c>
      <c r="K10" s="146">
        <f t="shared" si="0"/>
        <v>0.17339999999999989</v>
      </c>
      <c r="L10" s="146">
        <f t="shared" si="1"/>
        <v>2.0213999999999999</v>
      </c>
      <c r="M10" s="153">
        <v>10.3</v>
      </c>
      <c r="N10" s="146">
        <v>0.59</v>
      </c>
      <c r="O10" s="134" t="s">
        <v>145</v>
      </c>
      <c r="P10" s="3"/>
      <c r="Q10" s="3"/>
    </row>
    <row r="11" spans="2:17">
      <c r="B11" s="20" t="s">
        <v>151</v>
      </c>
      <c r="C11" s="163">
        <v>4673.2299999999996</v>
      </c>
      <c r="D11" s="164">
        <v>1</v>
      </c>
      <c r="E11" s="3"/>
      <c r="F11" s="72"/>
      <c r="G11" s="76" t="s">
        <v>124</v>
      </c>
      <c r="H11" s="76" t="s">
        <v>125</v>
      </c>
      <c r="I11" s="145">
        <v>1.7248000000000001</v>
      </c>
      <c r="J11" s="146">
        <v>0.42299999999999999</v>
      </c>
      <c r="K11" s="146">
        <f>I11-(2*J11)</f>
        <v>0.87880000000000014</v>
      </c>
      <c r="L11" s="146">
        <f>I11+(2*J11)</f>
        <v>2.5708000000000002</v>
      </c>
      <c r="M11" s="146">
        <v>1.47</v>
      </c>
      <c r="N11" s="146">
        <v>1.18</v>
      </c>
      <c r="O11" s="84"/>
      <c r="P11" s="93"/>
      <c r="Q11" s="3"/>
    </row>
    <row r="12" spans="2:17">
      <c r="D12" s="6"/>
      <c r="E12" s="3"/>
      <c r="F12" s="72"/>
      <c r="G12" s="122"/>
      <c r="H12" s="122"/>
      <c r="I12" s="147">
        <f>AVERAGE(I5,I7:I11)</f>
        <v>1.1029166666666665</v>
      </c>
      <c r="J12" s="157"/>
      <c r="K12" s="158"/>
      <c r="L12" s="49"/>
      <c r="M12" s="159">
        <f>AVERAGE(M4:M7,M9,M11)</f>
        <v>1.0133333333333334</v>
      </c>
      <c r="N12" s="159">
        <f>AVERAGE(N4:N11)</f>
        <v>5.8887499999999999</v>
      </c>
      <c r="O12" s="67"/>
      <c r="P12" s="93"/>
      <c r="Q12" s="3"/>
    </row>
    <row r="13" spans="2:17">
      <c r="B13" s="32" t="s">
        <v>155</v>
      </c>
      <c r="C13" s="165">
        <v>0.25169999999999998</v>
      </c>
      <c r="D13" s="6"/>
      <c r="E13" s="3"/>
      <c r="F13" s="72"/>
      <c r="G13" s="122"/>
      <c r="H13" s="122"/>
      <c r="I13" s="133"/>
      <c r="J13" s="51"/>
      <c r="K13" s="70"/>
      <c r="L13" s="3"/>
      <c r="M13" s="3"/>
      <c r="N13" s="3"/>
      <c r="O13" s="3"/>
      <c r="P13" s="3"/>
      <c r="Q13" s="3"/>
    </row>
    <row r="14" spans="2:17">
      <c r="B14" s="32" t="s">
        <v>211</v>
      </c>
      <c r="C14" s="165">
        <v>0.22739999999999999</v>
      </c>
      <c r="D14" s="6"/>
      <c r="E14" s="51"/>
      <c r="F14" s="67"/>
      <c r="Q14" s="3"/>
    </row>
    <row r="15" spans="2:17">
      <c r="D15" s="6"/>
      <c r="E15" s="51"/>
      <c r="F15" s="84"/>
      <c r="G15" s="396" t="s">
        <v>141</v>
      </c>
      <c r="H15" s="396"/>
      <c r="I15" s="396"/>
      <c r="J15" s="396"/>
      <c r="K15" s="396" t="s">
        <v>129</v>
      </c>
      <c r="L15" s="396"/>
      <c r="M15" s="149"/>
      <c r="N15" s="149"/>
      <c r="O15" s="3"/>
      <c r="P15" s="3"/>
      <c r="Q15" s="3"/>
    </row>
    <row r="16" spans="2:17">
      <c r="B16" s="20" t="s">
        <v>147</v>
      </c>
      <c r="C16" s="178">
        <f>I12/(1+(M12*(1-C13)))</f>
        <v>0.62727116238014768</v>
      </c>
      <c r="D16" s="6"/>
      <c r="E16" s="51"/>
      <c r="F16" s="67"/>
      <c r="G16" s="53" t="s">
        <v>108</v>
      </c>
      <c r="H16" s="53" t="s">
        <v>110</v>
      </c>
      <c r="I16" s="140" t="s">
        <v>128</v>
      </c>
      <c r="J16" s="141" t="s">
        <v>127</v>
      </c>
      <c r="K16" s="137" t="s">
        <v>130</v>
      </c>
      <c r="L16" s="138" t="s">
        <v>131</v>
      </c>
      <c r="M16" s="82" t="s">
        <v>143</v>
      </c>
      <c r="N16" s="82" t="s">
        <v>146</v>
      </c>
      <c r="O16" s="126"/>
      <c r="P16" s="108"/>
      <c r="Q16" s="3"/>
    </row>
    <row r="17" spans="2:17">
      <c r="B17" s="20" t="s">
        <v>148</v>
      </c>
      <c r="C17" s="178">
        <f>I21/(1+(M21*(1-C13)))</f>
        <v>0.58563492455755195</v>
      </c>
      <c r="D17" s="26"/>
      <c r="E17" s="51"/>
      <c r="F17" s="67"/>
      <c r="G17" s="76" t="s">
        <v>132</v>
      </c>
      <c r="H17" s="76" t="s">
        <v>133</v>
      </c>
      <c r="I17" s="145">
        <v>0.44590000000000002</v>
      </c>
      <c r="J17" s="146">
        <v>0.186</v>
      </c>
      <c r="K17" s="152">
        <f>I17-(2*J17)</f>
        <v>7.3900000000000021E-2</v>
      </c>
      <c r="L17" s="152">
        <f>I17+(2*J17)</f>
        <v>0.81790000000000007</v>
      </c>
      <c r="M17" s="152">
        <v>0.05</v>
      </c>
      <c r="N17" s="152">
        <v>7.26</v>
      </c>
      <c r="O17" s="134"/>
      <c r="P17" s="88"/>
      <c r="Q17" s="3"/>
    </row>
    <row r="18" spans="2:17">
      <c r="B18" s="3"/>
      <c r="C18" s="3"/>
      <c r="D18" s="6"/>
      <c r="E18" s="51"/>
      <c r="F18" s="67"/>
      <c r="G18" s="76" t="s">
        <v>134</v>
      </c>
      <c r="H18" s="76" t="s">
        <v>135</v>
      </c>
      <c r="I18" s="145">
        <v>0.31340000000000001</v>
      </c>
      <c r="J18" s="146">
        <v>0.22700000000000001</v>
      </c>
      <c r="K18" s="152">
        <f>I18-(2*J18)</f>
        <v>-0.1406</v>
      </c>
      <c r="L18" s="152">
        <f>I18+(2*J18)</f>
        <v>0.76740000000000008</v>
      </c>
      <c r="M18" s="153">
        <v>17.3</v>
      </c>
      <c r="N18" s="152">
        <v>0.72</v>
      </c>
      <c r="O18" s="134" t="s">
        <v>145</v>
      </c>
      <c r="P18" s="88"/>
      <c r="Q18" s="3"/>
    </row>
    <row r="19" spans="2:17">
      <c r="B19" s="114" t="s">
        <v>160</v>
      </c>
      <c r="C19" s="176">
        <f>L27*(1+(1-C13)*WACC!F12)</f>
        <v>1.6297560013721477</v>
      </c>
      <c r="D19" s="6"/>
      <c r="E19" s="124"/>
      <c r="F19" s="126"/>
      <c r="G19" s="76" t="s">
        <v>136</v>
      </c>
      <c r="H19" s="76" t="s">
        <v>137</v>
      </c>
      <c r="I19" s="145">
        <v>1.4446000000000001</v>
      </c>
      <c r="J19" s="146">
        <v>0.47899999999999998</v>
      </c>
      <c r="K19" s="152">
        <f>I19-(2*J19)</f>
        <v>0.48660000000000014</v>
      </c>
      <c r="L19" s="152">
        <f>I19+(2*J19)</f>
        <v>2.4026000000000001</v>
      </c>
      <c r="M19" s="153">
        <v>9.58</v>
      </c>
      <c r="N19" s="152">
        <v>1.66</v>
      </c>
      <c r="O19" s="134" t="s">
        <v>145</v>
      </c>
      <c r="P19" s="88"/>
      <c r="Q19" s="3"/>
    </row>
    <row r="20" spans="2:17">
      <c r="C20" s="150"/>
      <c r="D20" s="6"/>
      <c r="E20" s="104"/>
      <c r="F20" s="127"/>
      <c r="G20" s="76" t="s">
        <v>138</v>
      </c>
      <c r="H20" s="76" t="s">
        <v>139</v>
      </c>
      <c r="I20" s="395" t="s">
        <v>126</v>
      </c>
      <c r="J20" s="395"/>
      <c r="K20" s="395"/>
      <c r="L20" s="395"/>
      <c r="M20" s="154">
        <v>0.63</v>
      </c>
      <c r="N20" s="155">
        <v>0.35</v>
      </c>
      <c r="O20" s="134"/>
      <c r="P20" s="88"/>
      <c r="Q20" s="3"/>
    </row>
    <row r="21" spans="2:17">
      <c r="B21" s="143" t="s">
        <v>67</v>
      </c>
      <c r="C21" s="150"/>
      <c r="D21" s="6"/>
      <c r="E21" s="51"/>
      <c r="F21" s="68"/>
      <c r="G21" s="122"/>
      <c r="H21" s="122"/>
      <c r="I21" s="147">
        <f>AVERAGE(I17:I19)</f>
        <v>0.73463333333333336</v>
      </c>
      <c r="J21" s="136"/>
      <c r="K21" s="136"/>
      <c r="L21" s="136"/>
      <c r="M21" s="156">
        <f>AVERAGE(M17,M20)</f>
        <v>0.34</v>
      </c>
      <c r="N21" s="156">
        <f>AVERAGE(N17:N20)</f>
        <v>2.4974999999999996</v>
      </c>
      <c r="O21" s="71"/>
      <c r="P21" s="88"/>
      <c r="Q21" s="3"/>
    </row>
    <row r="22" spans="2:17">
      <c r="B22" s="143" t="s">
        <v>142</v>
      </c>
      <c r="C22" s="49"/>
      <c r="D22" s="26"/>
      <c r="E22" s="51"/>
      <c r="F22" s="3"/>
      <c r="G22" s="122"/>
      <c r="H22" s="122"/>
      <c r="I22" s="133"/>
      <c r="J22" s="136"/>
      <c r="K22" s="107"/>
      <c r="L22" s="107"/>
      <c r="M22" s="107"/>
      <c r="N22" s="107"/>
      <c r="O22" s="71"/>
      <c r="P22" s="88"/>
      <c r="Q22" s="3"/>
    </row>
    <row r="23" spans="2:17">
      <c r="B23" s="150" t="s">
        <v>144</v>
      </c>
      <c r="C23" s="85"/>
      <c r="D23" s="6"/>
      <c r="E23" s="51"/>
      <c r="F23" s="3"/>
      <c r="O23" s="69"/>
      <c r="P23" s="3"/>
      <c r="Q23" s="3"/>
    </row>
    <row r="24" spans="2:17">
      <c r="B24" s="150" t="s">
        <v>152</v>
      </c>
      <c r="C24" s="3"/>
      <c r="D24" s="6"/>
      <c r="E24" s="6"/>
      <c r="F24" s="68"/>
      <c r="G24" s="77" t="s">
        <v>157</v>
      </c>
      <c r="H24" s="77" t="s">
        <v>7</v>
      </c>
      <c r="I24" s="160" t="s">
        <v>146</v>
      </c>
      <c r="J24" s="167" t="s">
        <v>159</v>
      </c>
      <c r="K24" s="167" t="s">
        <v>65</v>
      </c>
      <c r="L24" s="168" t="s">
        <v>158</v>
      </c>
      <c r="M24" s="169"/>
      <c r="N24" s="169"/>
      <c r="O24" s="84"/>
      <c r="P24" s="93"/>
      <c r="Q24" s="3"/>
    </row>
    <row r="25" spans="2:17">
      <c r="B25" s="49" t="s">
        <v>153</v>
      </c>
      <c r="C25" s="3"/>
      <c r="D25" s="6"/>
      <c r="E25" s="26"/>
      <c r="F25" s="50"/>
      <c r="G25" s="76" t="s">
        <v>106</v>
      </c>
      <c r="H25" s="170">
        <f>C9</f>
        <v>4004.2299999999996</v>
      </c>
      <c r="I25" s="171">
        <f>N12</f>
        <v>5.8887499999999999</v>
      </c>
      <c r="J25" s="172">
        <f>H25*I25</f>
        <v>23579.909412499997</v>
      </c>
      <c r="K25" s="173">
        <f>J25/J27</f>
        <v>0.93383054499400053</v>
      </c>
      <c r="L25" s="144">
        <f>C16</f>
        <v>0.62727116238014768</v>
      </c>
      <c r="M25" s="142"/>
      <c r="N25" s="142"/>
      <c r="O25" s="67"/>
      <c r="P25" s="93"/>
      <c r="Q25" s="3"/>
    </row>
    <row r="26" spans="2:17">
      <c r="B26" s="85" t="s">
        <v>156</v>
      </c>
      <c r="C26" s="3"/>
      <c r="D26" s="26"/>
      <c r="E26" s="25"/>
      <c r="F26" s="130"/>
      <c r="G26" s="76" t="s">
        <v>108</v>
      </c>
      <c r="H26" s="170">
        <f>C10</f>
        <v>669</v>
      </c>
      <c r="I26" s="145">
        <f>N21</f>
        <v>2.4974999999999996</v>
      </c>
      <c r="J26" s="172">
        <f>H26*I26</f>
        <v>1670.8274999999996</v>
      </c>
      <c r="K26" s="174">
        <f>J26/J27</f>
        <v>6.6169455005999508E-2</v>
      </c>
      <c r="L26" s="175">
        <f>C17</f>
        <v>0.58563492455755195</v>
      </c>
      <c r="M26" s="20"/>
      <c r="N26" s="20"/>
      <c r="O26" s="3"/>
      <c r="P26" s="3"/>
      <c r="Q26" s="3"/>
    </row>
    <row r="27" spans="2:17">
      <c r="C27" s="3"/>
      <c r="D27" s="9" t="s">
        <v>98</v>
      </c>
      <c r="E27" s="25"/>
      <c r="F27" s="130"/>
      <c r="G27" s="20"/>
      <c r="H27" s="177">
        <f>SUM(H25:H26)</f>
        <v>4673.2299999999996</v>
      </c>
      <c r="I27" s="139"/>
      <c r="J27" s="177">
        <f>SUM(J25:J26)</f>
        <v>25250.736912499997</v>
      </c>
      <c r="K27" s="164">
        <f>SUM(K25:K26)</f>
        <v>1</v>
      </c>
      <c r="L27" s="176">
        <f>(K25*L25)+(K26*L26)</f>
        <v>0.62451611521492634</v>
      </c>
      <c r="M27" s="20"/>
      <c r="N27" s="20"/>
      <c r="O27" s="3"/>
      <c r="P27" s="3"/>
      <c r="Q27" s="3"/>
    </row>
    <row r="28" spans="2:17">
      <c r="C28" s="3"/>
      <c r="D28" s="3"/>
      <c r="E28" s="3"/>
      <c r="F28" s="68"/>
      <c r="G28" s="3"/>
      <c r="H28" s="3"/>
      <c r="I28" s="68"/>
      <c r="J28" s="3"/>
      <c r="K28" s="3"/>
      <c r="L28" s="3"/>
      <c r="M28" s="3"/>
      <c r="N28" s="3"/>
      <c r="O28" s="3"/>
      <c r="P28" s="3"/>
      <c r="Q28" s="3"/>
    </row>
    <row r="29" spans="2:17">
      <c r="B29" s="3"/>
      <c r="C29" s="3"/>
      <c r="D29" s="3"/>
      <c r="E29" s="3"/>
      <c r="F29" s="68"/>
    </row>
    <row r="30" spans="2:17">
      <c r="D30" s="3"/>
      <c r="E30" s="3"/>
      <c r="F30" s="68"/>
    </row>
    <row r="31" spans="2:17">
      <c r="D31" s="3"/>
      <c r="E31" s="3"/>
      <c r="F31" s="68"/>
    </row>
    <row r="32" spans="2:17">
      <c r="D32" s="3"/>
      <c r="E32" s="3"/>
      <c r="F32" s="68"/>
    </row>
    <row r="33" spans="4:6">
      <c r="D33" s="3"/>
      <c r="E33" s="3"/>
      <c r="F33" s="68"/>
    </row>
  </sheetData>
  <mergeCells count="7">
    <mergeCell ref="I20:L20"/>
    <mergeCell ref="K2:L2"/>
    <mergeCell ref="K15:L15"/>
    <mergeCell ref="G2:J2"/>
    <mergeCell ref="G15:J15"/>
    <mergeCell ref="I6:L6"/>
    <mergeCell ref="I4:L4"/>
  </mergeCells>
  <hyperlinks>
    <hyperlink ref="B26" r:id="rId1"/>
  </hyperlinks>
  <pageMargins left="0.7" right="0.7" top="0.75" bottom="0.75" header="0.3" footer="0.3"/>
  <pageSetup orientation="portrait"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2"/>
  <sheetViews>
    <sheetView zoomScaleNormal="100" workbookViewId="0"/>
  </sheetViews>
  <sheetFormatPr defaultRowHeight="12"/>
  <cols>
    <col min="1" max="1" width="2" style="2" customWidth="1"/>
    <col min="2" max="2" width="27.28515625" style="2" customWidth="1"/>
    <col min="3" max="3" width="9.140625" style="2"/>
    <col min="4" max="4" width="10.28515625" style="2" customWidth="1"/>
    <col min="5" max="5" width="11.5703125" style="2" customWidth="1"/>
    <col min="6" max="6" width="11.5703125" style="2" bestFit="1" customWidth="1"/>
    <col min="7" max="16384" width="9.140625" style="2"/>
  </cols>
  <sheetData>
    <row r="1" spans="2:13" ht="15.75">
      <c r="B1" s="18" t="s">
        <v>175</v>
      </c>
    </row>
    <row r="3" spans="2:13" ht="15.75">
      <c r="B3" s="180" t="s">
        <v>17</v>
      </c>
      <c r="C3" s="32"/>
      <c r="D3" s="32"/>
      <c r="E3" s="19"/>
      <c r="F3" s="6"/>
      <c r="J3" s="10"/>
      <c r="K3" s="10"/>
      <c r="L3" s="10"/>
      <c r="M3" s="10"/>
    </row>
    <row r="4" spans="2:13">
      <c r="B4" s="32"/>
      <c r="C4" s="32"/>
      <c r="D4" s="32"/>
      <c r="E4" s="19"/>
      <c r="F4" s="26"/>
      <c r="G4" s="3"/>
    </row>
    <row r="5" spans="2:13">
      <c r="B5" s="114" t="s">
        <v>161</v>
      </c>
      <c r="C5" s="96">
        <f>'Risk Free Rate'!C4</f>
        <v>5.722E-2</v>
      </c>
      <c r="D5" s="19"/>
      <c r="E5" s="19"/>
      <c r="F5" s="6"/>
    </row>
    <row r="6" spans="2:13">
      <c r="B6" s="114" t="s">
        <v>20</v>
      </c>
      <c r="C6" s="96">
        <f>'Equity Risk Premium'!F28</f>
        <v>3.6515277892807708E-2</v>
      </c>
      <c r="D6" s="46"/>
      <c r="E6" s="19"/>
      <c r="F6" s="6"/>
    </row>
    <row r="7" spans="2:13">
      <c r="B7" s="114" t="s">
        <v>162</v>
      </c>
      <c r="C7" s="179">
        <f>Beta!C19</f>
        <v>1.6297560013721477</v>
      </c>
      <c r="D7" s="19"/>
      <c r="E7" s="46"/>
      <c r="F7" s="6"/>
    </row>
    <row r="8" spans="2:13">
      <c r="B8" s="20"/>
      <c r="C8" s="20"/>
      <c r="D8" s="19"/>
      <c r="E8" s="19"/>
      <c r="F8" s="6"/>
    </row>
    <row r="9" spans="2:13">
      <c r="B9" s="114" t="s">
        <v>17</v>
      </c>
      <c r="C9" s="58">
        <f>C5+C7*C6</f>
        <v>0.11673099328757508</v>
      </c>
      <c r="D9" s="19"/>
      <c r="E9" s="19"/>
      <c r="F9" s="6"/>
    </row>
    <row r="10" spans="2:13">
      <c r="B10" s="20"/>
      <c r="C10" s="20"/>
      <c r="D10" s="19"/>
      <c r="E10" s="19"/>
      <c r="F10" s="6"/>
    </row>
    <row r="11" spans="2:13">
      <c r="B11" s="181" t="s">
        <v>163</v>
      </c>
      <c r="C11" s="20"/>
      <c r="D11" s="19"/>
      <c r="E11" s="46"/>
      <c r="F11" s="6"/>
    </row>
    <row r="12" spans="2:13">
      <c r="F12" s="26"/>
    </row>
    <row r="13" spans="2:13" ht="15.75">
      <c r="B13" s="180" t="s">
        <v>176</v>
      </c>
      <c r="C13" s="20"/>
      <c r="D13" s="19"/>
      <c r="E13" s="19"/>
      <c r="F13" s="6"/>
    </row>
    <row r="14" spans="2:13">
      <c r="B14" s="20"/>
      <c r="C14" s="20"/>
      <c r="D14" s="19"/>
      <c r="E14" s="19"/>
      <c r="F14" s="6"/>
    </row>
    <row r="15" spans="2:13">
      <c r="B15" s="114" t="s">
        <v>165</v>
      </c>
      <c r="C15" s="98">
        <v>3.2140000000000002E-2</v>
      </c>
      <c r="D15" s="19"/>
      <c r="E15" s="19"/>
      <c r="F15" s="6"/>
    </row>
    <row r="16" spans="2:13">
      <c r="B16" s="114" t="s">
        <v>164</v>
      </c>
      <c r="C16" s="179">
        <f>17.31/10.75</f>
        <v>1.6102325581395347</v>
      </c>
      <c r="D16" s="19"/>
      <c r="E16" s="19"/>
      <c r="F16" s="26"/>
    </row>
    <row r="17" spans="2:12">
      <c r="B17" s="114" t="s">
        <v>23</v>
      </c>
      <c r="C17" s="96">
        <f>'Risk Free Rate'!C8</f>
        <v>1.8700000000000001E-2</v>
      </c>
      <c r="D17" s="46"/>
      <c r="E17" s="46"/>
      <c r="F17" s="6"/>
    </row>
    <row r="18" spans="2:12">
      <c r="B18" s="54" t="s">
        <v>166</v>
      </c>
      <c r="C18" s="96">
        <v>2.1499999999999998E-2</v>
      </c>
      <c r="D18" s="19"/>
      <c r="E18" s="19"/>
      <c r="F18" s="6"/>
    </row>
    <row r="19" spans="2:12">
      <c r="B19" s="32"/>
      <c r="C19" s="20"/>
      <c r="D19" s="19"/>
      <c r="E19" s="19"/>
      <c r="F19" s="6"/>
    </row>
    <row r="20" spans="2:12">
      <c r="B20" s="114" t="s">
        <v>18</v>
      </c>
      <c r="C20" s="58">
        <f>C15+(C16*C17)+C18</f>
        <v>8.3751348837209305E-2</v>
      </c>
      <c r="D20" s="19"/>
      <c r="E20" s="19"/>
      <c r="F20" s="6"/>
    </row>
    <row r="21" spans="2:12">
      <c r="B21" s="114"/>
      <c r="C21" s="114"/>
      <c r="D21" s="46"/>
      <c r="E21" s="46"/>
      <c r="F21" s="26"/>
    </row>
    <row r="22" spans="2:12">
      <c r="B22" s="181" t="s">
        <v>171</v>
      </c>
      <c r="C22" s="20"/>
      <c r="D22" s="20"/>
      <c r="E22" s="20"/>
      <c r="F22" s="6"/>
      <c r="G22" s="397" t="s">
        <v>170</v>
      </c>
      <c r="H22" s="397"/>
      <c r="I22" s="397"/>
      <c r="J22" s="397"/>
      <c r="K22" s="397"/>
      <c r="L22" s="397"/>
    </row>
    <row r="23" spans="2:12">
      <c r="F23" s="6"/>
      <c r="G23" s="32"/>
      <c r="H23" s="183">
        <v>2018</v>
      </c>
      <c r="I23" s="183">
        <v>2019</v>
      </c>
      <c r="J23" s="183">
        <v>2020</v>
      </c>
      <c r="K23" s="183">
        <v>2021</v>
      </c>
      <c r="L23" s="183">
        <v>2022</v>
      </c>
    </row>
    <row r="24" spans="2:12">
      <c r="B24" s="143" t="s">
        <v>67</v>
      </c>
      <c r="F24" s="6"/>
      <c r="G24" s="182" t="s">
        <v>4</v>
      </c>
      <c r="H24" s="55">
        <v>169.3</v>
      </c>
      <c r="I24" s="55">
        <v>180.12</v>
      </c>
      <c r="J24" s="55">
        <v>195.42</v>
      </c>
      <c r="K24" s="318">
        <v>-132.44999999999999</v>
      </c>
      <c r="L24" s="318">
        <v>133.52000000000001</v>
      </c>
    </row>
    <row r="25" spans="2:12">
      <c r="B25" s="143" t="s">
        <v>172</v>
      </c>
      <c r="F25" s="26"/>
      <c r="G25" s="182" t="s">
        <v>167</v>
      </c>
      <c r="H25" s="55">
        <v>30.56</v>
      </c>
      <c r="I25" s="55">
        <v>36.75</v>
      </c>
      <c r="J25" s="55">
        <v>245.8</v>
      </c>
      <c r="K25" s="318">
        <v>248.65</v>
      </c>
      <c r="L25" s="318">
        <v>304.74</v>
      </c>
    </row>
    <row r="26" spans="2:12">
      <c r="B26" s="184" t="s">
        <v>173</v>
      </c>
      <c r="F26" s="3"/>
      <c r="G26" s="182" t="s">
        <v>3</v>
      </c>
      <c r="H26" s="55">
        <f>H24+H25</f>
        <v>199.86</v>
      </c>
      <c r="I26" s="55">
        <f>I24+I25</f>
        <v>216.87</v>
      </c>
      <c r="J26" s="55">
        <f t="shared" ref="J26:K26" si="0">J24+J25</f>
        <v>441.22</v>
      </c>
      <c r="K26" s="55">
        <f t="shared" si="0"/>
        <v>116.20000000000002</v>
      </c>
      <c r="L26" s="55">
        <f>L24+L25</f>
        <v>438.26</v>
      </c>
    </row>
    <row r="27" spans="2:12">
      <c r="B27" s="150" t="s">
        <v>174</v>
      </c>
      <c r="C27" s="3"/>
      <c r="D27" s="3"/>
      <c r="E27" s="3"/>
      <c r="F27" s="3"/>
      <c r="G27" s="182" t="s">
        <v>168</v>
      </c>
      <c r="H27" s="55">
        <f t="shared" ref="H27:I27" si="1">H26/H25</f>
        <v>6.5399214659685869</v>
      </c>
      <c r="I27" s="55">
        <f t="shared" si="1"/>
        <v>5.9012244897959185</v>
      </c>
      <c r="J27" s="55">
        <f>J26/J25</f>
        <v>1.7950366151342556</v>
      </c>
      <c r="K27" s="55">
        <f>K26/K25</f>
        <v>0.46732354715463509</v>
      </c>
      <c r="L27" s="55">
        <f>L26/L25</f>
        <v>1.4381439915993961</v>
      </c>
    </row>
    <row r="28" spans="2:12">
      <c r="B28" s="49"/>
      <c r="C28" s="3"/>
      <c r="D28" s="3"/>
      <c r="E28" s="3"/>
      <c r="F28" s="3"/>
      <c r="G28" s="398" t="s">
        <v>169</v>
      </c>
      <c r="H28" s="398"/>
      <c r="I28" s="398"/>
      <c r="J28" s="398"/>
      <c r="K28" s="398"/>
      <c r="L28" s="83">
        <f>AVERAGE(H27:$L$27)</f>
        <v>3.228330021930558</v>
      </c>
    </row>
    <row r="29" spans="2:12">
      <c r="B29" s="85"/>
      <c r="C29" s="3"/>
      <c r="D29" s="3"/>
      <c r="E29" s="3"/>
      <c r="F29" s="3"/>
    </row>
    <row r="30" spans="2:12">
      <c r="B30" s="3"/>
      <c r="C30" s="3"/>
      <c r="D30" s="3"/>
      <c r="E30" s="3"/>
      <c r="F30" s="3"/>
    </row>
    <row r="31" spans="2:12">
      <c r="B31" s="3"/>
      <c r="C31" s="3"/>
      <c r="D31" s="3"/>
      <c r="E31" s="3"/>
      <c r="F31" s="3"/>
    </row>
    <row r="32" spans="2:12">
      <c r="B32" s="3"/>
      <c r="C32" s="3"/>
      <c r="D32" s="3"/>
      <c r="E32" s="3"/>
      <c r="F32" s="3"/>
    </row>
  </sheetData>
  <mergeCells count="2">
    <mergeCell ref="G22:L22"/>
    <mergeCell ref="G28:K28"/>
  </mergeCells>
  <hyperlinks>
    <hyperlink ref="B26" r:id="rId1"/>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3"/>
  <sheetViews>
    <sheetView zoomScaleNormal="100" workbookViewId="0"/>
  </sheetViews>
  <sheetFormatPr defaultRowHeight="12"/>
  <cols>
    <col min="1" max="1" width="2" style="2" customWidth="1"/>
    <col min="2" max="2" width="28.7109375" style="2" customWidth="1"/>
    <col min="3" max="3" width="11.140625" style="2" bestFit="1" customWidth="1"/>
    <col min="4" max="4" width="3.7109375" style="2" customWidth="1"/>
    <col min="5" max="5" width="30.28515625" style="2" customWidth="1"/>
    <col min="6" max="6" width="11.5703125" style="2" bestFit="1" customWidth="1"/>
    <col min="7" max="7" width="4" style="2" customWidth="1"/>
    <col min="8" max="16384" width="9.140625" style="2"/>
  </cols>
  <sheetData>
    <row r="1" spans="2:13" ht="15.75">
      <c r="B1" s="18" t="s">
        <v>8</v>
      </c>
    </row>
    <row r="3" spans="2:13" ht="15.75">
      <c r="B3" s="180" t="s">
        <v>16</v>
      </c>
      <c r="C3" s="191"/>
      <c r="E3" s="180" t="s">
        <v>178</v>
      </c>
      <c r="F3" s="191" t="s">
        <v>180</v>
      </c>
      <c r="J3" s="10"/>
      <c r="K3" s="10"/>
      <c r="L3" s="10"/>
      <c r="M3" s="10"/>
    </row>
    <row r="4" spans="2:13" ht="8.25" customHeight="1">
      <c r="B4" s="32"/>
      <c r="C4" s="32"/>
      <c r="E4" s="32"/>
      <c r="F4" s="32"/>
      <c r="G4" s="3"/>
    </row>
    <row r="5" spans="2:13">
      <c r="B5" s="54" t="str">
        <f>'Cost of Equity &amp; Debt'!B9</f>
        <v>Cost of Equity</v>
      </c>
      <c r="C5" s="165">
        <f>'Cost of Equity &amp; Debt'!C9</f>
        <v>0.11673099328757508</v>
      </c>
      <c r="D5" s="6"/>
      <c r="E5" s="114" t="s">
        <v>179</v>
      </c>
      <c r="F5" s="189">
        <v>497.38</v>
      </c>
    </row>
    <row r="6" spans="2:13">
      <c r="B6" s="54" t="str">
        <f>E25</f>
        <v>Market Value of Equity</v>
      </c>
      <c r="C6" s="194">
        <f>F29</f>
        <v>37107.089999999997</v>
      </c>
      <c r="D6" s="26"/>
      <c r="E6" s="114" t="s">
        <v>191</v>
      </c>
      <c r="F6" s="189">
        <v>4126.01</v>
      </c>
    </row>
    <row r="7" spans="2:13">
      <c r="B7" s="54"/>
      <c r="C7" s="54"/>
      <c r="D7" s="6"/>
      <c r="E7" s="114" t="s">
        <v>192</v>
      </c>
      <c r="F7" s="189">
        <v>101.97</v>
      </c>
    </row>
    <row r="8" spans="2:13">
      <c r="B8" s="54" t="str">
        <f>'Cost of Equity &amp; Debt'!B20</f>
        <v>Cost of Debt</v>
      </c>
      <c r="C8" s="165">
        <f>'Cost of Equity &amp; Debt'!C20</f>
        <v>8.3751348837209305E-2</v>
      </c>
      <c r="D8" s="6"/>
      <c r="E8" s="114" t="s">
        <v>183</v>
      </c>
      <c r="F8" s="189">
        <v>359.72</v>
      </c>
    </row>
    <row r="9" spans="2:13">
      <c r="B9" s="54" t="str">
        <f>E15</f>
        <v>Market Value of Debt</v>
      </c>
      <c r="C9" s="194">
        <f>F22</f>
        <v>4606.1386763516039</v>
      </c>
      <c r="D9" s="6"/>
      <c r="E9" s="116" t="s">
        <v>178</v>
      </c>
      <c r="F9" s="190">
        <f>SUM($F$5:$F$8)</f>
        <v>5085.0800000000008</v>
      </c>
    </row>
    <row r="10" spans="2:13">
      <c r="B10" s="54"/>
      <c r="C10" s="54"/>
      <c r="D10" s="6"/>
      <c r="E10" s="114" t="s">
        <v>6</v>
      </c>
      <c r="F10" s="189">
        <f>35.55+2328.45</f>
        <v>2364</v>
      </c>
    </row>
    <row r="11" spans="2:13">
      <c r="B11" s="54" t="str">
        <f>Beta!B13</f>
        <v>Marginal Corporate Tax Rate (%)</v>
      </c>
      <c r="C11" s="165">
        <f>Beta!C13</f>
        <v>0.25169999999999998</v>
      </c>
      <c r="D11" s="6"/>
      <c r="E11" s="32"/>
      <c r="F11" s="32"/>
    </row>
    <row r="12" spans="2:13">
      <c r="B12" s="32"/>
      <c r="C12" s="32"/>
      <c r="D12" s="6"/>
      <c r="E12" s="114" t="s">
        <v>181</v>
      </c>
      <c r="F12" s="188">
        <f>F9/F10</f>
        <v>2.151049069373943</v>
      </c>
    </row>
    <row r="13" spans="2:13">
      <c r="F13" s="187"/>
    </row>
    <row r="14" spans="2:13" ht="12.75" customHeight="1">
      <c r="B14" s="54" t="s">
        <v>8</v>
      </c>
      <c r="C14" s="196">
        <f>C5*(C6/(C6+C9))+C8*(1-C11)*(C9/(C6+C9))</f>
        <v>0.11076149116410908</v>
      </c>
      <c r="D14" s="6"/>
    </row>
    <row r="15" spans="2:13" ht="15.75">
      <c r="D15" s="6"/>
      <c r="E15" s="180" t="s">
        <v>177</v>
      </c>
      <c r="F15" s="191" t="s">
        <v>180</v>
      </c>
    </row>
    <row r="16" spans="2:13" ht="7.5" customHeight="1">
      <c r="D16" s="6"/>
      <c r="E16" s="32"/>
      <c r="F16" s="191"/>
    </row>
    <row r="17" spans="2:12">
      <c r="B17" s="143" t="s">
        <v>67</v>
      </c>
      <c r="D17" s="6"/>
      <c r="E17" s="114" t="s">
        <v>178</v>
      </c>
      <c r="F17" s="189">
        <f>F9</f>
        <v>5085.0800000000008</v>
      </c>
    </row>
    <row r="18" spans="2:12">
      <c r="B18" s="143" t="s">
        <v>190</v>
      </c>
      <c r="D18" s="26"/>
      <c r="E18" s="114" t="s">
        <v>182</v>
      </c>
      <c r="F18" s="189">
        <v>304.74</v>
      </c>
    </row>
    <row r="19" spans="2:12">
      <c r="D19" s="6"/>
      <c r="E19" s="114" t="s">
        <v>18</v>
      </c>
      <c r="F19" s="96">
        <f>'Cost of Equity &amp; Debt'!C20</f>
        <v>8.3751348837209305E-2</v>
      </c>
    </row>
    <row r="20" spans="2:12">
      <c r="D20" s="6"/>
      <c r="E20" s="54" t="s">
        <v>185</v>
      </c>
      <c r="F20" s="192">
        <v>5</v>
      </c>
    </row>
    <row r="21" spans="2:12">
      <c r="D21" s="6"/>
      <c r="E21" s="32"/>
      <c r="F21" s="20"/>
    </row>
    <row r="22" spans="2:12">
      <c r="D22" s="26"/>
      <c r="E22" s="114" t="s">
        <v>184</v>
      </c>
      <c r="F22" s="193">
        <f>F18*((1-(1+F19)^(-F20))/F19)+F17/(1+F19)^5</f>
        <v>4606.1386763516039</v>
      </c>
    </row>
    <row r="23" spans="2:12">
      <c r="D23" s="3"/>
      <c r="E23" s="25"/>
      <c r="F23" s="25"/>
      <c r="G23" s="185"/>
      <c r="H23" s="185"/>
      <c r="J23" s="185"/>
      <c r="K23" s="185"/>
      <c r="L23" s="185"/>
    </row>
    <row r="24" spans="2:12">
      <c r="G24" s="3"/>
      <c r="H24" s="69"/>
      <c r="J24" s="69"/>
      <c r="K24" s="69"/>
      <c r="L24" s="69"/>
    </row>
    <row r="25" spans="2:12" ht="15.75">
      <c r="E25" s="180" t="s">
        <v>186</v>
      </c>
      <c r="F25" s="191" t="s">
        <v>180</v>
      </c>
      <c r="G25" s="56"/>
      <c r="H25" s="49"/>
      <c r="I25" s="49"/>
      <c r="J25" s="49"/>
      <c r="K25" s="49"/>
      <c r="L25" s="49"/>
    </row>
    <row r="26" spans="2:12" ht="7.5" customHeight="1">
      <c r="B26" s="184"/>
      <c r="E26" s="32"/>
      <c r="F26" s="32"/>
      <c r="G26" s="56"/>
      <c r="H26" s="49"/>
      <c r="I26" s="49"/>
      <c r="J26" s="49"/>
      <c r="K26" s="49"/>
      <c r="L26" s="49"/>
    </row>
    <row r="27" spans="2:12">
      <c r="E27" s="54" t="s">
        <v>187</v>
      </c>
      <c r="F27" s="189">
        <v>1043.8</v>
      </c>
      <c r="G27" s="56"/>
      <c r="H27" s="49"/>
      <c r="I27" s="49"/>
      <c r="J27" s="49"/>
      <c r="K27" s="49"/>
      <c r="L27" s="49"/>
    </row>
    <row r="28" spans="2:12">
      <c r="D28" s="3"/>
      <c r="E28" s="54" t="s">
        <v>188</v>
      </c>
      <c r="F28" s="192">
        <v>35.549999999999997</v>
      </c>
      <c r="G28" s="56"/>
      <c r="H28" s="49"/>
      <c r="I28" s="49"/>
      <c r="J28" s="49"/>
      <c r="K28" s="49"/>
      <c r="L28" s="49"/>
    </row>
    <row r="29" spans="2:12">
      <c r="D29" s="3"/>
      <c r="E29" s="54" t="s">
        <v>189</v>
      </c>
      <c r="F29" s="195">
        <f>F27*F28</f>
        <v>37107.089999999997</v>
      </c>
      <c r="G29" s="186"/>
      <c r="H29" s="186"/>
      <c r="I29" s="186"/>
      <c r="J29" s="186"/>
      <c r="K29" s="186"/>
      <c r="L29" s="25"/>
    </row>
    <row r="30" spans="2:12">
      <c r="B30" s="85"/>
      <c r="C30" s="3"/>
      <c r="D30" s="3"/>
      <c r="E30" s="3"/>
      <c r="F30" s="3"/>
    </row>
    <row r="31" spans="2:12">
      <c r="B31" s="3"/>
      <c r="C31" s="3"/>
      <c r="D31" s="3"/>
      <c r="E31" s="3"/>
      <c r="F31" s="3"/>
    </row>
    <row r="32" spans="2:12">
      <c r="B32" s="3"/>
      <c r="C32" s="3"/>
      <c r="D32" s="3"/>
      <c r="E32" s="3"/>
      <c r="F32" s="3"/>
    </row>
    <row r="33" spans="2:6">
      <c r="B33" s="3"/>
      <c r="C33" s="3"/>
      <c r="D33" s="3"/>
      <c r="E33" s="3"/>
      <c r="F33" s="3"/>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B4"/>
  <sheetViews>
    <sheetView workbookViewId="0"/>
  </sheetViews>
  <sheetFormatPr defaultRowHeight="12"/>
  <cols>
    <col min="1" max="1" width="2" style="1" customWidth="1"/>
    <col min="2" max="2" width="36" style="1" customWidth="1"/>
    <col min="3" max="16384" width="9.140625" style="1"/>
  </cols>
  <sheetData>
    <row r="1" spans="2:2" ht="41.25">
      <c r="B1" s="39" t="s">
        <v>193</v>
      </c>
    </row>
    <row r="3" spans="2:2">
      <c r="B3" s="205" t="s">
        <v>236</v>
      </c>
    </row>
    <row r="4" spans="2:2">
      <c r="B4" s="205" t="s">
        <v>235</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heetViews>
  <sheetFormatPr defaultRowHeight="12"/>
  <cols>
    <col min="1" max="1" width="2" style="199" customWidth="1"/>
    <col min="2" max="2" width="36" style="199" customWidth="1"/>
    <col min="3" max="3" width="11.42578125" style="199" customWidth="1"/>
    <col min="4" max="4" width="4" style="199" customWidth="1"/>
    <col min="5" max="5" width="9.28515625" style="199" customWidth="1"/>
    <col min="6" max="6" width="9.85546875" style="199" customWidth="1"/>
    <col min="7" max="7" width="10.140625" style="199" bestFit="1" customWidth="1" collapsed="1"/>
    <col min="8" max="11" width="9" style="199" customWidth="1"/>
    <col min="12" max="12" width="9.28515625" style="199" customWidth="1"/>
    <col min="13" max="26" width="9.140625" style="199" customWidth="1"/>
    <col min="27" max="27" width="9.28515625" style="199" customWidth="1"/>
    <col min="28" max="28" width="9.42578125" style="199" customWidth="1"/>
    <col min="29" max="29" width="10" style="199" customWidth="1"/>
    <col min="30" max="30" width="11.42578125" style="199" customWidth="1"/>
    <col min="31" max="31" width="9.42578125" style="199" bestFit="1" customWidth="1" collapsed="1"/>
    <col min="32" max="16384" width="9.140625" style="199"/>
  </cols>
  <sheetData>
    <row r="1" spans="1:32" s="198" customFormat="1" ht="15" customHeight="1">
      <c r="B1" s="18" t="s">
        <v>206</v>
      </c>
      <c r="C1" s="197"/>
      <c r="D1" s="197"/>
      <c r="E1" s="197"/>
      <c r="F1" s="197"/>
      <c r="G1" s="197"/>
      <c r="H1" s="197"/>
      <c r="I1" s="197"/>
      <c r="J1" s="197"/>
      <c r="K1" s="197"/>
      <c r="L1" s="197"/>
    </row>
    <row r="2" spans="1:32" ht="12.75" customHeight="1"/>
    <row r="3" spans="1:32" s="201" customFormat="1" ht="14.25" customHeight="1">
      <c r="D3" s="200"/>
      <c r="E3" s="200"/>
      <c r="H3" s="200"/>
      <c r="I3" s="200"/>
      <c r="J3" s="200"/>
      <c r="K3" s="200"/>
      <c r="L3" s="200"/>
      <c r="M3" s="200"/>
      <c r="N3" s="200"/>
      <c r="O3" s="200"/>
      <c r="P3" s="200"/>
      <c r="Q3" s="200"/>
      <c r="R3" s="200"/>
      <c r="S3" s="200"/>
      <c r="T3" s="200"/>
      <c r="U3" s="200"/>
      <c r="V3" s="200"/>
      <c r="W3" s="200"/>
      <c r="X3" s="200"/>
      <c r="Y3" s="200"/>
      <c r="Z3" s="200"/>
      <c r="AA3" s="200"/>
    </row>
    <row r="4" spans="1:32" ht="15">
      <c r="B4" s="224" t="s">
        <v>207</v>
      </c>
      <c r="C4" s="212"/>
    </row>
    <row r="5" spans="1:32">
      <c r="A5" s="201"/>
      <c r="B5" s="212"/>
      <c r="C5" s="213" t="s">
        <v>180</v>
      </c>
    </row>
    <row r="6" spans="1:32">
      <c r="B6" s="214" t="s">
        <v>196</v>
      </c>
      <c r="C6" s="215">
        <v>4673.2299999999996</v>
      </c>
      <c r="L6" s="203"/>
      <c r="N6" s="203"/>
      <c r="O6" s="203"/>
      <c r="Q6" s="203"/>
      <c r="R6" s="203"/>
      <c r="S6" s="203"/>
      <c r="T6" s="203"/>
      <c r="U6" s="203"/>
      <c r="V6" s="203"/>
      <c r="AA6" s="203"/>
    </row>
    <row r="7" spans="1:32">
      <c r="A7" s="206" t="s">
        <v>98</v>
      </c>
      <c r="B7" s="216" t="s">
        <v>197</v>
      </c>
      <c r="C7" s="217">
        <v>-2880.49</v>
      </c>
      <c r="H7" s="204"/>
      <c r="I7" s="204"/>
      <c r="J7" s="204"/>
      <c r="K7" s="204"/>
      <c r="L7" s="204"/>
      <c r="M7" s="204"/>
      <c r="N7" s="204"/>
      <c r="O7" s="268"/>
      <c r="P7" s="204"/>
      <c r="Q7" s="204"/>
      <c r="R7" s="204"/>
      <c r="S7" s="204"/>
      <c r="T7" s="204"/>
      <c r="U7" s="204"/>
      <c r="V7" s="204"/>
      <c r="W7" s="204"/>
      <c r="X7" s="204"/>
      <c r="Y7" s="204"/>
      <c r="Z7" s="204"/>
      <c r="AA7" s="204"/>
      <c r="AB7" s="204"/>
      <c r="AC7" s="204"/>
      <c r="AD7" s="204"/>
      <c r="AE7" s="204"/>
      <c r="AF7" s="204"/>
    </row>
    <row r="8" spans="1:32">
      <c r="A8" s="206" t="s">
        <v>98</v>
      </c>
      <c r="B8" s="216" t="s">
        <v>198</v>
      </c>
      <c r="C8" s="217">
        <v>-1043.6600000000001</v>
      </c>
      <c r="D8" s="207"/>
      <c r="H8" s="204"/>
      <c r="I8" s="204"/>
      <c r="J8" s="204"/>
      <c r="K8" s="204"/>
      <c r="L8" s="204"/>
      <c r="M8" s="204"/>
      <c r="N8" s="204"/>
      <c r="O8" s="204"/>
      <c r="P8" s="204"/>
      <c r="Q8" s="204"/>
      <c r="R8" s="204"/>
      <c r="S8" s="204"/>
      <c r="T8" s="204"/>
      <c r="U8" s="204"/>
      <c r="V8" s="204"/>
      <c r="W8" s="204"/>
      <c r="X8" s="204"/>
      <c r="Y8" s="204"/>
      <c r="Z8" s="204"/>
      <c r="AA8" s="204"/>
      <c r="AB8" s="204"/>
      <c r="AC8" s="204"/>
      <c r="AD8" s="204"/>
      <c r="AE8" s="204"/>
      <c r="AF8" s="204"/>
    </row>
    <row r="9" spans="1:32">
      <c r="A9" s="206" t="s">
        <v>98</v>
      </c>
      <c r="B9" s="216" t="s">
        <v>2</v>
      </c>
      <c r="C9" s="217">
        <f>-310.82-0.73</f>
        <v>-311.55</v>
      </c>
      <c r="H9" s="204"/>
      <c r="I9" s="204"/>
      <c r="J9" s="204"/>
      <c r="K9" s="204"/>
      <c r="L9" s="204"/>
      <c r="M9" s="204"/>
      <c r="N9" s="204"/>
      <c r="O9" s="204"/>
      <c r="P9" s="204"/>
      <c r="Q9" s="204"/>
      <c r="R9" s="204"/>
      <c r="S9" s="204"/>
      <c r="T9" s="204"/>
      <c r="U9" s="204"/>
      <c r="V9" s="204"/>
      <c r="W9" s="204"/>
      <c r="X9" s="204"/>
      <c r="Y9" s="204"/>
      <c r="Z9" s="204"/>
      <c r="AA9" s="204"/>
      <c r="AB9" s="204"/>
      <c r="AC9" s="204"/>
      <c r="AD9" s="204"/>
      <c r="AE9" s="204"/>
      <c r="AF9" s="204"/>
    </row>
    <row r="10" spans="1:32">
      <c r="A10" s="206" t="s">
        <v>98</v>
      </c>
      <c r="B10" s="216" t="s">
        <v>210</v>
      </c>
      <c r="C10" s="217">
        <v>-27.44</v>
      </c>
      <c r="H10" s="204"/>
      <c r="I10" s="204"/>
      <c r="J10" s="204"/>
      <c r="K10" s="204"/>
      <c r="L10" s="204"/>
      <c r="M10" s="204"/>
      <c r="N10" s="236"/>
      <c r="O10" s="204"/>
      <c r="P10" s="204"/>
      <c r="Q10" s="204"/>
      <c r="R10" s="204"/>
      <c r="S10" s="204"/>
      <c r="T10" s="204"/>
      <c r="U10" s="204"/>
      <c r="V10" s="204"/>
      <c r="W10" s="204"/>
      <c r="X10" s="204"/>
      <c r="Y10" s="204"/>
      <c r="Z10" s="204"/>
      <c r="AA10" s="204"/>
      <c r="AB10" s="204"/>
      <c r="AC10" s="204"/>
      <c r="AD10" s="204"/>
      <c r="AE10" s="204"/>
      <c r="AF10" s="204"/>
    </row>
    <row r="11" spans="1:32">
      <c r="A11" s="202"/>
      <c r="B11" s="218" t="s">
        <v>3</v>
      </c>
      <c r="C11" s="219">
        <f>SUM(C6:C10)</f>
        <v>410.08999999999969</v>
      </c>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row>
    <row r="12" spans="1:32">
      <c r="A12" s="206" t="s">
        <v>199</v>
      </c>
      <c r="B12" s="216" t="s">
        <v>194</v>
      </c>
      <c r="C12" s="217">
        <v>359.72</v>
      </c>
      <c r="H12" s="204"/>
      <c r="I12" s="204"/>
      <c r="J12" s="204"/>
      <c r="K12" s="204"/>
      <c r="L12" s="204"/>
      <c r="M12" s="204"/>
      <c r="N12" s="204"/>
      <c r="O12" s="204"/>
      <c r="P12" s="204"/>
      <c r="Q12" s="204"/>
      <c r="R12" s="204"/>
      <c r="S12" s="204"/>
      <c r="T12" s="204"/>
      <c r="U12" s="204"/>
      <c r="V12" s="204"/>
      <c r="W12" s="204"/>
      <c r="X12" s="204"/>
      <c r="Y12" s="204"/>
      <c r="Z12" s="204"/>
      <c r="AA12" s="204"/>
      <c r="AB12" s="204"/>
      <c r="AC12" s="204"/>
      <c r="AD12" s="204"/>
      <c r="AE12" s="204"/>
      <c r="AF12" s="204"/>
    </row>
    <row r="13" spans="1:32">
      <c r="B13" s="218" t="s">
        <v>200</v>
      </c>
      <c r="C13" s="219">
        <f>C11+C12</f>
        <v>769.80999999999972</v>
      </c>
      <c r="G13" s="204"/>
      <c r="H13" s="204"/>
      <c r="I13" s="204"/>
      <c r="J13" s="204"/>
      <c r="K13" s="204"/>
      <c r="L13" s="204"/>
      <c r="M13" s="204"/>
      <c r="N13" s="204"/>
      <c r="O13" s="204"/>
      <c r="P13" s="204"/>
      <c r="Q13" s="204"/>
      <c r="R13" s="204"/>
      <c r="S13" s="204"/>
      <c r="T13" s="204"/>
      <c r="U13" s="204"/>
      <c r="V13" s="204"/>
      <c r="W13" s="204"/>
      <c r="X13" s="204"/>
      <c r="Y13" s="204"/>
      <c r="Z13" s="204"/>
      <c r="AA13" s="204"/>
      <c r="AB13" s="204"/>
      <c r="AC13" s="204"/>
      <c r="AD13" s="204"/>
      <c r="AE13" s="204"/>
      <c r="AF13" s="204"/>
    </row>
    <row r="14" spans="1:32">
      <c r="A14" s="206" t="s">
        <v>98</v>
      </c>
      <c r="B14" s="216" t="str">
        <f>B24</f>
        <v>Depreciation of OL</v>
      </c>
      <c r="C14" s="217">
        <f>C24</f>
        <v>41.77442649573139</v>
      </c>
      <c r="G14" s="204"/>
      <c r="H14" s="204"/>
      <c r="I14" s="204"/>
      <c r="J14" s="204"/>
      <c r="K14" s="204"/>
      <c r="L14" s="204"/>
      <c r="M14" s="204"/>
      <c r="N14" s="204"/>
      <c r="O14" s="204"/>
      <c r="P14" s="204"/>
      <c r="Q14" s="204"/>
      <c r="R14" s="204"/>
      <c r="S14" s="204"/>
      <c r="T14" s="204"/>
      <c r="U14" s="204"/>
      <c r="V14" s="204"/>
      <c r="W14" s="204"/>
      <c r="X14" s="204"/>
      <c r="Y14" s="204"/>
      <c r="Z14" s="204"/>
      <c r="AA14" s="204"/>
      <c r="AB14" s="204"/>
      <c r="AC14" s="204"/>
      <c r="AD14" s="204"/>
      <c r="AE14" s="204"/>
      <c r="AF14" s="204"/>
    </row>
    <row r="15" spans="1:32">
      <c r="B15" s="220" t="s">
        <v>202</v>
      </c>
      <c r="C15" s="221">
        <f>C13-C14</f>
        <v>728.03557350426831</v>
      </c>
      <c r="G15" s="204"/>
      <c r="H15" s="204"/>
      <c r="I15" s="204"/>
      <c r="J15" s="204"/>
      <c r="K15" s="204"/>
      <c r="L15" s="204"/>
      <c r="M15" s="204"/>
      <c r="N15" s="204"/>
      <c r="O15" s="204"/>
      <c r="P15" s="204"/>
      <c r="Q15" s="204"/>
      <c r="R15" s="204"/>
      <c r="S15" s="204"/>
      <c r="T15" s="204"/>
      <c r="U15" s="204"/>
      <c r="V15" s="204"/>
      <c r="W15" s="204"/>
      <c r="X15" s="204"/>
      <c r="Y15" s="204"/>
      <c r="Z15" s="204"/>
      <c r="AA15" s="204"/>
      <c r="AB15" s="204"/>
      <c r="AC15" s="204"/>
      <c r="AD15" s="204"/>
      <c r="AE15" s="204"/>
      <c r="AF15" s="204"/>
    </row>
    <row r="16" spans="1:32">
      <c r="D16" s="204"/>
      <c r="E16" s="204"/>
      <c r="F16" s="204"/>
      <c r="G16" s="204"/>
      <c r="H16" s="204"/>
      <c r="I16" s="204"/>
      <c r="O16" s="204"/>
      <c r="P16" s="204"/>
      <c r="Q16" s="204"/>
      <c r="R16" s="204"/>
      <c r="S16" s="204"/>
      <c r="T16" s="204"/>
      <c r="U16" s="204"/>
      <c r="V16" s="204"/>
      <c r="W16" s="204"/>
      <c r="X16" s="204"/>
      <c r="Y16" s="204"/>
      <c r="Z16" s="204"/>
      <c r="AA16" s="204"/>
      <c r="AB16" s="204"/>
      <c r="AC16" s="204"/>
      <c r="AD16" s="204"/>
      <c r="AE16" s="204"/>
      <c r="AF16" s="204"/>
    </row>
    <row r="17" spans="2:32" ht="15">
      <c r="B17" s="224" t="s">
        <v>208</v>
      </c>
      <c r="C17" s="212"/>
      <c r="D17" s="209"/>
      <c r="E17" s="209"/>
      <c r="F17" s="209"/>
      <c r="G17" s="209"/>
      <c r="H17" s="209"/>
      <c r="I17" s="210"/>
      <c r="O17" s="204"/>
      <c r="P17" s="204"/>
      <c r="Q17" s="204"/>
      <c r="R17" s="204"/>
      <c r="S17" s="204"/>
      <c r="T17" s="204"/>
      <c r="U17" s="204"/>
      <c r="V17" s="204"/>
      <c r="W17" s="204"/>
      <c r="X17" s="204"/>
      <c r="Y17" s="204"/>
      <c r="Z17" s="204"/>
      <c r="AA17" s="204"/>
      <c r="AB17" s="204"/>
      <c r="AC17" s="204"/>
      <c r="AD17" s="204"/>
      <c r="AE17" s="204"/>
      <c r="AF17" s="204"/>
    </row>
    <row r="18" spans="2:32">
      <c r="B18" s="222"/>
      <c r="C18" s="213" t="s">
        <v>180</v>
      </c>
      <c r="D18" s="84"/>
      <c r="E18" s="84"/>
      <c r="F18" s="84"/>
      <c r="G18" s="84"/>
      <c r="H18" s="84"/>
      <c r="I18" s="84"/>
      <c r="J18" s="204"/>
      <c r="K18" s="204"/>
      <c r="L18" s="204"/>
      <c r="M18" s="204"/>
      <c r="N18" s="204"/>
      <c r="O18" s="204"/>
      <c r="P18" s="204"/>
      <c r="Q18" s="204"/>
      <c r="R18" s="204"/>
      <c r="S18" s="204"/>
      <c r="T18" s="204"/>
      <c r="U18" s="204"/>
      <c r="V18" s="204"/>
      <c r="W18" s="204"/>
      <c r="X18" s="204"/>
      <c r="Y18" s="204"/>
      <c r="Z18" s="204"/>
      <c r="AA18" s="204"/>
      <c r="AB18" s="204"/>
      <c r="AC18" s="204"/>
      <c r="AD18" s="204"/>
      <c r="AE18" s="204"/>
      <c r="AF18" s="204"/>
    </row>
    <row r="19" spans="2:32">
      <c r="B19" s="216" t="s">
        <v>203</v>
      </c>
      <c r="C19" s="217">
        <f>2141.58-392.77</f>
        <v>1748.81</v>
      </c>
      <c r="D19" s="84"/>
      <c r="E19" s="84"/>
      <c r="F19" s="84"/>
      <c r="G19" s="84"/>
      <c r="H19" s="84"/>
      <c r="I19" s="84"/>
      <c r="J19" s="204"/>
      <c r="K19" s="204"/>
      <c r="L19" s="204"/>
      <c r="M19" s="204"/>
      <c r="N19" s="204"/>
      <c r="O19" s="204"/>
      <c r="P19" s="204"/>
      <c r="Q19" s="204"/>
      <c r="R19" s="204"/>
      <c r="S19" s="204"/>
      <c r="T19" s="204"/>
      <c r="U19" s="204"/>
      <c r="V19" s="204"/>
      <c r="W19" s="204"/>
      <c r="X19" s="204"/>
      <c r="Y19" s="204"/>
      <c r="Z19" s="204"/>
      <c r="AA19" s="204"/>
      <c r="AB19" s="204"/>
      <c r="AC19" s="204"/>
      <c r="AD19" s="204"/>
      <c r="AE19" s="204"/>
      <c r="AF19" s="204"/>
    </row>
    <row r="20" spans="2:32">
      <c r="B20" s="216" t="s">
        <v>204</v>
      </c>
      <c r="C20" s="217">
        <f>236.94-33.85</f>
        <v>203.09</v>
      </c>
      <c r="D20" s="211"/>
      <c r="E20" s="211"/>
      <c r="F20" s="211"/>
      <c r="G20" s="211"/>
      <c r="H20" s="211"/>
      <c r="I20" s="209"/>
      <c r="J20" s="204"/>
      <c r="K20" s="204"/>
      <c r="L20" s="204"/>
      <c r="M20" s="204"/>
      <c r="N20" s="204"/>
      <c r="O20" s="204"/>
      <c r="P20" s="204"/>
      <c r="Q20" s="204"/>
      <c r="R20" s="204"/>
      <c r="S20" s="204"/>
      <c r="T20" s="204"/>
      <c r="U20" s="204"/>
      <c r="V20" s="204"/>
      <c r="W20" s="204"/>
      <c r="X20" s="204"/>
      <c r="Y20" s="204"/>
      <c r="Z20" s="204"/>
      <c r="AA20" s="204"/>
      <c r="AB20" s="204"/>
      <c r="AC20" s="204"/>
      <c r="AD20" s="204"/>
      <c r="AE20" s="204"/>
      <c r="AF20" s="204"/>
    </row>
    <row r="21" spans="2:32">
      <c r="B21" s="216" t="s">
        <v>205</v>
      </c>
      <c r="C21" s="223">
        <f>C19/C20</f>
        <v>8.6110098970899589</v>
      </c>
      <c r="G21" s="204"/>
      <c r="H21" s="209"/>
      <c r="I21" s="204"/>
      <c r="J21" s="204"/>
      <c r="K21" s="204"/>
      <c r="L21" s="204"/>
      <c r="M21" s="204"/>
      <c r="N21" s="204"/>
      <c r="O21" s="204"/>
      <c r="P21" s="204"/>
      <c r="Q21" s="204"/>
      <c r="R21" s="204"/>
      <c r="S21" s="204"/>
      <c r="T21" s="204"/>
      <c r="U21" s="204"/>
      <c r="V21" s="204"/>
      <c r="W21" s="204"/>
      <c r="X21" s="204"/>
      <c r="Y21" s="204"/>
      <c r="Z21" s="204"/>
      <c r="AA21" s="204"/>
      <c r="AB21" s="204"/>
      <c r="AC21" s="204"/>
      <c r="AD21" s="204"/>
      <c r="AE21" s="204"/>
      <c r="AF21" s="204"/>
    </row>
    <row r="22" spans="2:32">
      <c r="B22" s="216"/>
      <c r="C22" s="216"/>
      <c r="G22" s="204"/>
      <c r="H22" s="204"/>
      <c r="I22" s="204"/>
      <c r="J22" s="204"/>
      <c r="K22" s="204"/>
      <c r="L22" s="204"/>
      <c r="M22" s="204"/>
      <c r="N22" s="204"/>
      <c r="O22" s="204"/>
      <c r="P22" s="204"/>
      <c r="Q22" s="204"/>
      <c r="R22" s="204"/>
      <c r="S22" s="204"/>
      <c r="T22" s="204"/>
      <c r="U22" s="204"/>
      <c r="V22" s="204"/>
      <c r="W22" s="204"/>
      <c r="X22" s="204"/>
      <c r="Y22" s="204"/>
      <c r="Z22" s="204"/>
      <c r="AA22" s="204"/>
      <c r="AB22" s="204"/>
      <c r="AC22" s="204"/>
      <c r="AD22" s="204"/>
      <c r="AE22" s="204"/>
      <c r="AF22" s="204"/>
    </row>
    <row r="23" spans="2:32">
      <c r="B23" s="216" t="s">
        <v>194</v>
      </c>
      <c r="C23" s="217">
        <f>C12</f>
        <v>359.72</v>
      </c>
      <c r="G23" s="204"/>
      <c r="H23" s="204"/>
      <c r="I23" s="204"/>
      <c r="J23" s="204"/>
      <c r="K23" s="204"/>
      <c r="L23" s="204"/>
      <c r="M23" s="204"/>
      <c r="N23" s="204"/>
      <c r="O23" s="204"/>
      <c r="P23" s="204"/>
      <c r="Q23" s="204"/>
      <c r="R23" s="204"/>
      <c r="S23" s="204"/>
      <c r="T23" s="204"/>
      <c r="U23" s="204"/>
      <c r="V23" s="204"/>
      <c r="W23" s="204"/>
      <c r="X23" s="204"/>
      <c r="Y23" s="204"/>
      <c r="Z23" s="204"/>
      <c r="AA23" s="204"/>
      <c r="AB23" s="204"/>
      <c r="AC23" s="204"/>
      <c r="AD23" s="204"/>
      <c r="AE23" s="204"/>
      <c r="AF23" s="204"/>
    </row>
    <row r="24" spans="2:32">
      <c r="B24" s="216" t="s">
        <v>201</v>
      </c>
      <c r="C24" s="217">
        <f>C23/C21</f>
        <v>41.77442649573139</v>
      </c>
      <c r="G24" s="204"/>
      <c r="H24" s="204"/>
      <c r="I24" s="204"/>
      <c r="J24" s="204"/>
      <c r="K24" s="204"/>
      <c r="L24" s="204"/>
      <c r="M24" s="204"/>
      <c r="N24" s="204"/>
      <c r="O24" s="204"/>
      <c r="P24" s="204"/>
      <c r="Q24" s="204"/>
      <c r="R24" s="204"/>
      <c r="S24" s="204"/>
      <c r="T24" s="204"/>
      <c r="U24" s="204"/>
      <c r="V24" s="204"/>
      <c r="W24" s="204"/>
      <c r="X24" s="204"/>
      <c r="Y24" s="204"/>
      <c r="Z24" s="204"/>
      <c r="AA24" s="204"/>
      <c r="AB24" s="204"/>
      <c r="AC24" s="204"/>
      <c r="AD24" s="204"/>
      <c r="AE24" s="204"/>
      <c r="AF24" s="204"/>
    </row>
    <row r="25" spans="2:32">
      <c r="B25" s="216"/>
      <c r="C25" s="216"/>
      <c r="G25" s="204"/>
      <c r="H25" s="204"/>
      <c r="I25" s="204"/>
      <c r="J25" s="204"/>
      <c r="K25" s="204"/>
      <c r="L25" s="204"/>
      <c r="M25" s="204"/>
      <c r="N25" s="204"/>
      <c r="O25" s="204"/>
      <c r="P25" s="204"/>
      <c r="Q25" s="204"/>
      <c r="R25" s="204"/>
      <c r="S25" s="204"/>
      <c r="T25" s="204"/>
      <c r="U25" s="204"/>
      <c r="V25" s="204"/>
      <c r="W25" s="204"/>
      <c r="X25" s="204"/>
      <c r="Y25" s="204"/>
      <c r="Z25" s="204"/>
      <c r="AA25" s="204"/>
      <c r="AB25" s="204"/>
      <c r="AC25" s="204"/>
      <c r="AD25" s="204"/>
      <c r="AE25" s="204"/>
      <c r="AF25" s="204"/>
    </row>
    <row r="26" spans="2:32">
      <c r="B26" s="220" t="s">
        <v>209</v>
      </c>
      <c r="C26" s="221">
        <f>SUM(WACC!F6:F8)</f>
        <v>4587.7000000000007</v>
      </c>
      <c r="G26" s="204"/>
      <c r="H26" s="204"/>
      <c r="I26" s="204"/>
      <c r="J26" s="204"/>
      <c r="K26" s="204"/>
      <c r="L26" s="204"/>
      <c r="M26" s="204"/>
      <c r="N26" s="204"/>
      <c r="O26" s="204"/>
      <c r="P26" s="204"/>
      <c r="Q26" s="204"/>
      <c r="R26" s="204"/>
      <c r="S26" s="204"/>
      <c r="T26" s="204"/>
      <c r="U26" s="204"/>
      <c r="V26" s="204"/>
      <c r="W26" s="204"/>
      <c r="X26" s="204"/>
      <c r="Y26" s="204"/>
      <c r="Z26" s="204"/>
      <c r="AA26" s="204"/>
      <c r="AB26" s="204"/>
      <c r="AC26" s="204"/>
      <c r="AD26" s="204"/>
      <c r="AE26" s="204"/>
      <c r="AF26" s="204"/>
    </row>
    <row r="27" spans="2:32">
      <c r="G27" s="204"/>
      <c r="H27" s="204"/>
      <c r="I27" s="204"/>
      <c r="J27" s="204"/>
      <c r="K27" s="204"/>
      <c r="L27" s="204"/>
      <c r="M27" s="204"/>
      <c r="N27" s="204"/>
      <c r="O27" s="204"/>
      <c r="P27" s="204"/>
      <c r="Q27" s="204"/>
      <c r="R27" s="204"/>
      <c r="S27" s="204"/>
      <c r="T27" s="204"/>
      <c r="U27" s="204"/>
      <c r="V27" s="204"/>
      <c r="W27" s="204"/>
      <c r="X27" s="204"/>
      <c r="Y27" s="204"/>
      <c r="Z27" s="204"/>
      <c r="AA27" s="204"/>
      <c r="AB27" s="204"/>
      <c r="AC27" s="204"/>
      <c r="AD27" s="204"/>
      <c r="AE27" s="204"/>
      <c r="AF27" s="204"/>
    </row>
    <row r="28" spans="2:32">
      <c r="G28" s="204"/>
      <c r="H28" s="204"/>
      <c r="I28" s="204"/>
      <c r="J28" s="204"/>
      <c r="K28" s="204"/>
      <c r="L28" s="204"/>
      <c r="M28" s="204"/>
      <c r="N28" s="204"/>
      <c r="O28" s="204"/>
      <c r="P28" s="204"/>
      <c r="Q28" s="204"/>
      <c r="R28" s="204"/>
      <c r="S28" s="204"/>
      <c r="T28" s="204"/>
      <c r="U28" s="204"/>
      <c r="V28" s="204"/>
      <c r="W28" s="204"/>
      <c r="X28" s="204"/>
      <c r="Y28" s="204"/>
      <c r="Z28" s="204"/>
      <c r="AA28" s="204"/>
      <c r="AB28" s="204"/>
      <c r="AC28" s="204"/>
      <c r="AD28" s="204"/>
      <c r="AE28" s="204"/>
      <c r="AF28" s="204"/>
    </row>
    <row r="29" spans="2:32">
      <c r="G29" s="204"/>
      <c r="H29" s="204"/>
      <c r="I29" s="204"/>
      <c r="J29" s="204"/>
      <c r="K29" s="204"/>
      <c r="L29" s="204"/>
      <c r="M29" s="204"/>
      <c r="N29" s="204"/>
      <c r="O29" s="204"/>
      <c r="P29" s="204"/>
      <c r="Q29" s="204"/>
      <c r="R29" s="204"/>
      <c r="S29" s="204"/>
      <c r="T29" s="204"/>
      <c r="U29" s="204"/>
      <c r="V29" s="204"/>
      <c r="W29" s="204"/>
      <c r="X29" s="204"/>
      <c r="Y29" s="204"/>
      <c r="Z29" s="204"/>
      <c r="AA29" s="204"/>
      <c r="AB29" s="204"/>
      <c r="AC29" s="204"/>
      <c r="AD29" s="204"/>
      <c r="AE29" s="204"/>
      <c r="AF29" s="204"/>
    </row>
    <row r="30" spans="2:32">
      <c r="G30" s="204"/>
      <c r="H30" s="204"/>
      <c r="I30" s="204"/>
      <c r="J30" s="204"/>
      <c r="K30" s="204"/>
      <c r="L30" s="204"/>
      <c r="M30" s="204"/>
      <c r="N30" s="204"/>
      <c r="O30" s="204"/>
      <c r="P30" s="204"/>
      <c r="Q30" s="204"/>
      <c r="R30" s="204"/>
      <c r="S30" s="204"/>
      <c r="T30" s="204"/>
      <c r="U30" s="204"/>
      <c r="V30" s="204"/>
      <c r="W30" s="204"/>
      <c r="X30" s="204"/>
      <c r="Y30" s="204"/>
      <c r="Z30" s="204"/>
      <c r="AA30" s="204"/>
      <c r="AB30" s="204"/>
      <c r="AC30" s="204"/>
      <c r="AD30" s="204"/>
      <c r="AE30" s="204"/>
      <c r="AF30" s="204"/>
    </row>
    <row r="31" spans="2:32">
      <c r="G31" s="204"/>
      <c r="H31" s="204"/>
      <c r="I31" s="204"/>
      <c r="J31" s="204"/>
      <c r="K31" s="204"/>
      <c r="L31" s="204"/>
      <c r="M31" s="204"/>
      <c r="N31" s="204"/>
      <c r="O31" s="204"/>
      <c r="P31" s="204"/>
      <c r="Q31" s="204"/>
      <c r="R31" s="204"/>
      <c r="S31" s="204"/>
      <c r="T31" s="204"/>
      <c r="U31" s="204"/>
      <c r="V31" s="204"/>
      <c r="W31" s="204"/>
      <c r="X31" s="204"/>
      <c r="Y31" s="204"/>
      <c r="Z31" s="204"/>
      <c r="AA31" s="204"/>
      <c r="AB31" s="204"/>
      <c r="AC31" s="204"/>
      <c r="AD31" s="204"/>
      <c r="AE31" s="204"/>
      <c r="AF31" s="204"/>
    </row>
    <row r="32" spans="2:32">
      <c r="G32" s="204"/>
      <c r="H32" s="204"/>
      <c r="I32" s="204"/>
      <c r="J32" s="204"/>
      <c r="K32" s="204"/>
      <c r="L32" s="204"/>
      <c r="M32" s="204"/>
      <c r="N32" s="204"/>
      <c r="O32" s="204"/>
      <c r="P32" s="204"/>
      <c r="Q32" s="204"/>
      <c r="R32" s="204"/>
      <c r="S32" s="204"/>
      <c r="T32" s="204"/>
      <c r="U32" s="204"/>
      <c r="V32" s="204"/>
      <c r="W32" s="204"/>
      <c r="X32" s="204"/>
      <c r="Y32" s="204"/>
      <c r="Z32" s="204"/>
      <c r="AA32" s="204"/>
      <c r="AB32" s="204"/>
      <c r="AC32" s="204"/>
      <c r="AD32" s="204"/>
      <c r="AE32" s="204"/>
      <c r="AF32" s="204"/>
    </row>
    <row r="33" spans="7:32" ht="14.25" customHeight="1">
      <c r="G33" s="204"/>
      <c r="H33" s="204"/>
      <c r="I33" s="204"/>
      <c r="J33" s="204"/>
      <c r="K33" s="204"/>
      <c r="L33" s="204"/>
      <c r="M33" s="204"/>
      <c r="N33" s="204"/>
      <c r="O33" s="204"/>
      <c r="P33" s="204"/>
      <c r="Q33" s="204"/>
      <c r="R33" s="204"/>
      <c r="S33" s="204"/>
      <c r="T33" s="204"/>
      <c r="U33" s="204"/>
      <c r="V33" s="204"/>
      <c r="W33" s="204"/>
      <c r="X33" s="204"/>
      <c r="Y33" s="204"/>
      <c r="Z33" s="204"/>
      <c r="AA33" s="204"/>
      <c r="AB33" s="204"/>
      <c r="AC33" s="204"/>
      <c r="AD33" s="204"/>
      <c r="AE33" s="204"/>
      <c r="AF33" s="204"/>
    </row>
    <row r="34" spans="7:32">
      <c r="G34" s="204"/>
      <c r="H34" s="204"/>
      <c r="I34" s="204"/>
      <c r="J34" s="204"/>
      <c r="K34" s="204"/>
      <c r="L34" s="204"/>
      <c r="M34" s="204"/>
      <c r="N34" s="204"/>
      <c r="O34" s="204"/>
      <c r="P34" s="204"/>
      <c r="Q34" s="204"/>
      <c r="R34" s="204"/>
      <c r="S34" s="204"/>
      <c r="T34" s="204"/>
      <c r="U34" s="204"/>
      <c r="V34" s="204"/>
      <c r="W34" s="204"/>
      <c r="X34" s="204"/>
      <c r="Y34" s="204"/>
      <c r="Z34" s="204"/>
      <c r="AA34" s="204"/>
      <c r="AB34" s="204"/>
      <c r="AC34" s="204"/>
      <c r="AD34" s="204"/>
      <c r="AE34" s="204"/>
      <c r="AF34" s="204"/>
    </row>
    <row r="35" spans="7:32">
      <c r="G35" s="204"/>
      <c r="H35" s="204"/>
      <c r="I35" s="204"/>
      <c r="J35" s="204"/>
      <c r="K35" s="204"/>
      <c r="L35" s="204"/>
      <c r="M35" s="204"/>
      <c r="N35" s="204"/>
      <c r="O35" s="204"/>
      <c r="P35" s="204"/>
      <c r="Q35" s="204"/>
      <c r="R35" s="204"/>
      <c r="S35" s="204"/>
      <c r="T35" s="204"/>
      <c r="U35" s="204"/>
      <c r="V35" s="204"/>
      <c r="W35" s="204"/>
      <c r="X35" s="204"/>
      <c r="Y35" s="204"/>
      <c r="Z35" s="204"/>
      <c r="AA35" s="204"/>
      <c r="AB35" s="204"/>
      <c r="AC35" s="204"/>
      <c r="AD35" s="204"/>
      <c r="AE35" s="204"/>
      <c r="AF35" s="204"/>
    </row>
    <row r="36" spans="7:32">
      <c r="G36" s="204"/>
      <c r="H36" s="204"/>
      <c r="I36" s="204"/>
      <c r="J36" s="204"/>
      <c r="K36" s="204"/>
      <c r="L36" s="204"/>
      <c r="M36" s="204"/>
      <c r="N36" s="204"/>
      <c r="O36" s="204"/>
      <c r="P36" s="204"/>
      <c r="Q36" s="204"/>
      <c r="R36" s="204"/>
      <c r="S36" s="204"/>
      <c r="T36" s="204"/>
      <c r="U36" s="204"/>
      <c r="V36" s="204"/>
      <c r="W36" s="204"/>
      <c r="X36" s="204"/>
      <c r="Y36" s="204"/>
      <c r="Z36" s="204"/>
      <c r="AA36" s="204"/>
      <c r="AB36" s="204"/>
      <c r="AC36" s="204"/>
      <c r="AD36" s="204"/>
      <c r="AE36" s="204"/>
      <c r="AF36" s="204"/>
    </row>
    <row r="37" spans="7:32">
      <c r="G37" s="204"/>
      <c r="H37" s="204"/>
      <c r="I37" s="204"/>
      <c r="J37" s="204"/>
      <c r="K37" s="204"/>
      <c r="L37" s="204"/>
      <c r="M37" s="204"/>
      <c r="N37" s="204"/>
      <c r="O37" s="204"/>
      <c r="P37" s="204"/>
      <c r="Q37" s="204"/>
      <c r="R37" s="204"/>
      <c r="S37" s="204"/>
      <c r="T37" s="204"/>
      <c r="U37" s="204"/>
      <c r="V37" s="204"/>
      <c r="W37" s="204"/>
      <c r="X37" s="204"/>
      <c r="Y37" s="204"/>
      <c r="Z37" s="204"/>
      <c r="AA37" s="204"/>
      <c r="AB37" s="204"/>
      <c r="AC37" s="204"/>
      <c r="AD37" s="204"/>
      <c r="AE37" s="204"/>
      <c r="AF37" s="204"/>
    </row>
    <row r="38" spans="7:32">
      <c r="G38" s="204"/>
      <c r="H38" s="204"/>
      <c r="I38" s="204"/>
      <c r="J38" s="204"/>
      <c r="K38" s="204"/>
      <c r="L38" s="204"/>
      <c r="M38" s="204"/>
      <c r="N38" s="204"/>
      <c r="O38" s="204"/>
      <c r="P38" s="204"/>
      <c r="Q38" s="204"/>
      <c r="R38" s="204"/>
      <c r="S38" s="204"/>
      <c r="T38" s="204"/>
      <c r="U38" s="204"/>
      <c r="V38" s="204"/>
      <c r="W38" s="204"/>
      <c r="X38" s="204"/>
      <c r="Y38" s="204"/>
      <c r="Z38" s="204"/>
      <c r="AA38" s="204"/>
      <c r="AB38" s="204"/>
      <c r="AC38" s="204"/>
      <c r="AD38" s="204"/>
      <c r="AE38" s="204"/>
      <c r="AF38" s="204"/>
    </row>
    <row r="39" spans="7:32">
      <c r="G39" s="204"/>
      <c r="H39" s="204"/>
      <c r="I39" s="204"/>
      <c r="J39" s="204"/>
      <c r="K39" s="204"/>
      <c r="L39" s="204"/>
      <c r="M39" s="204"/>
      <c r="N39" s="204"/>
      <c r="O39" s="204"/>
      <c r="P39" s="204"/>
      <c r="Q39" s="204"/>
      <c r="R39" s="204"/>
      <c r="S39" s="204"/>
      <c r="T39" s="204"/>
      <c r="U39" s="204"/>
      <c r="V39" s="204"/>
      <c r="W39" s="204"/>
      <c r="X39" s="204"/>
      <c r="Y39" s="204"/>
      <c r="Z39" s="204"/>
      <c r="AA39" s="204"/>
      <c r="AB39" s="204"/>
      <c r="AC39" s="204"/>
      <c r="AD39" s="204"/>
      <c r="AE39" s="204"/>
      <c r="AF39" s="204"/>
    </row>
    <row r="40" spans="7:32">
      <c r="G40" s="204"/>
      <c r="H40" s="204"/>
      <c r="I40" s="204"/>
      <c r="J40" s="204"/>
      <c r="K40" s="204"/>
      <c r="L40" s="204"/>
      <c r="M40" s="204"/>
      <c r="N40" s="204"/>
      <c r="O40" s="204"/>
      <c r="P40" s="204"/>
      <c r="Q40" s="204"/>
      <c r="R40" s="204"/>
      <c r="S40" s="204"/>
      <c r="T40" s="204"/>
      <c r="U40" s="204"/>
      <c r="V40" s="204"/>
      <c r="W40" s="204"/>
      <c r="X40" s="204"/>
      <c r="Y40" s="204"/>
      <c r="Z40" s="204"/>
      <c r="AA40" s="204"/>
      <c r="AB40" s="204"/>
      <c r="AC40" s="204"/>
      <c r="AD40" s="204"/>
      <c r="AE40" s="204"/>
      <c r="AF40" s="204"/>
    </row>
    <row r="41" spans="7:32">
      <c r="G41" s="204"/>
      <c r="H41" s="204"/>
      <c r="I41" s="204"/>
      <c r="J41" s="204"/>
      <c r="K41" s="204"/>
      <c r="L41" s="204"/>
      <c r="M41" s="204"/>
      <c r="N41" s="204"/>
      <c r="O41" s="204"/>
      <c r="P41" s="204"/>
      <c r="Q41" s="204"/>
      <c r="R41" s="204"/>
      <c r="S41" s="204"/>
      <c r="T41" s="204"/>
      <c r="U41" s="204"/>
      <c r="V41" s="204"/>
      <c r="W41" s="204"/>
      <c r="X41" s="204"/>
      <c r="Y41" s="204"/>
      <c r="Z41" s="204"/>
      <c r="AA41" s="204"/>
      <c r="AB41" s="204"/>
      <c r="AC41" s="204"/>
      <c r="AD41" s="204"/>
      <c r="AE41" s="204"/>
      <c r="AF41" s="204"/>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heetViews>
  <sheetFormatPr defaultRowHeight="12"/>
  <cols>
    <col min="1" max="1" width="2" style="199" customWidth="1"/>
    <col min="2" max="2" width="29.140625" style="199" customWidth="1"/>
    <col min="3" max="3" width="11.42578125" style="199" customWidth="1"/>
    <col min="4" max="4" width="9.7109375" style="199" customWidth="1"/>
    <col min="5" max="5" width="9.28515625" style="199" customWidth="1"/>
    <col min="6" max="6" width="22.42578125" style="199" customWidth="1"/>
    <col min="7" max="7" width="10.140625" style="199" bestFit="1" customWidth="1" collapsed="1"/>
    <col min="8" max="11" width="9" style="199" customWidth="1"/>
    <col min="12" max="12" width="9.28515625" style="199" customWidth="1"/>
    <col min="13" max="26" width="9.140625" style="199" customWidth="1"/>
    <col min="27" max="27" width="9.28515625" style="199" customWidth="1"/>
    <col min="28" max="28" width="9.42578125" style="199" customWidth="1"/>
    <col min="29" max="29" width="10" style="199" customWidth="1"/>
    <col min="30" max="30" width="11.42578125" style="199" customWidth="1"/>
    <col min="31" max="31" width="9.42578125" style="199" bestFit="1" customWidth="1" collapsed="1"/>
    <col min="32" max="16384" width="9.140625" style="199"/>
  </cols>
  <sheetData>
    <row r="1" spans="1:32" s="198" customFormat="1" ht="15" customHeight="1">
      <c r="B1" s="18" t="s">
        <v>369</v>
      </c>
      <c r="C1" s="197"/>
      <c r="D1" s="197"/>
      <c r="E1" s="197"/>
      <c r="F1" s="197"/>
      <c r="G1" s="197"/>
      <c r="H1" s="197"/>
      <c r="I1" s="197"/>
      <c r="J1" s="197"/>
      <c r="K1" s="197"/>
      <c r="L1" s="197"/>
    </row>
    <row r="2" spans="1:32" ht="12" customHeight="1"/>
    <row r="3" spans="1:32" s="201" customFormat="1" ht="12" customHeight="1">
      <c r="B3" s="216" t="s">
        <v>3</v>
      </c>
      <c r="C3" s="217">
        <f>'EBIT &amp; Operating Lease'!C15</f>
        <v>728.03557350426831</v>
      </c>
      <c r="D3" s="200"/>
      <c r="E3" s="200"/>
      <c r="F3" s="399" t="s">
        <v>375</v>
      </c>
      <c r="G3" s="399"/>
      <c r="H3" s="399"/>
      <c r="I3" s="399"/>
      <c r="J3" s="399"/>
      <c r="K3" s="399"/>
      <c r="L3" s="399"/>
      <c r="M3" s="399"/>
      <c r="N3" s="200"/>
      <c r="O3" s="200"/>
      <c r="P3" s="200"/>
      <c r="Q3" s="200"/>
      <c r="R3" s="200"/>
      <c r="S3" s="200"/>
      <c r="T3" s="200"/>
      <c r="U3" s="200"/>
      <c r="V3" s="200"/>
      <c r="W3" s="200"/>
      <c r="X3" s="200"/>
      <c r="Y3" s="200"/>
      <c r="Z3" s="200"/>
      <c r="AA3" s="200"/>
    </row>
    <row r="4" spans="1:32" ht="12" customHeight="1">
      <c r="F4" s="376" t="s">
        <v>59</v>
      </c>
      <c r="G4" s="377" t="s">
        <v>370</v>
      </c>
      <c r="H4" s="376">
        <v>-1</v>
      </c>
      <c r="I4" s="377">
        <v>-2</v>
      </c>
      <c r="J4" s="377">
        <v>-3</v>
      </c>
      <c r="K4" s="377">
        <v>-4</v>
      </c>
      <c r="L4" s="377">
        <v>-5</v>
      </c>
      <c r="M4" s="378"/>
    </row>
    <row r="5" spans="1:32" ht="12" customHeight="1">
      <c r="A5" s="201"/>
      <c r="B5" s="216" t="s">
        <v>376</v>
      </c>
      <c r="C5" s="266">
        <f>M7</f>
        <v>219.02599999999998</v>
      </c>
      <c r="F5" s="288" t="s">
        <v>372</v>
      </c>
      <c r="G5" s="212">
        <v>113.11</v>
      </c>
      <c r="H5" s="212">
        <v>53.76</v>
      </c>
      <c r="I5" s="212">
        <v>58.5</v>
      </c>
      <c r="J5" s="212">
        <v>48.64</v>
      </c>
      <c r="K5" s="212">
        <v>41.76</v>
      </c>
      <c r="L5" s="212">
        <v>48.12</v>
      </c>
      <c r="M5" s="374"/>
    </row>
    <row r="6" spans="1:32" ht="12" customHeight="1">
      <c r="B6" s="216" t="s">
        <v>377</v>
      </c>
      <c r="C6" s="266">
        <f>M8</f>
        <v>50.155999999999992</v>
      </c>
      <c r="F6" s="288" t="s">
        <v>373</v>
      </c>
      <c r="G6" s="139">
        <v>1</v>
      </c>
      <c r="H6" s="139">
        <f>4/5</f>
        <v>0.8</v>
      </c>
      <c r="I6" s="139">
        <f>3/5</f>
        <v>0.6</v>
      </c>
      <c r="J6" s="139">
        <f>2/5</f>
        <v>0.4</v>
      </c>
      <c r="K6" s="139">
        <f>1/5</f>
        <v>0.2</v>
      </c>
      <c r="L6" s="139">
        <v>0</v>
      </c>
      <c r="M6" s="375"/>
      <c r="N6" s="203"/>
      <c r="O6" s="203"/>
      <c r="Q6" s="203"/>
      <c r="R6" s="203"/>
      <c r="S6" s="203"/>
      <c r="T6" s="203"/>
      <c r="U6" s="203"/>
      <c r="V6" s="203"/>
      <c r="AA6" s="203"/>
    </row>
    <row r="7" spans="1:32" ht="12" customHeight="1">
      <c r="A7" s="206"/>
      <c r="B7" s="216" t="s">
        <v>378</v>
      </c>
      <c r="C7" s="217">
        <f>G5</f>
        <v>113.11</v>
      </c>
      <c r="F7" s="288" t="s">
        <v>374</v>
      </c>
      <c r="G7" s="263">
        <f>G5*G6</f>
        <v>113.11</v>
      </c>
      <c r="H7" s="263">
        <f t="shared" ref="H7:L7" si="0">H5*H6</f>
        <v>43.008000000000003</v>
      </c>
      <c r="I7" s="263">
        <f t="shared" si="0"/>
        <v>35.1</v>
      </c>
      <c r="J7" s="263">
        <f t="shared" si="0"/>
        <v>19.456000000000003</v>
      </c>
      <c r="K7" s="263">
        <f t="shared" si="0"/>
        <v>8.3520000000000003</v>
      </c>
      <c r="L7" s="263">
        <f t="shared" si="0"/>
        <v>0</v>
      </c>
      <c r="M7" s="260">
        <f>SUM(G7:L7)</f>
        <v>219.02599999999998</v>
      </c>
      <c r="N7" s="204"/>
      <c r="O7" s="268"/>
      <c r="P7" s="204"/>
      <c r="Q7" s="204"/>
      <c r="R7" s="204"/>
      <c r="S7" s="204"/>
      <c r="T7" s="204"/>
      <c r="U7" s="204"/>
      <c r="V7" s="204"/>
      <c r="W7" s="204"/>
      <c r="X7" s="204"/>
      <c r="Y7" s="204"/>
      <c r="Z7" s="204"/>
      <c r="AA7" s="204"/>
      <c r="AB7" s="204"/>
      <c r="AC7" s="204"/>
      <c r="AD7" s="204"/>
      <c r="AE7" s="204"/>
      <c r="AF7" s="204"/>
    </row>
    <row r="8" spans="1:32" ht="12" customHeight="1">
      <c r="A8" s="206"/>
      <c r="B8" s="202"/>
      <c r="C8" s="228"/>
      <c r="D8" s="207"/>
      <c r="F8" s="288" t="s">
        <v>371</v>
      </c>
      <c r="G8" s="212">
        <v>0</v>
      </c>
      <c r="H8" s="373">
        <f>H5/5</f>
        <v>10.751999999999999</v>
      </c>
      <c r="I8" s="373">
        <f t="shared" ref="I8:K8" si="1">I5/5</f>
        <v>11.7</v>
      </c>
      <c r="J8" s="373">
        <f t="shared" si="1"/>
        <v>9.7279999999999998</v>
      </c>
      <c r="K8" s="373">
        <f t="shared" si="1"/>
        <v>8.3520000000000003</v>
      </c>
      <c r="L8" s="373">
        <f>L5/5</f>
        <v>9.6239999999999988</v>
      </c>
      <c r="M8" s="260">
        <f>SUM(H8:L8)</f>
        <v>50.155999999999992</v>
      </c>
      <c r="N8" s="204"/>
      <c r="O8" s="204"/>
      <c r="P8" s="204"/>
      <c r="Q8" s="204"/>
      <c r="R8" s="204"/>
      <c r="S8" s="204"/>
      <c r="T8" s="204"/>
      <c r="U8" s="204"/>
      <c r="V8" s="204"/>
      <c r="W8" s="204"/>
      <c r="X8" s="204"/>
      <c r="Y8" s="204"/>
      <c r="Z8" s="204"/>
      <c r="AA8" s="204"/>
      <c r="AB8" s="204"/>
      <c r="AC8" s="204"/>
      <c r="AD8" s="204"/>
      <c r="AE8" s="204"/>
      <c r="AF8" s="204"/>
    </row>
    <row r="9" spans="1:32" ht="12" customHeight="1">
      <c r="A9" s="206"/>
      <c r="B9" s="216" t="s">
        <v>369</v>
      </c>
      <c r="C9" s="217">
        <f>C3+C7</f>
        <v>841.14557350426833</v>
      </c>
      <c r="H9" s="204"/>
      <c r="I9" s="204"/>
      <c r="J9" s="204"/>
      <c r="K9" s="204"/>
      <c r="L9" s="204"/>
      <c r="M9" s="204"/>
      <c r="N9" s="204"/>
      <c r="O9" s="204"/>
      <c r="P9" s="204"/>
      <c r="Q9" s="204"/>
      <c r="R9" s="204"/>
      <c r="S9" s="204"/>
      <c r="T9" s="204"/>
      <c r="U9" s="204"/>
      <c r="V9" s="204"/>
      <c r="W9" s="204"/>
      <c r="X9" s="204"/>
      <c r="Y9" s="204"/>
      <c r="Z9" s="204"/>
      <c r="AA9" s="204"/>
      <c r="AB9" s="204"/>
      <c r="AC9" s="204"/>
      <c r="AD9" s="204"/>
      <c r="AE9" s="204"/>
      <c r="AF9" s="204"/>
    </row>
    <row r="10" spans="1:32">
      <c r="A10" s="206" t="s">
        <v>98</v>
      </c>
      <c r="B10" s="216" t="s">
        <v>379</v>
      </c>
      <c r="C10" s="217">
        <f>C6</f>
        <v>50.155999999999992</v>
      </c>
      <c r="H10" s="204"/>
      <c r="I10" s="204"/>
      <c r="J10" s="204"/>
      <c r="K10" s="204"/>
      <c r="L10" s="204"/>
      <c r="M10" s="204"/>
      <c r="N10" s="236"/>
      <c r="O10" s="204"/>
      <c r="P10" s="204"/>
      <c r="Q10" s="204"/>
      <c r="R10" s="204"/>
      <c r="S10" s="204"/>
      <c r="T10" s="204"/>
      <c r="U10" s="204"/>
      <c r="V10" s="204"/>
      <c r="W10" s="204"/>
      <c r="X10" s="204"/>
      <c r="Y10" s="204"/>
      <c r="Z10" s="204"/>
      <c r="AA10" s="204"/>
      <c r="AB10" s="204"/>
      <c r="AC10" s="204"/>
      <c r="AD10" s="204"/>
      <c r="AE10" s="204"/>
      <c r="AF10" s="204"/>
    </row>
    <row r="11" spans="1:32">
      <c r="A11" s="202"/>
      <c r="B11" s="220" t="s">
        <v>202</v>
      </c>
      <c r="C11" s="221">
        <f>C9-C10</f>
        <v>790.98957350426838</v>
      </c>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row>
    <row r="12" spans="1:32">
      <c r="A12" s="206"/>
      <c r="B12" s="202"/>
      <c r="C12" s="228"/>
      <c r="H12" s="204"/>
      <c r="I12" s="204"/>
      <c r="J12" s="204"/>
      <c r="K12" s="204"/>
      <c r="L12" s="204"/>
      <c r="M12" s="204"/>
      <c r="N12" s="204"/>
      <c r="O12" s="204"/>
      <c r="P12" s="204"/>
      <c r="Q12" s="204"/>
      <c r="R12" s="204"/>
      <c r="S12" s="204"/>
      <c r="T12" s="204"/>
      <c r="U12" s="204"/>
      <c r="V12" s="204"/>
      <c r="W12" s="204"/>
      <c r="X12" s="204"/>
      <c r="Y12" s="204"/>
      <c r="Z12" s="204"/>
      <c r="AA12" s="204"/>
      <c r="AB12" s="204"/>
      <c r="AC12" s="204"/>
      <c r="AD12" s="204"/>
      <c r="AE12" s="204"/>
      <c r="AF12" s="204"/>
    </row>
    <row r="13" spans="1:32">
      <c r="B13" s="216" t="s">
        <v>380</v>
      </c>
      <c r="C13" s="225">
        <f>C11*(1-Beta!C14)</f>
        <v>611.11854448939766</v>
      </c>
      <c r="G13" s="204"/>
      <c r="H13" s="204"/>
      <c r="I13" s="204"/>
      <c r="J13" s="204"/>
      <c r="K13" s="204"/>
      <c r="L13" s="204"/>
      <c r="M13" s="204"/>
      <c r="N13" s="204"/>
      <c r="O13" s="204"/>
      <c r="P13" s="204"/>
      <c r="Q13" s="204"/>
      <c r="R13" s="204"/>
      <c r="S13" s="204"/>
      <c r="T13" s="204"/>
      <c r="U13" s="204"/>
      <c r="V13" s="204"/>
      <c r="W13" s="204"/>
      <c r="X13" s="204"/>
      <c r="Y13" s="204"/>
      <c r="Z13" s="204"/>
      <c r="AA13" s="204"/>
      <c r="AB13" s="204"/>
      <c r="AC13" s="204"/>
      <c r="AD13" s="204"/>
      <c r="AE13" s="204"/>
      <c r="AF13" s="204"/>
    </row>
    <row r="14" spans="1:32">
      <c r="A14" s="206"/>
      <c r="B14" s="202"/>
      <c r="C14" s="228"/>
      <c r="G14" s="204"/>
      <c r="H14" s="204"/>
      <c r="I14" s="204"/>
      <c r="J14" s="204"/>
      <c r="K14" s="204"/>
      <c r="L14" s="204"/>
      <c r="M14" s="204"/>
      <c r="N14" s="204"/>
      <c r="O14" s="204"/>
      <c r="P14" s="204"/>
      <c r="Q14" s="204"/>
      <c r="R14" s="204"/>
      <c r="S14" s="204"/>
      <c r="T14" s="204"/>
      <c r="U14" s="204"/>
      <c r="V14" s="204"/>
      <c r="W14" s="204"/>
      <c r="X14" s="204"/>
      <c r="Y14" s="204"/>
      <c r="Z14" s="204"/>
      <c r="AA14" s="204"/>
      <c r="AB14" s="204"/>
      <c r="AC14" s="204"/>
      <c r="AD14" s="204"/>
      <c r="AE14" s="204"/>
      <c r="AF14" s="204"/>
    </row>
    <row r="15" spans="1:32">
      <c r="B15" s="202"/>
      <c r="C15" s="228"/>
      <c r="G15" s="204"/>
      <c r="H15" s="204"/>
      <c r="I15" s="204"/>
      <c r="J15" s="204"/>
      <c r="K15" s="204"/>
      <c r="L15" s="204"/>
      <c r="M15" s="204"/>
      <c r="N15" s="204"/>
      <c r="O15" s="204"/>
      <c r="P15" s="204"/>
      <c r="Q15" s="204"/>
      <c r="R15" s="204"/>
      <c r="S15" s="204"/>
      <c r="T15" s="204"/>
      <c r="U15" s="204"/>
      <c r="V15" s="204"/>
      <c r="W15" s="204"/>
      <c r="X15" s="204"/>
      <c r="Y15" s="204"/>
      <c r="Z15" s="204"/>
      <c r="AA15" s="204"/>
      <c r="AB15" s="204"/>
      <c r="AC15" s="204"/>
      <c r="AD15" s="204"/>
      <c r="AE15" s="204"/>
      <c r="AF15" s="204"/>
    </row>
    <row r="16" spans="1:32">
      <c r="D16" s="204"/>
      <c r="E16" s="204"/>
      <c r="F16" s="204"/>
      <c r="G16" s="204"/>
      <c r="H16" s="204"/>
      <c r="I16" s="204"/>
      <c r="O16" s="204"/>
      <c r="P16" s="204"/>
      <c r="Q16" s="204"/>
      <c r="R16" s="204"/>
      <c r="S16" s="204"/>
      <c r="T16" s="204"/>
      <c r="U16" s="204"/>
      <c r="V16" s="204"/>
      <c r="W16" s="204"/>
      <c r="X16" s="204"/>
      <c r="Y16" s="204"/>
      <c r="Z16" s="204"/>
      <c r="AA16" s="204"/>
      <c r="AB16" s="204"/>
      <c r="AC16" s="204"/>
      <c r="AD16" s="204"/>
      <c r="AE16" s="204"/>
      <c r="AF16" s="204"/>
    </row>
    <row r="17" spans="2:32">
      <c r="D17" s="209"/>
      <c r="E17" s="209"/>
      <c r="F17" s="209"/>
      <c r="G17" s="209"/>
      <c r="H17" s="209"/>
      <c r="I17" s="210"/>
      <c r="O17" s="204"/>
      <c r="P17" s="204"/>
      <c r="Q17" s="204"/>
      <c r="R17" s="204"/>
      <c r="S17" s="204"/>
      <c r="T17" s="204"/>
      <c r="U17" s="204"/>
      <c r="V17" s="204"/>
      <c r="W17" s="204"/>
      <c r="X17" s="204"/>
      <c r="Y17" s="204"/>
      <c r="Z17" s="204"/>
      <c r="AA17" s="204"/>
      <c r="AB17" s="204"/>
      <c r="AC17" s="204"/>
      <c r="AD17" s="204"/>
      <c r="AE17" s="204"/>
      <c r="AF17" s="204"/>
    </row>
    <row r="18" spans="2:32">
      <c r="D18" s="84"/>
      <c r="E18" s="84"/>
      <c r="F18" s="84"/>
      <c r="G18" s="84"/>
      <c r="H18" s="84"/>
      <c r="I18" s="84"/>
      <c r="J18" s="204"/>
      <c r="K18" s="204"/>
      <c r="L18" s="204"/>
      <c r="M18" s="204"/>
      <c r="N18" s="204"/>
      <c r="O18" s="204"/>
      <c r="P18" s="204"/>
      <c r="Q18" s="204"/>
      <c r="R18" s="204"/>
      <c r="S18" s="204"/>
      <c r="T18" s="204"/>
      <c r="U18" s="204"/>
      <c r="V18" s="204"/>
      <c r="W18" s="204"/>
      <c r="X18" s="204"/>
      <c r="Y18" s="204"/>
      <c r="Z18" s="204"/>
      <c r="AA18" s="204"/>
      <c r="AB18" s="204"/>
      <c r="AC18" s="204"/>
      <c r="AD18" s="204"/>
      <c r="AE18" s="204"/>
      <c r="AF18" s="204"/>
    </row>
    <row r="19" spans="2:32" ht="15">
      <c r="B19" s="226"/>
      <c r="D19" s="84"/>
      <c r="E19" s="84"/>
      <c r="F19" s="84"/>
      <c r="G19" s="84"/>
      <c r="H19" s="84"/>
      <c r="I19" s="84"/>
      <c r="J19" s="204"/>
      <c r="K19" s="204"/>
      <c r="L19" s="204"/>
      <c r="M19" s="204"/>
      <c r="N19" s="204"/>
      <c r="O19" s="204"/>
      <c r="P19" s="204"/>
      <c r="Q19" s="204"/>
      <c r="R19" s="204"/>
      <c r="S19" s="204"/>
      <c r="T19" s="204"/>
      <c r="U19" s="204"/>
      <c r="V19" s="204"/>
      <c r="W19" s="204"/>
      <c r="X19" s="204"/>
      <c r="Y19" s="204"/>
      <c r="Z19" s="204"/>
      <c r="AA19" s="204"/>
      <c r="AB19" s="204"/>
      <c r="AC19" s="204"/>
      <c r="AD19" s="204"/>
      <c r="AE19" s="204"/>
      <c r="AF19" s="204"/>
    </row>
    <row r="20" spans="2:32">
      <c r="B20" s="200"/>
      <c r="C20" s="227"/>
      <c r="D20" s="211"/>
      <c r="E20" s="211"/>
      <c r="F20" s="211"/>
      <c r="G20" s="211"/>
      <c r="H20" s="211"/>
      <c r="I20" s="209"/>
      <c r="J20" s="204"/>
      <c r="K20" s="204"/>
      <c r="L20" s="204"/>
      <c r="M20" s="204"/>
      <c r="N20" s="204"/>
      <c r="O20" s="204"/>
      <c r="P20" s="204"/>
      <c r="Q20" s="204"/>
      <c r="R20" s="204"/>
      <c r="S20" s="204"/>
      <c r="T20" s="204"/>
      <c r="U20" s="204"/>
      <c r="V20" s="204"/>
      <c r="W20" s="204"/>
      <c r="X20" s="204"/>
      <c r="Y20" s="204"/>
      <c r="Z20" s="204"/>
      <c r="AA20" s="204"/>
      <c r="AB20" s="204"/>
      <c r="AC20" s="204"/>
      <c r="AD20" s="204"/>
      <c r="AE20" s="204"/>
      <c r="AF20" s="204"/>
    </row>
    <row r="21" spans="2:32">
      <c r="B21" s="202"/>
      <c r="C21" s="228"/>
      <c r="G21" s="204"/>
      <c r="H21" s="209"/>
      <c r="I21" s="204"/>
      <c r="J21" s="204"/>
      <c r="K21" s="204"/>
      <c r="L21" s="204"/>
      <c r="M21" s="204"/>
      <c r="N21" s="204"/>
      <c r="O21" s="204"/>
      <c r="P21" s="204"/>
      <c r="Q21" s="204"/>
      <c r="R21" s="204"/>
      <c r="S21" s="204"/>
      <c r="T21" s="204"/>
      <c r="U21" s="204"/>
      <c r="V21" s="204"/>
      <c r="W21" s="204"/>
      <c r="X21" s="204"/>
      <c r="Y21" s="204"/>
      <c r="Z21" s="204"/>
      <c r="AA21" s="204"/>
      <c r="AB21" s="204"/>
      <c r="AC21" s="204"/>
      <c r="AD21" s="204"/>
      <c r="AE21" s="204"/>
      <c r="AF21" s="204"/>
    </row>
    <row r="22" spans="2:32">
      <c r="B22" s="202"/>
      <c r="C22" s="228"/>
      <c r="G22" s="204"/>
      <c r="H22" s="204"/>
      <c r="I22" s="204"/>
      <c r="J22" s="204"/>
      <c r="K22" s="204"/>
      <c r="L22" s="204"/>
      <c r="M22" s="204"/>
      <c r="N22" s="204"/>
      <c r="O22" s="204"/>
      <c r="P22" s="204"/>
      <c r="Q22" s="204"/>
      <c r="R22" s="204"/>
      <c r="S22" s="204"/>
      <c r="T22" s="204"/>
      <c r="U22" s="204"/>
      <c r="V22" s="204"/>
      <c r="W22" s="204"/>
      <c r="X22" s="204"/>
      <c r="Y22" s="204"/>
      <c r="Z22" s="204"/>
      <c r="AA22" s="204"/>
      <c r="AB22" s="204"/>
      <c r="AC22" s="204"/>
      <c r="AD22" s="204"/>
      <c r="AE22" s="204"/>
      <c r="AF22" s="204"/>
    </row>
    <row r="23" spans="2:32">
      <c r="B23" s="202"/>
      <c r="C23" s="229"/>
      <c r="G23" s="204"/>
      <c r="H23" s="204"/>
      <c r="I23" s="204"/>
      <c r="J23" s="204"/>
      <c r="K23" s="204"/>
      <c r="L23" s="204"/>
      <c r="M23" s="204"/>
      <c r="N23" s="204"/>
      <c r="O23" s="204"/>
      <c r="P23" s="204"/>
      <c r="Q23" s="204"/>
      <c r="R23" s="204"/>
      <c r="S23" s="204"/>
      <c r="T23" s="204"/>
      <c r="U23" s="204"/>
      <c r="V23" s="204"/>
      <c r="W23" s="204"/>
      <c r="X23" s="204"/>
      <c r="Y23" s="204"/>
      <c r="Z23" s="204"/>
      <c r="AA23" s="204"/>
      <c r="AB23" s="204"/>
      <c r="AC23" s="204"/>
      <c r="AD23" s="204"/>
      <c r="AE23" s="204"/>
      <c r="AF23" s="204"/>
    </row>
    <row r="24" spans="2:32">
      <c r="B24" s="202"/>
      <c r="C24" s="202"/>
      <c r="G24" s="204"/>
      <c r="H24" s="204"/>
      <c r="I24" s="204"/>
      <c r="J24" s="204"/>
      <c r="K24" s="204"/>
      <c r="L24" s="204"/>
      <c r="M24" s="204"/>
      <c r="N24" s="204"/>
      <c r="O24" s="204"/>
      <c r="P24" s="204"/>
      <c r="Q24" s="204"/>
      <c r="R24" s="204"/>
      <c r="S24" s="204"/>
      <c r="T24" s="204"/>
      <c r="U24" s="204"/>
      <c r="V24" s="204"/>
      <c r="W24" s="204"/>
      <c r="X24" s="204"/>
      <c r="Y24" s="204"/>
      <c r="Z24" s="204"/>
      <c r="AA24" s="204"/>
      <c r="AB24" s="204"/>
      <c r="AC24" s="204"/>
      <c r="AD24" s="204"/>
      <c r="AE24" s="204"/>
      <c r="AF24" s="204"/>
    </row>
    <row r="25" spans="2:32">
      <c r="B25" s="202"/>
      <c r="C25" s="228"/>
      <c r="G25" s="204"/>
      <c r="H25" s="204"/>
      <c r="I25" s="204"/>
      <c r="J25" s="204"/>
      <c r="K25" s="204"/>
      <c r="L25" s="204"/>
      <c r="M25" s="204"/>
      <c r="N25" s="204"/>
      <c r="O25" s="204"/>
      <c r="P25" s="204"/>
      <c r="Q25" s="204"/>
      <c r="R25" s="204"/>
      <c r="S25" s="204"/>
      <c r="T25" s="204"/>
      <c r="U25" s="204"/>
      <c r="V25" s="204"/>
      <c r="W25" s="204"/>
      <c r="X25" s="204"/>
      <c r="Y25" s="204"/>
      <c r="Z25" s="204"/>
      <c r="AA25" s="204"/>
      <c r="AB25" s="204"/>
      <c r="AC25" s="204"/>
      <c r="AD25" s="204"/>
      <c r="AE25" s="204"/>
      <c r="AF25" s="204"/>
    </row>
    <row r="26" spans="2:32">
      <c r="B26" s="202"/>
      <c r="C26" s="228"/>
      <c r="G26" s="204"/>
      <c r="H26" s="204"/>
      <c r="I26" s="204"/>
      <c r="J26" s="204"/>
      <c r="K26" s="204"/>
      <c r="L26" s="204"/>
      <c r="M26" s="204"/>
      <c r="N26" s="204"/>
      <c r="O26" s="204"/>
      <c r="P26" s="204"/>
      <c r="Q26" s="204"/>
      <c r="R26" s="204"/>
      <c r="S26" s="204"/>
      <c r="T26" s="204"/>
      <c r="U26" s="204"/>
      <c r="V26" s="204"/>
      <c r="W26" s="204"/>
      <c r="X26" s="204"/>
      <c r="Y26" s="204"/>
      <c r="Z26" s="204"/>
      <c r="AA26" s="204"/>
      <c r="AB26" s="204"/>
      <c r="AC26" s="204"/>
      <c r="AD26" s="204"/>
      <c r="AE26" s="204"/>
      <c r="AF26" s="204"/>
    </row>
    <row r="27" spans="2:32">
      <c r="B27" s="202"/>
      <c r="C27" s="202"/>
      <c r="G27" s="204"/>
      <c r="H27" s="204"/>
      <c r="I27" s="204"/>
      <c r="J27" s="204"/>
      <c r="K27" s="204"/>
      <c r="L27" s="204"/>
      <c r="M27" s="204"/>
      <c r="N27" s="204"/>
      <c r="O27" s="204"/>
      <c r="P27" s="204"/>
      <c r="Q27" s="204"/>
      <c r="R27" s="204"/>
      <c r="S27" s="204"/>
      <c r="T27" s="204"/>
      <c r="U27" s="204"/>
      <c r="V27" s="204"/>
      <c r="W27" s="204"/>
      <c r="X27" s="204"/>
      <c r="Y27" s="204"/>
      <c r="Z27" s="204"/>
      <c r="AA27" s="204"/>
      <c r="AB27" s="204"/>
      <c r="AC27" s="204"/>
      <c r="AD27" s="204"/>
      <c r="AE27" s="204"/>
      <c r="AF27" s="204"/>
    </row>
    <row r="28" spans="2:32">
      <c r="B28" s="202"/>
      <c r="C28" s="228"/>
      <c r="G28" s="204"/>
      <c r="H28" s="204"/>
      <c r="I28" s="204"/>
      <c r="J28" s="204"/>
      <c r="K28" s="204"/>
      <c r="L28" s="204"/>
      <c r="M28" s="204"/>
      <c r="N28" s="204"/>
      <c r="O28" s="204"/>
      <c r="P28" s="204"/>
      <c r="Q28" s="204"/>
      <c r="R28" s="204"/>
      <c r="S28" s="204"/>
      <c r="T28" s="204"/>
      <c r="U28" s="204"/>
      <c r="V28" s="204"/>
      <c r="W28" s="204"/>
      <c r="X28" s="204"/>
      <c r="Y28" s="204"/>
      <c r="Z28" s="204"/>
      <c r="AA28" s="204"/>
      <c r="AB28" s="204"/>
      <c r="AC28" s="204"/>
      <c r="AD28" s="204"/>
      <c r="AE28" s="204"/>
      <c r="AF28" s="204"/>
    </row>
    <row r="29" spans="2:32">
      <c r="G29" s="204"/>
      <c r="H29" s="204"/>
      <c r="I29" s="204"/>
      <c r="J29" s="204"/>
      <c r="K29" s="204"/>
      <c r="L29" s="204"/>
      <c r="M29" s="204"/>
      <c r="N29" s="204"/>
      <c r="O29" s="204"/>
      <c r="P29" s="204"/>
      <c r="Q29" s="204"/>
      <c r="R29" s="204"/>
      <c r="S29" s="204"/>
      <c r="T29" s="204"/>
      <c r="U29" s="204"/>
      <c r="V29" s="204"/>
      <c r="W29" s="204"/>
      <c r="X29" s="204"/>
      <c r="Y29" s="204"/>
      <c r="Z29" s="204"/>
      <c r="AA29" s="204"/>
      <c r="AB29" s="204"/>
      <c r="AC29" s="204"/>
      <c r="AD29" s="204"/>
      <c r="AE29" s="204"/>
      <c r="AF29" s="204"/>
    </row>
    <row r="30" spans="2:32">
      <c r="G30" s="204"/>
      <c r="H30" s="204"/>
      <c r="I30" s="204"/>
      <c r="J30" s="204"/>
      <c r="K30" s="204"/>
      <c r="L30" s="204"/>
      <c r="M30" s="204"/>
      <c r="N30" s="204"/>
      <c r="O30" s="204"/>
      <c r="P30" s="204"/>
      <c r="Q30" s="204"/>
      <c r="R30" s="204"/>
      <c r="S30" s="204"/>
      <c r="T30" s="204"/>
      <c r="U30" s="204"/>
      <c r="V30" s="204"/>
      <c r="W30" s="204"/>
      <c r="X30" s="204"/>
      <c r="Y30" s="204"/>
      <c r="Z30" s="204"/>
      <c r="AA30" s="204"/>
      <c r="AB30" s="204"/>
      <c r="AC30" s="204"/>
      <c r="AD30" s="204"/>
      <c r="AE30" s="204"/>
      <c r="AF30" s="204"/>
    </row>
    <row r="31" spans="2:32">
      <c r="G31" s="204"/>
      <c r="H31" s="204"/>
      <c r="I31" s="204"/>
      <c r="J31" s="204"/>
      <c r="K31" s="204"/>
      <c r="L31" s="204"/>
      <c r="M31" s="204"/>
      <c r="N31" s="204"/>
      <c r="O31" s="204"/>
      <c r="P31" s="204"/>
      <c r="Q31" s="204"/>
      <c r="R31" s="204"/>
      <c r="S31" s="204"/>
      <c r="T31" s="204"/>
      <c r="U31" s="204"/>
      <c r="V31" s="204"/>
      <c r="W31" s="204"/>
      <c r="X31" s="204"/>
      <c r="Y31" s="204"/>
      <c r="Z31" s="204"/>
      <c r="AA31" s="204"/>
      <c r="AB31" s="204"/>
      <c r="AC31" s="204"/>
      <c r="AD31" s="204"/>
      <c r="AE31" s="204"/>
      <c r="AF31" s="204"/>
    </row>
    <row r="32" spans="2:32">
      <c r="G32" s="204"/>
      <c r="H32" s="204"/>
      <c r="I32" s="204"/>
      <c r="J32" s="204"/>
      <c r="K32" s="204"/>
      <c r="L32" s="204"/>
      <c r="M32" s="204"/>
      <c r="N32" s="204"/>
      <c r="O32" s="204"/>
      <c r="P32" s="204"/>
      <c r="Q32" s="204"/>
      <c r="R32" s="204"/>
      <c r="S32" s="204"/>
      <c r="T32" s="204"/>
      <c r="U32" s="204"/>
      <c r="V32" s="204"/>
      <c r="W32" s="204"/>
      <c r="X32" s="204"/>
      <c r="Y32" s="204"/>
      <c r="Z32" s="204"/>
      <c r="AA32" s="204"/>
      <c r="AB32" s="204"/>
      <c r="AC32" s="204"/>
      <c r="AD32" s="204"/>
      <c r="AE32" s="204"/>
      <c r="AF32" s="204"/>
    </row>
    <row r="33" spans="7:32" ht="14.25" customHeight="1">
      <c r="G33" s="204"/>
      <c r="H33" s="204"/>
      <c r="I33" s="204"/>
      <c r="J33" s="204"/>
      <c r="K33" s="204"/>
      <c r="L33" s="204"/>
      <c r="M33" s="204"/>
      <c r="N33" s="204"/>
      <c r="O33" s="204"/>
      <c r="P33" s="204"/>
      <c r="Q33" s="204"/>
      <c r="R33" s="204"/>
      <c r="S33" s="204"/>
      <c r="T33" s="204"/>
      <c r="U33" s="204"/>
      <c r="V33" s="204"/>
      <c r="W33" s="204"/>
      <c r="X33" s="204"/>
      <c r="Y33" s="204"/>
      <c r="Z33" s="204"/>
      <c r="AA33" s="204"/>
      <c r="AB33" s="204"/>
      <c r="AC33" s="204"/>
      <c r="AD33" s="204"/>
      <c r="AE33" s="204"/>
      <c r="AF33" s="204"/>
    </row>
    <row r="34" spans="7:32">
      <c r="G34" s="204"/>
      <c r="H34" s="204"/>
      <c r="I34" s="204"/>
      <c r="J34" s="204"/>
      <c r="K34" s="204"/>
      <c r="L34" s="204"/>
      <c r="M34" s="204"/>
      <c r="N34" s="204"/>
      <c r="O34" s="204"/>
      <c r="P34" s="204"/>
      <c r="Q34" s="204"/>
      <c r="R34" s="204"/>
      <c r="S34" s="204"/>
      <c r="T34" s="204"/>
      <c r="U34" s="204"/>
      <c r="V34" s="204"/>
      <c r="W34" s="204"/>
      <c r="X34" s="204"/>
      <c r="Y34" s="204"/>
      <c r="Z34" s="204"/>
      <c r="AA34" s="204"/>
      <c r="AB34" s="204"/>
      <c r="AC34" s="204"/>
      <c r="AD34" s="204"/>
      <c r="AE34" s="204"/>
      <c r="AF34" s="204"/>
    </row>
    <row r="35" spans="7:32">
      <c r="G35" s="204"/>
      <c r="H35" s="204"/>
      <c r="I35" s="204"/>
      <c r="J35" s="204"/>
      <c r="K35" s="204"/>
      <c r="L35" s="204"/>
      <c r="M35" s="204"/>
      <c r="N35" s="204"/>
      <c r="O35" s="204"/>
      <c r="P35" s="204"/>
      <c r="Q35" s="204"/>
      <c r="R35" s="204"/>
      <c r="S35" s="204"/>
      <c r="T35" s="204"/>
      <c r="U35" s="204"/>
      <c r="V35" s="204"/>
      <c r="W35" s="204"/>
      <c r="X35" s="204"/>
      <c r="Y35" s="204"/>
      <c r="Z35" s="204"/>
      <c r="AA35" s="204"/>
      <c r="AB35" s="204"/>
      <c r="AC35" s="204"/>
      <c r="AD35" s="204"/>
      <c r="AE35" s="204"/>
      <c r="AF35" s="204"/>
    </row>
    <row r="36" spans="7:32">
      <c r="G36" s="204"/>
      <c r="H36" s="204"/>
      <c r="I36" s="204"/>
      <c r="J36" s="204"/>
      <c r="K36" s="204"/>
      <c r="L36" s="204"/>
      <c r="M36" s="204"/>
      <c r="N36" s="204"/>
      <c r="O36" s="204"/>
      <c r="P36" s="204"/>
      <c r="Q36" s="204"/>
      <c r="R36" s="204"/>
      <c r="S36" s="204"/>
      <c r="T36" s="204"/>
      <c r="U36" s="204"/>
      <c r="V36" s="204"/>
      <c r="W36" s="204"/>
      <c r="X36" s="204"/>
      <c r="Y36" s="204"/>
      <c r="Z36" s="204"/>
      <c r="AA36" s="204"/>
      <c r="AB36" s="204"/>
      <c r="AC36" s="204"/>
      <c r="AD36" s="204"/>
      <c r="AE36" s="204"/>
      <c r="AF36" s="204"/>
    </row>
    <row r="37" spans="7:32">
      <c r="G37" s="204"/>
      <c r="H37" s="204"/>
      <c r="I37" s="204"/>
      <c r="J37" s="204"/>
      <c r="K37" s="204"/>
      <c r="L37" s="204"/>
      <c r="M37" s="204"/>
      <c r="N37" s="204"/>
      <c r="O37" s="204"/>
      <c r="P37" s="204"/>
      <c r="Q37" s="204"/>
      <c r="R37" s="204"/>
      <c r="S37" s="204"/>
      <c r="T37" s="204"/>
      <c r="U37" s="204"/>
      <c r="V37" s="204"/>
      <c r="W37" s="204"/>
      <c r="X37" s="204"/>
      <c r="Y37" s="204"/>
      <c r="Z37" s="204"/>
      <c r="AA37" s="204"/>
      <c r="AB37" s="204"/>
      <c r="AC37" s="204"/>
      <c r="AD37" s="204"/>
      <c r="AE37" s="204"/>
      <c r="AF37" s="204"/>
    </row>
    <row r="38" spans="7:32">
      <c r="G38" s="204"/>
      <c r="H38" s="204"/>
      <c r="I38" s="204"/>
      <c r="J38" s="204"/>
      <c r="K38" s="204"/>
      <c r="L38" s="204"/>
      <c r="M38" s="204"/>
      <c r="N38" s="204"/>
      <c r="O38" s="204"/>
      <c r="P38" s="204"/>
      <c r="Q38" s="204"/>
      <c r="R38" s="204"/>
      <c r="S38" s="204"/>
      <c r="T38" s="204"/>
      <c r="U38" s="204"/>
      <c r="V38" s="204"/>
      <c r="W38" s="204"/>
      <c r="X38" s="204"/>
      <c r="Y38" s="204"/>
      <c r="Z38" s="204"/>
      <c r="AA38" s="204"/>
      <c r="AB38" s="204"/>
      <c r="AC38" s="204"/>
      <c r="AD38" s="204"/>
      <c r="AE38" s="204"/>
      <c r="AF38" s="204"/>
    </row>
    <row r="39" spans="7:32">
      <c r="G39" s="204"/>
      <c r="H39" s="204"/>
      <c r="I39" s="204"/>
      <c r="J39" s="204"/>
      <c r="K39" s="204"/>
      <c r="L39" s="204"/>
      <c r="M39" s="204"/>
      <c r="N39" s="204"/>
      <c r="O39" s="204"/>
      <c r="P39" s="204"/>
      <c r="Q39" s="204"/>
      <c r="R39" s="204"/>
      <c r="S39" s="204"/>
      <c r="T39" s="204"/>
      <c r="U39" s="204"/>
      <c r="V39" s="204"/>
      <c r="W39" s="204"/>
      <c r="X39" s="204"/>
      <c r="Y39" s="204"/>
      <c r="Z39" s="204"/>
      <c r="AA39" s="204"/>
      <c r="AB39" s="204"/>
      <c r="AC39" s="204"/>
      <c r="AD39" s="204"/>
      <c r="AE39" s="204"/>
      <c r="AF39" s="204"/>
    </row>
    <row r="40" spans="7:32">
      <c r="G40" s="204"/>
      <c r="H40" s="204"/>
      <c r="I40" s="204"/>
      <c r="J40" s="204"/>
      <c r="K40" s="204"/>
      <c r="L40" s="204"/>
      <c r="M40" s="204"/>
      <c r="N40" s="204"/>
      <c r="O40" s="204"/>
      <c r="P40" s="204"/>
      <c r="Q40" s="204"/>
      <c r="R40" s="204"/>
      <c r="S40" s="204"/>
      <c r="T40" s="204"/>
      <c r="U40" s="204"/>
      <c r="V40" s="204"/>
      <c r="W40" s="204"/>
      <c r="X40" s="204"/>
      <c r="Y40" s="204"/>
      <c r="Z40" s="204"/>
      <c r="AA40" s="204"/>
      <c r="AB40" s="204"/>
      <c r="AC40" s="204"/>
      <c r="AD40" s="204"/>
      <c r="AE40" s="204"/>
      <c r="AF40" s="204"/>
    </row>
    <row r="41" spans="7:32">
      <c r="G41" s="204"/>
      <c r="H41" s="204"/>
      <c r="I41" s="204"/>
      <c r="J41" s="204"/>
      <c r="K41" s="204"/>
      <c r="L41" s="204"/>
      <c r="M41" s="204"/>
      <c r="N41" s="204"/>
      <c r="O41" s="204"/>
      <c r="P41" s="204"/>
      <c r="Q41" s="204"/>
      <c r="R41" s="204"/>
      <c r="S41" s="204"/>
      <c r="T41" s="204"/>
      <c r="U41" s="204"/>
      <c r="V41" s="204"/>
      <c r="W41" s="204"/>
      <c r="X41" s="204"/>
      <c r="Y41" s="204"/>
      <c r="Z41" s="204"/>
      <c r="AA41" s="204"/>
      <c r="AB41" s="204"/>
      <c r="AC41" s="204"/>
      <c r="AD41" s="204"/>
      <c r="AE41" s="204"/>
      <c r="AF41" s="204"/>
    </row>
  </sheetData>
  <mergeCells count="1">
    <mergeCell ref="F3:M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9" customWidth="1"/>
    <col min="2" max="2" width="40" style="199" customWidth="1"/>
    <col min="3" max="3" width="10.5703125" style="199" customWidth="1"/>
    <col min="4" max="4" width="4" style="199" customWidth="1"/>
    <col min="5" max="5" width="9.28515625" style="199" customWidth="1"/>
    <col min="6" max="6" width="9.85546875" style="199" customWidth="1"/>
    <col min="7" max="7" width="10.140625" style="199" bestFit="1" customWidth="1" collapsed="1"/>
    <col min="8" max="11" width="9" style="199" customWidth="1"/>
    <col min="12" max="12" width="9.28515625" style="199" customWidth="1"/>
    <col min="13" max="26" width="9.140625" style="199" customWidth="1"/>
    <col min="27" max="27" width="9.28515625" style="199" customWidth="1"/>
    <col min="28" max="28" width="9.42578125" style="199" customWidth="1"/>
    <col min="29" max="29" width="10" style="199" customWidth="1"/>
    <col min="30" max="30" width="11.42578125" style="199" customWidth="1"/>
    <col min="31" max="31" width="9.42578125" style="199" bestFit="1" customWidth="1" collapsed="1"/>
    <col min="32" max="16384" width="9.140625" style="199"/>
  </cols>
  <sheetData>
    <row r="1" spans="1:32" s="198" customFormat="1" ht="15" customHeight="1">
      <c r="B1" s="18" t="s">
        <v>212</v>
      </c>
      <c r="C1" s="197"/>
      <c r="D1" s="197"/>
      <c r="E1" s="197"/>
      <c r="F1" s="197"/>
      <c r="G1" s="197"/>
      <c r="H1" s="197"/>
      <c r="I1" s="197"/>
      <c r="J1" s="197"/>
      <c r="K1" s="197"/>
      <c r="L1" s="197"/>
    </row>
    <row r="2" spans="1:32" ht="12.75" customHeight="1">
      <c r="C2" s="227" t="s">
        <v>180</v>
      </c>
    </row>
    <row r="3" spans="1:32">
      <c r="A3" s="201"/>
      <c r="B3" s="216" t="s">
        <v>213</v>
      </c>
      <c r="C3" s="231">
        <v>270.92</v>
      </c>
    </row>
    <row r="4" spans="1:32">
      <c r="A4" s="206" t="s">
        <v>98</v>
      </c>
      <c r="B4" s="214" t="s">
        <v>2</v>
      </c>
      <c r="C4" s="215">
        <f>-310.82-0.73</f>
        <v>-311.55</v>
      </c>
      <c r="L4" s="203"/>
      <c r="N4" s="203"/>
      <c r="O4" s="203"/>
      <c r="Q4" s="203"/>
      <c r="R4" s="203"/>
      <c r="S4" s="203"/>
      <c r="T4" s="203"/>
      <c r="U4" s="203"/>
      <c r="V4" s="203"/>
      <c r="AA4" s="203"/>
    </row>
    <row r="5" spans="1:32">
      <c r="A5" s="206"/>
      <c r="B5" s="218" t="s">
        <v>212</v>
      </c>
      <c r="C5" s="219">
        <f>C3+C4</f>
        <v>-40.629999999999995</v>
      </c>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row>
    <row r="6" spans="1:32">
      <c r="A6" s="206" t="s">
        <v>199</v>
      </c>
      <c r="B6" s="230" t="s">
        <v>223</v>
      </c>
      <c r="C6" s="231">
        <v>66.27</v>
      </c>
      <c r="D6" s="207"/>
      <c r="H6" s="204"/>
      <c r="I6" s="204"/>
      <c r="J6" s="204"/>
      <c r="K6" s="204"/>
      <c r="L6" s="204"/>
      <c r="M6" s="204"/>
      <c r="N6" s="204"/>
      <c r="O6" s="204"/>
      <c r="P6" s="204"/>
      <c r="Q6" s="204"/>
      <c r="R6" s="204"/>
      <c r="S6" s="204"/>
      <c r="T6" s="204"/>
      <c r="U6" s="204"/>
      <c r="V6" s="204"/>
      <c r="W6" s="204"/>
      <c r="X6" s="204"/>
      <c r="Y6" s="204"/>
      <c r="Z6" s="204"/>
      <c r="AA6" s="204"/>
      <c r="AB6" s="204"/>
      <c r="AC6" s="204"/>
      <c r="AD6" s="204"/>
      <c r="AE6" s="204"/>
      <c r="AF6" s="204"/>
    </row>
    <row r="7" spans="1:32">
      <c r="A7" s="206" t="s">
        <v>199</v>
      </c>
      <c r="B7" s="216" t="s">
        <v>381</v>
      </c>
      <c r="C7" s="231">
        <f>'EBIT &amp; Advertising Expense'!C7</f>
        <v>113.11</v>
      </c>
      <c r="H7" s="204"/>
      <c r="I7" s="204"/>
      <c r="J7" s="204"/>
      <c r="K7" s="204"/>
      <c r="L7" s="204"/>
      <c r="M7" s="204"/>
      <c r="N7" s="204"/>
      <c r="O7" s="204"/>
      <c r="P7" s="204"/>
      <c r="Q7" s="204"/>
      <c r="R7" s="204"/>
      <c r="S7" s="204"/>
      <c r="T7" s="204"/>
      <c r="U7" s="204"/>
      <c r="V7" s="204"/>
      <c r="W7" s="204"/>
      <c r="X7" s="204"/>
      <c r="Y7" s="204"/>
      <c r="Z7" s="204"/>
      <c r="AA7" s="204"/>
      <c r="AB7" s="204"/>
      <c r="AC7" s="204"/>
      <c r="AD7" s="204"/>
      <c r="AE7" s="204"/>
      <c r="AF7" s="204"/>
    </row>
    <row r="8" spans="1:32">
      <c r="A8" s="208" t="s">
        <v>98</v>
      </c>
      <c r="B8" s="216" t="s">
        <v>377</v>
      </c>
      <c r="C8" s="231">
        <f>-'EBIT &amp; Advertising Expense'!C6</f>
        <v>-50.155999999999992</v>
      </c>
      <c r="H8" s="204"/>
      <c r="I8" s="204"/>
      <c r="J8" s="204"/>
      <c r="K8" s="204"/>
      <c r="L8" s="204"/>
      <c r="M8" s="204"/>
      <c r="N8" s="204"/>
      <c r="O8" s="204"/>
      <c r="P8" s="204"/>
      <c r="Q8" s="204"/>
      <c r="R8" s="204"/>
      <c r="S8" s="204"/>
      <c r="T8" s="204"/>
      <c r="U8" s="204"/>
      <c r="V8" s="204"/>
      <c r="W8" s="204"/>
      <c r="X8" s="204"/>
      <c r="Y8" s="204"/>
      <c r="Z8" s="204"/>
      <c r="AA8" s="204"/>
      <c r="AB8" s="204"/>
      <c r="AC8" s="204"/>
      <c r="AD8" s="204"/>
      <c r="AE8" s="204"/>
      <c r="AF8" s="204"/>
    </row>
    <row r="9" spans="1:32">
      <c r="A9" s="206"/>
      <c r="B9" s="220" t="s">
        <v>214</v>
      </c>
      <c r="C9" s="232">
        <f>C5+C6+C7+C8</f>
        <v>88.594000000000008</v>
      </c>
      <c r="H9" s="204"/>
      <c r="I9" s="204"/>
      <c r="J9" s="204"/>
      <c r="K9" s="204"/>
      <c r="L9" s="204"/>
      <c r="M9" s="204"/>
      <c r="N9" s="204"/>
      <c r="O9" s="204"/>
      <c r="P9" s="204"/>
      <c r="Q9" s="204"/>
      <c r="R9" s="204"/>
      <c r="S9" s="204"/>
      <c r="T9" s="204"/>
      <c r="U9" s="204"/>
      <c r="V9" s="204"/>
      <c r="W9" s="204"/>
      <c r="X9" s="204"/>
      <c r="Y9" s="204"/>
      <c r="Z9" s="204"/>
      <c r="AA9" s="204"/>
      <c r="AB9" s="204"/>
      <c r="AC9" s="204"/>
      <c r="AD9" s="204"/>
      <c r="AE9" s="204"/>
      <c r="AF9" s="204"/>
    </row>
    <row r="10" spans="1:32">
      <c r="A10" s="202"/>
      <c r="B10" s="202"/>
      <c r="C10" s="228"/>
      <c r="H10" s="204"/>
      <c r="I10" s="204"/>
      <c r="J10" s="204"/>
      <c r="K10" s="204"/>
      <c r="L10" s="204"/>
      <c r="M10" s="204"/>
      <c r="N10" s="204"/>
      <c r="O10" s="204"/>
      <c r="P10" s="204"/>
      <c r="Q10" s="204"/>
      <c r="R10" s="204"/>
      <c r="S10" s="204"/>
      <c r="T10" s="204"/>
      <c r="U10" s="204"/>
      <c r="V10" s="204"/>
      <c r="W10" s="204"/>
      <c r="X10" s="204"/>
      <c r="Y10" s="204"/>
      <c r="Z10" s="204"/>
      <c r="AA10" s="204"/>
      <c r="AB10" s="204"/>
      <c r="AC10" s="204"/>
      <c r="AD10" s="204"/>
      <c r="AE10" s="204"/>
      <c r="AF10" s="204"/>
    </row>
    <row r="11" spans="1:32">
      <c r="A11" s="206"/>
      <c r="B11" s="202"/>
      <c r="C11" s="228"/>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row>
    <row r="12" spans="1:32">
      <c r="B12" s="202"/>
      <c r="C12" s="228"/>
      <c r="G12" s="204"/>
      <c r="H12" s="204"/>
      <c r="I12" s="204"/>
      <c r="J12" s="204"/>
      <c r="K12" s="204"/>
      <c r="L12" s="204"/>
      <c r="M12" s="204"/>
      <c r="N12" s="204"/>
      <c r="O12" s="204"/>
      <c r="P12" s="204"/>
      <c r="Q12" s="204"/>
      <c r="R12" s="204"/>
      <c r="S12" s="204"/>
      <c r="T12" s="204"/>
      <c r="U12" s="204"/>
      <c r="V12" s="204"/>
      <c r="W12" s="204"/>
      <c r="X12" s="204"/>
      <c r="Y12" s="204"/>
      <c r="Z12" s="204"/>
      <c r="AA12" s="204"/>
      <c r="AB12" s="204"/>
      <c r="AC12" s="204"/>
      <c r="AD12" s="204"/>
      <c r="AE12" s="204"/>
      <c r="AF12" s="204"/>
    </row>
    <row r="13" spans="1:32">
      <c r="A13" s="206"/>
      <c r="B13" s="202"/>
      <c r="C13" s="228"/>
      <c r="G13" s="204"/>
      <c r="H13" s="204"/>
      <c r="I13" s="204"/>
      <c r="J13" s="204"/>
      <c r="K13" s="204"/>
      <c r="L13" s="204"/>
      <c r="M13" s="204"/>
      <c r="N13" s="204"/>
      <c r="O13" s="204"/>
      <c r="P13" s="204"/>
      <c r="Q13" s="204"/>
      <c r="R13" s="204"/>
      <c r="S13" s="204"/>
      <c r="T13" s="204"/>
      <c r="U13" s="204"/>
      <c r="V13" s="204"/>
      <c r="W13" s="204"/>
      <c r="X13" s="204"/>
      <c r="Y13" s="204"/>
      <c r="Z13" s="204"/>
      <c r="AA13" s="204"/>
      <c r="AB13" s="204"/>
      <c r="AC13" s="204"/>
      <c r="AD13" s="204"/>
      <c r="AE13" s="204"/>
      <c r="AF13" s="204"/>
    </row>
    <row r="14" spans="1:32">
      <c r="B14" s="202"/>
      <c r="C14" s="228"/>
      <c r="D14" s="204"/>
      <c r="E14" s="204"/>
      <c r="F14" s="204"/>
      <c r="G14" s="204"/>
      <c r="H14" s="204"/>
      <c r="I14" s="204"/>
      <c r="O14" s="204"/>
      <c r="P14" s="204"/>
      <c r="Q14" s="204"/>
      <c r="R14" s="204"/>
      <c r="S14" s="204"/>
      <c r="T14" s="204"/>
      <c r="U14" s="204"/>
      <c r="V14" s="204"/>
      <c r="W14" s="204"/>
      <c r="X14" s="204"/>
      <c r="Y14" s="204"/>
      <c r="Z14" s="204"/>
      <c r="AA14" s="204"/>
      <c r="AB14" s="204"/>
      <c r="AC14" s="204"/>
      <c r="AD14" s="204"/>
      <c r="AE14" s="204"/>
      <c r="AF14" s="204"/>
    </row>
    <row r="15" spans="1:32">
      <c r="D15" s="209"/>
      <c r="E15" s="209"/>
      <c r="F15" s="209"/>
      <c r="G15" s="209"/>
      <c r="H15" s="209"/>
      <c r="I15" s="210"/>
      <c r="O15" s="204"/>
      <c r="P15" s="204"/>
      <c r="Q15" s="204"/>
      <c r="R15" s="204"/>
      <c r="S15" s="204"/>
      <c r="T15" s="204"/>
      <c r="U15" s="204"/>
      <c r="V15" s="204"/>
      <c r="W15" s="204"/>
      <c r="X15" s="204"/>
      <c r="Y15" s="204"/>
      <c r="Z15" s="204"/>
      <c r="AA15" s="204"/>
      <c r="AB15" s="204"/>
      <c r="AC15" s="204"/>
      <c r="AD15" s="204"/>
      <c r="AE15" s="204"/>
      <c r="AF15" s="204"/>
    </row>
    <row r="16" spans="1:32">
      <c r="D16" s="84"/>
      <c r="E16" s="84"/>
      <c r="F16" s="84"/>
      <c r="G16" s="84"/>
      <c r="H16" s="84"/>
      <c r="I16" s="84"/>
      <c r="J16" s="204"/>
      <c r="K16" s="204"/>
      <c r="L16" s="204"/>
      <c r="M16" s="204"/>
      <c r="N16" s="204"/>
      <c r="O16" s="204"/>
      <c r="P16" s="204"/>
      <c r="Q16" s="204"/>
      <c r="R16" s="204"/>
      <c r="S16" s="204"/>
      <c r="T16" s="204"/>
      <c r="U16" s="204"/>
      <c r="V16" s="204"/>
      <c r="W16" s="204"/>
      <c r="X16" s="204"/>
      <c r="Y16" s="204"/>
      <c r="Z16" s="204"/>
      <c r="AA16" s="204"/>
      <c r="AB16" s="204"/>
      <c r="AC16" s="204"/>
      <c r="AD16" s="204"/>
      <c r="AE16" s="204"/>
      <c r="AF16" s="204"/>
    </row>
    <row r="17" spans="2:32" ht="15">
      <c r="B17" s="226"/>
      <c r="D17" s="211"/>
      <c r="E17" s="211"/>
      <c r="F17" s="211"/>
      <c r="G17" s="211"/>
      <c r="H17" s="211"/>
      <c r="I17" s="209"/>
      <c r="J17" s="204"/>
      <c r="K17" s="204"/>
      <c r="L17" s="204"/>
      <c r="M17" s="204"/>
      <c r="N17" s="204"/>
      <c r="O17" s="204"/>
      <c r="P17" s="204"/>
      <c r="Q17" s="204"/>
      <c r="R17" s="204"/>
      <c r="S17" s="204"/>
      <c r="T17" s="204"/>
      <c r="U17" s="204"/>
      <c r="V17" s="204"/>
      <c r="W17" s="204"/>
      <c r="X17" s="204"/>
      <c r="Y17" s="204"/>
      <c r="Z17" s="204"/>
      <c r="AA17" s="204"/>
      <c r="AB17" s="204"/>
      <c r="AC17" s="204"/>
      <c r="AD17" s="204"/>
      <c r="AE17" s="204"/>
      <c r="AF17" s="204"/>
    </row>
    <row r="18" spans="2:32">
      <c r="B18" s="200"/>
      <c r="C18" s="227"/>
      <c r="G18" s="204"/>
      <c r="H18" s="209"/>
      <c r="I18" s="204"/>
      <c r="J18" s="204"/>
      <c r="K18" s="204"/>
      <c r="L18" s="204"/>
      <c r="M18" s="204"/>
      <c r="N18" s="204"/>
      <c r="O18" s="204"/>
      <c r="P18" s="204"/>
      <c r="Q18" s="204"/>
      <c r="R18" s="204"/>
      <c r="S18" s="204"/>
      <c r="T18" s="204"/>
      <c r="U18" s="204"/>
      <c r="V18" s="204"/>
      <c r="W18" s="204"/>
      <c r="X18" s="204"/>
      <c r="Y18" s="204"/>
      <c r="Z18" s="204"/>
      <c r="AA18" s="204"/>
      <c r="AB18" s="204"/>
      <c r="AC18" s="204"/>
      <c r="AD18" s="204"/>
      <c r="AE18" s="204"/>
      <c r="AF18" s="204"/>
    </row>
    <row r="19" spans="2:32">
      <c r="B19" s="202"/>
      <c r="C19" s="228"/>
      <c r="G19" s="204"/>
      <c r="H19" s="204"/>
      <c r="I19" s="204"/>
      <c r="J19" s="204"/>
      <c r="K19" s="204"/>
      <c r="L19" s="204"/>
      <c r="M19" s="204"/>
      <c r="N19" s="204"/>
      <c r="O19" s="204"/>
      <c r="P19" s="204"/>
      <c r="Q19" s="204"/>
      <c r="R19" s="204"/>
      <c r="S19" s="204"/>
      <c r="T19" s="204"/>
      <c r="U19" s="204"/>
      <c r="V19" s="204"/>
      <c r="W19" s="204"/>
      <c r="X19" s="204"/>
      <c r="Y19" s="204"/>
      <c r="Z19" s="204"/>
      <c r="AA19" s="204"/>
      <c r="AB19" s="204"/>
      <c r="AC19" s="204"/>
      <c r="AD19" s="204"/>
      <c r="AE19" s="204"/>
      <c r="AF19" s="204"/>
    </row>
    <row r="20" spans="2:32">
      <c r="B20" s="202"/>
      <c r="C20" s="228"/>
      <c r="G20" s="204"/>
      <c r="H20" s="204"/>
      <c r="I20" s="204"/>
      <c r="J20" s="204"/>
      <c r="K20" s="204"/>
      <c r="L20" s="204"/>
      <c r="M20" s="204"/>
      <c r="N20" s="204"/>
      <c r="O20" s="204"/>
      <c r="P20" s="204"/>
      <c r="Q20" s="204"/>
      <c r="R20" s="204"/>
      <c r="S20" s="204"/>
      <c r="T20" s="204"/>
      <c r="U20" s="204"/>
      <c r="V20" s="204"/>
      <c r="W20" s="204"/>
      <c r="X20" s="204"/>
      <c r="Y20" s="204"/>
      <c r="Z20" s="204"/>
      <c r="AA20" s="204"/>
      <c r="AB20" s="204"/>
      <c r="AC20" s="204"/>
      <c r="AD20" s="204"/>
      <c r="AE20" s="204"/>
      <c r="AF20" s="204"/>
    </row>
    <row r="21" spans="2:32">
      <c r="B21" s="202"/>
      <c r="C21" s="229"/>
      <c r="G21" s="204"/>
      <c r="H21" s="204"/>
      <c r="I21" s="204"/>
      <c r="J21" s="204"/>
      <c r="K21" s="204"/>
      <c r="L21" s="204"/>
      <c r="M21" s="204"/>
      <c r="N21" s="204"/>
      <c r="O21" s="204"/>
      <c r="P21" s="204"/>
      <c r="Q21" s="204"/>
      <c r="R21" s="204"/>
      <c r="S21" s="204"/>
      <c r="T21" s="204"/>
      <c r="U21" s="204"/>
      <c r="V21" s="204"/>
      <c r="W21" s="204"/>
      <c r="X21" s="204"/>
      <c r="Y21" s="204"/>
      <c r="Z21" s="204"/>
      <c r="AA21" s="204"/>
      <c r="AB21" s="204"/>
      <c r="AC21" s="204"/>
      <c r="AD21" s="204"/>
      <c r="AE21" s="204"/>
      <c r="AF21" s="204"/>
    </row>
    <row r="22" spans="2:32">
      <c r="B22" s="202"/>
      <c r="C22" s="202"/>
      <c r="G22" s="204"/>
      <c r="H22" s="204"/>
      <c r="I22" s="204"/>
      <c r="J22" s="204"/>
      <c r="K22" s="204"/>
      <c r="L22" s="204"/>
      <c r="M22" s="204"/>
      <c r="N22" s="204"/>
      <c r="O22" s="204"/>
      <c r="P22" s="204"/>
      <c r="Q22" s="204"/>
      <c r="R22" s="204"/>
      <c r="S22" s="204"/>
      <c r="T22" s="204"/>
      <c r="U22" s="204"/>
      <c r="V22" s="204"/>
      <c r="W22" s="204"/>
      <c r="X22" s="204"/>
      <c r="Y22" s="204"/>
      <c r="Z22" s="204"/>
      <c r="AA22" s="204"/>
      <c r="AB22" s="204"/>
      <c r="AC22" s="204"/>
      <c r="AD22" s="204"/>
      <c r="AE22" s="204"/>
      <c r="AF22" s="204"/>
    </row>
    <row r="23" spans="2:32">
      <c r="B23" s="202"/>
      <c r="C23" s="228"/>
      <c r="G23" s="204"/>
      <c r="H23" s="204"/>
      <c r="I23" s="204"/>
      <c r="J23" s="204"/>
      <c r="K23" s="204"/>
      <c r="L23" s="204"/>
      <c r="M23" s="204"/>
      <c r="N23" s="204"/>
      <c r="O23" s="204"/>
      <c r="P23" s="204"/>
      <c r="Q23" s="204"/>
      <c r="R23" s="204"/>
      <c r="S23" s="204"/>
      <c r="T23" s="204"/>
      <c r="U23" s="204"/>
      <c r="V23" s="204"/>
      <c r="W23" s="204"/>
      <c r="X23" s="204"/>
      <c r="Y23" s="204"/>
      <c r="Z23" s="204"/>
      <c r="AA23" s="204"/>
      <c r="AB23" s="204"/>
      <c r="AC23" s="204"/>
      <c r="AD23" s="204"/>
      <c r="AE23" s="204"/>
      <c r="AF23" s="204"/>
    </row>
    <row r="24" spans="2:32">
      <c r="B24" s="202"/>
      <c r="C24" s="228"/>
      <c r="G24" s="204"/>
      <c r="H24" s="204"/>
      <c r="I24" s="204"/>
      <c r="J24" s="204"/>
      <c r="K24" s="204"/>
      <c r="L24" s="204"/>
      <c r="M24" s="204"/>
      <c r="N24" s="204"/>
      <c r="O24" s="204"/>
      <c r="P24" s="204"/>
      <c r="Q24" s="204"/>
      <c r="R24" s="204"/>
      <c r="S24" s="204"/>
      <c r="T24" s="204"/>
      <c r="U24" s="204"/>
      <c r="V24" s="204"/>
      <c r="W24" s="204"/>
      <c r="X24" s="204"/>
      <c r="Y24" s="204"/>
      <c r="Z24" s="204"/>
      <c r="AA24" s="204"/>
      <c r="AB24" s="204"/>
      <c r="AC24" s="204"/>
      <c r="AD24" s="204"/>
      <c r="AE24" s="204"/>
      <c r="AF24" s="204"/>
    </row>
    <row r="25" spans="2:32">
      <c r="B25" s="202"/>
      <c r="C25" s="202"/>
      <c r="G25" s="204"/>
      <c r="H25" s="204"/>
      <c r="I25" s="204"/>
      <c r="J25" s="204"/>
      <c r="K25" s="204"/>
      <c r="L25" s="204"/>
      <c r="M25" s="204"/>
      <c r="N25" s="204"/>
      <c r="O25" s="204"/>
      <c r="P25" s="204"/>
      <c r="Q25" s="204"/>
      <c r="R25" s="204"/>
      <c r="S25" s="204"/>
      <c r="T25" s="204"/>
      <c r="U25" s="204"/>
      <c r="V25" s="204"/>
      <c r="W25" s="204"/>
      <c r="X25" s="204"/>
      <c r="Y25" s="204"/>
      <c r="Z25" s="204"/>
      <c r="AA25" s="204"/>
      <c r="AB25" s="204"/>
      <c r="AC25" s="204"/>
      <c r="AD25" s="204"/>
      <c r="AE25" s="204"/>
      <c r="AF25" s="204"/>
    </row>
    <row r="26" spans="2:32">
      <c r="B26" s="202"/>
      <c r="C26" s="228"/>
      <c r="G26" s="204"/>
      <c r="H26" s="204"/>
      <c r="I26" s="204"/>
      <c r="J26" s="204"/>
      <c r="K26" s="204"/>
      <c r="L26" s="204"/>
      <c r="M26" s="204"/>
      <c r="N26" s="204"/>
      <c r="O26" s="204"/>
      <c r="P26" s="204"/>
      <c r="Q26" s="204"/>
      <c r="R26" s="204"/>
      <c r="S26" s="204"/>
      <c r="T26" s="204"/>
      <c r="U26" s="204"/>
      <c r="V26" s="204"/>
      <c r="W26" s="204"/>
      <c r="X26" s="204"/>
      <c r="Y26" s="204"/>
      <c r="Z26" s="204"/>
      <c r="AA26" s="204"/>
      <c r="AB26" s="204"/>
      <c r="AC26" s="204"/>
      <c r="AD26" s="204"/>
      <c r="AE26" s="204"/>
      <c r="AF26" s="204"/>
    </row>
    <row r="27" spans="2:32">
      <c r="G27" s="204"/>
      <c r="H27" s="204"/>
      <c r="I27" s="204"/>
      <c r="J27" s="204"/>
      <c r="K27" s="204"/>
      <c r="L27" s="204"/>
      <c r="M27" s="204"/>
      <c r="N27" s="204"/>
      <c r="O27" s="204"/>
      <c r="P27" s="204"/>
      <c r="Q27" s="204"/>
      <c r="R27" s="204"/>
      <c r="S27" s="204"/>
      <c r="T27" s="204"/>
      <c r="U27" s="204"/>
      <c r="V27" s="204"/>
      <c r="W27" s="204"/>
      <c r="X27" s="204"/>
      <c r="Y27" s="204"/>
      <c r="Z27" s="204"/>
      <c r="AA27" s="204"/>
      <c r="AB27" s="204"/>
      <c r="AC27" s="204"/>
      <c r="AD27" s="204"/>
      <c r="AE27" s="204"/>
      <c r="AF27" s="204"/>
    </row>
    <row r="28" spans="2:32">
      <c r="G28" s="204"/>
      <c r="H28" s="204"/>
      <c r="I28" s="204"/>
      <c r="J28" s="204"/>
      <c r="K28" s="204"/>
      <c r="L28" s="204"/>
      <c r="M28" s="204"/>
      <c r="N28" s="204"/>
      <c r="O28" s="204"/>
      <c r="P28" s="204"/>
      <c r="Q28" s="204"/>
      <c r="R28" s="204"/>
      <c r="S28" s="204"/>
      <c r="T28" s="204"/>
      <c r="U28" s="204"/>
      <c r="V28" s="204"/>
      <c r="W28" s="204"/>
      <c r="X28" s="204"/>
      <c r="Y28" s="204"/>
      <c r="Z28" s="204"/>
      <c r="AA28" s="204"/>
      <c r="AB28" s="204"/>
      <c r="AC28" s="204"/>
      <c r="AD28" s="204"/>
      <c r="AE28" s="204"/>
      <c r="AF28" s="204"/>
    </row>
    <row r="29" spans="2:32">
      <c r="G29" s="204"/>
      <c r="H29" s="204"/>
      <c r="I29" s="204"/>
      <c r="J29" s="204"/>
      <c r="K29" s="204"/>
      <c r="L29" s="204"/>
      <c r="M29" s="204"/>
      <c r="N29" s="204"/>
      <c r="O29" s="204"/>
      <c r="P29" s="204"/>
      <c r="Q29" s="204"/>
      <c r="R29" s="204"/>
      <c r="S29" s="204"/>
      <c r="T29" s="204"/>
      <c r="U29" s="204"/>
      <c r="V29" s="204"/>
      <c r="W29" s="204"/>
      <c r="X29" s="204"/>
      <c r="Y29" s="204"/>
      <c r="Z29" s="204"/>
      <c r="AA29" s="204"/>
      <c r="AB29" s="204"/>
      <c r="AC29" s="204"/>
      <c r="AD29" s="204"/>
      <c r="AE29" s="204"/>
      <c r="AF29" s="204"/>
    </row>
    <row r="30" spans="2:32" ht="14.25" customHeight="1">
      <c r="G30" s="204"/>
      <c r="H30" s="204"/>
      <c r="I30" s="204"/>
      <c r="J30" s="204"/>
      <c r="K30" s="204"/>
      <c r="L30" s="204"/>
      <c r="M30" s="204"/>
      <c r="N30" s="204"/>
      <c r="O30" s="204"/>
      <c r="P30" s="204"/>
      <c r="Q30" s="204"/>
      <c r="R30" s="204"/>
      <c r="S30" s="204"/>
      <c r="T30" s="204"/>
      <c r="U30" s="204"/>
      <c r="V30" s="204"/>
      <c r="W30" s="204"/>
      <c r="X30" s="204"/>
      <c r="Y30" s="204"/>
      <c r="Z30" s="204"/>
      <c r="AA30" s="204"/>
      <c r="AB30" s="204"/>
      <c r="AC30" s="204"/>
      <c r="AD30" s="204"/>
      <c r="AE30" s="204"/>
      <c r="AF30" s="204"/>
    </row>
    <row r="31" spans="2:32">
      <c r="G31" s="204"/>
      <c r="H31" s="204"/>
      <c r="I31" s="204"/>
      <c r="J31" s="204"/>
      <c r="K31" s="204"/>
      <c r="L31" s="204"/>
      <c r="M31" s="204"/>
      <c r="N31" s="204"/>
      <c r="O31" s="204"/>
      <c r="P31" s="204"/>
      <c r="Q31" s="204"/>
      <c r="R31" s="204"/>
      <c r="S31" s="204"/>
      <c r="T31" s="204"/>
      <c r="U31" s="204"/>
      <c r="V31" s="204"/>
      <c r="W31" s="204"/>
      <c r="X31" s="204"/>
      <c r="Y31" s="204"/>
      <c r="Z31" s="204"/>
      <c r="AA31" s="204"/>
      <c r="AB31" s="204"/>
      <c r="AC31" s="204"/>
      <c r="AD31" s="204"/>
      <c r="AE31" s="204"/>
      <c r="AF31" s="204"/>
    </row>
    <row r="32" spans="2:32">
      <c r="G32" s="204"/>
      <c r="H32" s="204"/>
      <c r="I32" s="204"/>
      <c r="J32" s="204"/>
      <c r="K32" s="204"/>
      <c r="L32" s="204"/>
      <c r="M32" s="204"/>
      <c r="N32" s="204"/>
      <c r="O32" s="204"/>
      <c r="P32" s="204"/>
      <c r="Q32" s="204"/>
      <c r="R32" s="204"/>
      <c r="S32" s="204"/>
      <c r="T32" s="204"/>
      <c r="U32" s="204"/>
      <c r="V32" s="204"/>
      <c r="W32" s="204"/>
      <c r="X32" s="204"/>
      <c r="Y32" s="204"/>
      <c r="Z32" s="204"/>
      <c r="AA32" s="204"/>
      <c r="AB32" s="204"/>
      <c r="AC32" s="204"/>
      <c r="AD32" s="204"/>
      <c r="AE32" s="204"/>
      <c r="AF32" s="204"/>
    </row>
    <row r="33" spans="7:32">
      <c r="G33" s="204"/>
      <c r="H33" s="204"/>
      <c r="I33" s="204"/>
      <c r="J33" s="204"/>
      <c r="K33" s="204"/>
      <c r="L33" s="204"/>
      <c r="M33" s="204"/>
      <c r="N33" s="204"/>
      <c r="O33" s="204"/>
      <c r="P33" s="204"/>
      <c r="Q33" s="204"/>
      <c r="R33" s="204"/>
      <c r="S33" s="204"/>
      <c r="T33" s="204"/>
      <c r="U33" s="204"/>
      <c r="V33" s="204"/>
      <c r="W33" s="204"/>
      <c r="X33" s="204"/>
      <c r="Y33" s="204"/>
      <c r="Z33" s="204"/>
      <c r="AA33" s="204"/>
      <c r="AB33" s="204"/>
      <c r="AC33" s="204"/>
      <c r="AD33" s="204"/>
      <c r="AE33" s="204"/>
      <c r="AF33" s="204"/>
    </row>
    <row r="34" spans="7:32">
      <c r="G34" s="204"/>
      <c r="H34" s="204"/>
      <c r="I34" s="204"/>
      <c r="J34" s="204"/>
      <c r="K34" s="204"/>
      <c r="L34" s="204"/>
      <c r="M34" s="204"/>
      <c r="N34" s="204"/>
      <c r="O34" s="204"/>
      <c r="P34" s="204"/>
      <c r="Q34" s="204"/>
      <c r="R34" s="204"/>
      <c r="S34" s="204"/>
      <c r="T34" s="204"/>
      <c r="U34" s="204"/>
      <c r="V34" s="204"/>
      <c r="W34" s="204"/>
      <c r="X34" s="204"/>
      <c r="Y34" s="204"/>
      <c r="Z34" s="204"/>
      <c r="AA34" s="204"/>
      <c r="AB34" s="204"/>
      <c r="AC34" s="204"/>
      <c r="AD34" s="204"/>
      <c r="AE34" s="204"/>
      <c r="AF34" s="204"/>
    </row>
    <row r="35" spans="7:32">
      <c r="G35" s="204"/>
      <c r="H35" s="204"/>
      <c r="I35" s="204"/>
      <c r="J35" s="204"/>
      <c r="K35" s="204"/>
      <c r="L35" s="204"/>
      <c r="M35" s="204"/>
      <c r="N35" s="204"/>
      <c r="O35" s="204"/>
      <c r="P35" s="204"/>
      <c r="Q35" s="204"/>
      <c r="R35" s="204"/>
      <c r="S35" s="204"/>
      <c r="T35" s="204"/>
      <c r="U35" s="204"/>
      <c r="V35" s="204"/>
      <c r="W35" s="204"/>
      <c r="X35" s="204"/>
      <c r="Y35" s="204"/>
      <c r="Z35" s="204"/>
      <c r="AA35" s="204"/>
      <c r="AB35" s="204"/>
      <c r="AC35" s="204"/>
      <c r="AD35" s="204"/>
      <c r="AE35" s="204"/>
      <c r="AF35" s="204"/>
    </row>
    <row r="36" spans="7:32">
      <c r="G36" s="204"/>
      <c r="H36" s="204"/>
      <c r="I36" s="204"/>
      <c r="J36" s="204"/>
      <c r="K36" s="204"/>
      <c r="L36" s="204"/>
      <c r="M36" s="204"/>
      <c r="N36" s="204"/>
      <c r="O36" s="204"/>
      <c r="P36" s="204"/>
      <c r="Q36" s="204"/>
      <c r="R36" s="204"/>
      <c r="S36" s="204"/>
      <c r="T36" s="204"/>
      <c r="U36" s="204"/>
      <c r="V36" s="204"/>
      <c r="W36" s="204"/>
      <c r="X36" s="204"/>
      <c r="Y36" s="204"/>
      <c r="Z36" s="204"/>
      <c r="AA36" s="204"/>
      <c r="AB36" s="204"/>
      <c r="AC36" s="204"/>
      <c r="AD36" s="204"/>
      <c r="AE36" s="204"/>
      <c r="AF36" s="204"/>
    </row>
    <row r="37" spans="7:32">
      <c r="G37" s="204"/>
      <c r="H37" s="204"/>
      <c r="I37" s="204"/>
      <c r="J37" s="204"/>
      <c r="K37" s="204"/>
      <c r="L37" s="204"/>
      <c r="M37" s="204"/>
      <c r="N37" s="204"/>
      <c r="O37" s="204"/>
      <c r="P37" s="204"/>
      <c r="Q37" s="204"/>
      <c r="R37" s="204"/>
      <c r="S37" s="204"/>
      <c r="T37" s="204"/>
      <c r="U37" s="204"/>
      <c r="V37" s="204"/>
      <c r="W37" s="204"/>
      <c r="X37" s="204"/>
      <c r="Y37" s="204"/>
      <c r="Z37" s="204"/>
      <c r="AA37" s="204"/>
      <c r="AB37" s="204"/>
      <c r="AC37" s="204"/>
      <c r="AD37" s="204"/>
      <c r="AE37" s="204"/>
      <c r="AF37" s="204"/>
    </row>
    <row r="38" spans="7:32">
      <c r="G38" s="204"/>
      <c r="H38" s="204"/>
      <c r="I38" s="204"/>
      <c r="J38" s="204"/>
      <c r="K38" s="204"/>
      <c r="L38" s="204"/>
      <c r="M38" s="204"/>
      <c r="N38" s="204"/>
      <c r="O38" s="204"/>
      <c r="P38" s="204"/>
      <c r="Q38" s="204"/>
      <c r="R38" s="204"/>
      <c r="S38" s="204"/>
      <c r="T38" s="204"/>
      <c r="U38" s="204"/>
      <c r="V38" s="204"/>
      <c r="W38" s="204"/>
      <c r="X38" s="204"/>
      <c r="Y38" s="204"/>
      <c r="Z38" s="204"/>
      <c r="AA38" s="204"/>
      <c r="AB38" s="204"/>
      <c r="AC38" s="204"/>
      <c r="AD38" s="204"/>
      <c r="AE38" s="204"/>
      <c r="AF38" s="204"/>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9" customWidth="1"/>
    <col min="2" max="2" width="30.5703125" style="199" customWidth="1"/>
    <col min="3" max="3" width="11.7109375" style="199" customWidth="1"/>
    <col min="4" max="4" width="13.140625" style="199" customWidth="1"/>
    <col min="5" max="6" width="9.85546875" style="199" customWidth="1"/>
    <col min="7" max="7" width="32.85546875" style="199" customWidth="1" collapsed="1"/>
    <col min="8" max="9" width="10.5703125" style="199" customWidth="1"/>
    <col min="10" max="10" width="9.28515625" style="199" customWidth="1"/>
    <col min="11" max="11" width="10" style="199" customWidth="1"/>
    <col min="12" max="12" width="9.42578125" style="199" customWidth="1"/>
    <col min="13" max="26" width="9.140625" style="199" customWidth="1"/>
    <col min="27" max="27" width="9.28515625" style="199" customWidth="1"/>
    <col min="28" max="28" width="9.42578125" style="199" customWidth="1"/>
    <col min="29" max="29" width="10" style="199" customWidth="1"/>
    <col min="30" max="30" width="11.42578125" style="199" customWidth="1"/>
    <col min="31" max="31" width="9.42578125" style="199" bestFit="1" customWidth="1" collapsed="1"/>
    <col min="32" max="16384" width="9.140625" style="199"/>
  </cols>
  <sheetData>
    <row r="1" spans="1:32" s="198" customFormat="1" ht="15" customHeight="1">
      <c r="B1" s="18" t="s">
        <v>215</v>
      </c>
      <c r="C1" s="197"/>
      <c r="D1" s="197"/>
      <c r="E1" s="197"/>
      <c r="F1" s="197"/>
      <c r="G1" s="197"/>
      <c r="H1" s="197"/>
      <c r="I1" s="197"/>
      <c r="J1" s="197"/>
      <c r="K1" s="197"/>
      <c r="L1" s="197"/>
    </row>
    <row r="2" spans="1:32" ht="12.75" customHeight="1">
      <c r="C2" s="227"/>
    </row>
    <row r="3" spans="1:32">
      <c r="A3" s="201"/>
      <c r="B3" s="214" t="s">
        <v>249</v>
      </c>
      <c r="C3" s="265">
        <f>L25</f>
        <v>0.11548574454975129</v>
      </c>
      <c r="G3" s="261" t="s">
        <v>103</v>
      </c>
      <c r="H3" s="262">
        <v>2018</v>
      </c>
      <c r="I3" s="262">
        <v>2019</v>
      </c>
      <c r="J3" s="262">
        <v>2020</v>
      </c>
      <c r="K3" s="262">
        <v>2021</v>
      </c>
      <c r="L3" s="262">
        <v>2022</v>
      </c>
    </row>
    <row r="4" spans="1:32">
      <c r="A4" s="206"/>
      <c r="B4" s="212"/>
      <c r="C4" s="212"/>
      <c r="G4" s="257" t="s">
        <v>5</v>
      </c>
      <c r="H4" s="212">
        <v>344.77</v>
      </c>
      <c r="I4" s="212">
        <v>497.01</v>
      </c>
      <c r="J4" s="212">
        <v>607.80999999999995</v>
      </c>
      <c r="K4" s="212">
        <v>428.39</v>
      </c>
      <c r="L4" s="212">
        <v>867.78</v>
      </c>
      <c r="N4" s="203"/>
      <c r="O4" s="203"/>
      <c r="Q4" s="203"/>
      <c r="R4" s="203"/>
      <c r="S4" s="203"/>
      <c r="T4" s="203"/>
      <c r="U4" s="203"/>
      <c r="V4" s="203"/>
      <c r="AA4" s="203"/>
    </row>
    <row r="5" spans="1:32">
      <c r="A5" s="206"/>
      <c r="B5" s="216" t="s">
        <v>250</v>
      </c>
      <c r="C5" s="217">
        <f>L23</f>
        <v>4498.0200000000004</v>
      </c>
      <c r="G5" s="257" t="s">
        <v>239</v>
      </c>
      <c r="H5" s="212">
        <v>15.1</v>
      </c>
      <c r="I5" s="212">
        <v>16.54</v>
      </c>
      <c r="J5" s="212">
        <v>17.12</v>
      </c>
      <c r="K5" s="212">
        <v>20.77</v>
      </c>
      <c r="L5" s="212">
        <v>17.86</v>
      </c>
      <c r="M5" s="204"/>
      <c r="N5" s="204"/>
      <c r="O5" s="204"/>
      <c r="P5" s="204"/>
      <c r="Q5" s="204"/>
      <c r="R5" s="204"/>
      <c r="S5" s="204"/>
      <c r="T5" s="204"/>
      <c r="U5" s="204"/>
      <c r="V5" s="204"/>
      <c r="W5" s="204"/>
      <c r="X5" s="204"/>
      <c r="Y5" s="204"/>
      <c r="Z5" s="204"/>
      <c r="AA5" s="204"/>
      <c r="AB5" s="204"/>
      <c r="AC5" s="204"/>
      <c r="AD5" s="204"/>
      <c r="AE5" s="204"/>
      <c r="AF5" s="204"/>
    </row>
    <row r="6" spans="1:32">
      <c r="A6" s="206"/>
      <c r="B6" s="220" t="s">
        <v>251</v>
      </c>
      <c r="C6" s="232">
        <f>C5*C3</f>
        <v>519.45718869967232</v>
      </c>
      <c r="D6" s="207"/>
      <c r="G6" s="257" t="s">
        <v>11</v>
      </c>
      <c r="H6" s="212">
        <v>30.75</v>
      </c>
      <c r="I6" s="212">
        <v>30.33</v>
      </c>
      <c r="J6" s="212">
        <f>25+60.98</f>
        <v>85.97999999999999</v>
      </c>
      <c r="K6" s="212">
        <v>26.04</v>
      </c>
      <c r="L6" s="212">
        <f>26.44</f>
        <v>26.44</v>
      </c>
      <c r="M6" s="204"/>
      <c r="N6" s="204"/>
      <c r="O6" s="204"/>
      <c r="P6" s="204"/>
      <c r="Q6" s="204"/>
      <c r="R6" s="204"/>
      <c r="S6" s="204"/>
      <c r="T6" s="204"/>
      <c r="U6" s="204"/>
      <c r="V6" s="204"/>
      <c r="W6" s="204"/>
      <c r="X6" s="204"/>
      <c r="Y6" s="204"/>
      <c r="Z6" s="204"/>
      <c r="AA6" s="204"/>
      <c r="AB6" s="204"/>
      <c r="AC6" s="204"/>
      <c r="AD6" s="204"/>
      <c r="AE6" s="204"/>
      <c r="AF6" s="204"/>
    </row>
    <row r="7" spans="1:32">
      <c r="B7" s="212"/>
      <c r="C7" s="212"/>
      <c r="G7" s="257" t="s">
        <v>12</v>
      </c>
      <c r="H7" s="212">
        <v>103.95</v>
      </c>
      <c r="I7" s="212">
        <v>119.75</v>
      </c>
      <c r="J7" s="212">
        <v>39.090000000000003</v>
      </c>
      <c r="K7" s="212">
        <v>55.5</v>
      </c>
      <c r="L7" s="212">
        <v>98.19</v>
      </c>
      <c r="M7" s="204"/>
      <c r="N7" s="204"/>
      <c r="O7" s="204"/>
      <c r="P7" s="204"/>
      <c r="Q7" s="204"/>
      <c r="R7" s="204"/>
      <c r="S7" s="204"/>
      <c r="T7" s="204"/>
      <c r="U7" s="204"/>
      <c r="V7" s="204"/>
      <c r="W7" s="204"/>
      <c r="X7" s="204"/>
      <c r="Y7" s="204"/>
      <c r="Z7" s="204"/>
      <c r="AA7" s="204"/>
      <c r="AB7" s="204"/>
      <c r="AC7" s="204"/>
      <c r="AD7" s="204"/>
      <c r="AE7" s="204"/>
      <c r="AF7" s="204"/>
    </row>
    <row r="8" spans="1:32">
      <c r="A8" s="206"/>
      <c r="B8" s="216" t="s">
        <v>253</v>
      </c>
      <c r="C8" s="239">
        <f>K23</f>
        <v>2592.96</v>
      </c>
      <c r="G8" s="257" t="s">
        <v>9</v>
      </c>
      <c r="H8" s="212">
        <v>0.44</v>
      </c>
      <c r="I8" s="212">
        <v>10.75</v>
      </c>
      <c r="J8" s="212">
        <v>23.45</v>
      </c>
      <c r="K8" s="212">
        <v>4.5199999999999996</v>
      </c>
      <c r="L8" s="212">
        <v>1.89</v>
      </c>
      <c r="M8" s="204"/>
      <c r="N8" s="204"/>
      <c r="O8" s="204"/>
      <c r="P8" s="204"/>
      <c r="Q8" s="204"/>
      <c r="R8" s="204"/>
      <c r="S8" s="204"/>
      <c r="T8" s="204"/>
      <c r="U8" s="204"/>
      <c r="V8" s="204"/>
      <c r="W8" s="204"/>
      <c r="X8" s="204"/>
      <c r="Y8" s="204"/>
      <c r="Z8" s="204"/>
      <c r="AA8" s="204"/>
      <c r="AB8" s="204"/>
      <c r="AC8" s="204"/>
      <c r="AD8" s="204"/>
      <c r="AE8" s="204"/>
      <c r="AF8" s="204"/>
    </row>
    <row r="9" spans="1:32">
      <c r="A9" s="206"/>
      <c r="B9" s="220" t="s">
        <v>252</v>
      </c>
      <c r="C9" s="221">
        <f>C8*C3</f>
        <v>299.44991618772309</v>
      </c>
      <c r="G9" s="257" t="s">
        <v>243</v>
      </c>
      <c r="H9" s="212">
        <v>60.27</v>
      </c>
      <c r="I9" s="212">
        <v>71.02</v>
      </c>
      <c r="J9" s="212">
        <v>83.28</v>
      </c>
      <c r="K9" s="212">
        <v>106.03</v>
      </c>
      <c r="L9" s="212">
        <v>152.19999999999999</v>
      </c>
      <c r="M9" s="204"/>
      <c r="N9" s="204"/>
      <c r="O9" s="204"/>
      <c r="P9" s="204"/>
      <c r="Q9" s="204"/>
      <c r="R9" s="204"/>
      <c r="S9" s="204"/>
      <c r="T9" s="204"/>
      <c r="U9" s="204"/>
      <c r="V9" s="204"/>
      <c r="W9" s="204"/>
      <c r="X9" s="204"/>
      <c r="Y9" s="204"/>
      <c r="Z9" s="204"/>
      <c r="AA9" s="204"/>
      <c r="AB9" s="204"/>
      <c r="AC9" s="204"/>
      <c r="AD9" s="204"/>
      <c r="AE9" s="204"/>
      <c r="AF9" s="204"/>
    </row>
    <row r="10" spans="1:32">
      <c r="A10" s="202"/>
      <c r="B10" s="212"/>
      <c r="C10" s="212"/>
      <c r="G10" s="257" t="s">
        <v>244</v>
      </c>
      <c r="H10" s="212">
        <v>0.03</v>
      </c>
      <c r="I10" s="212">
        <v>0</v>
      </c>
      <c r="J10" s="212">
        <v>6.45</v>
      </c>
      <c r="K10" s="212">
        <v>9.9700000000000006</v>
      </c>
      <c r="L10" s="212">
        <v>6.4</v>
      </c>
      <c r="M10" s="204"/>
      <c r="N10" s="204"/>
      <c r="O10" s="204"/>
      <c r="P10" s="204"/>
      <c r="Q10" s="204"/>
      <c r="R10" s="204"/>
      <c r="S10" s="204"/>
      <c r="T10" s="204"/>
      <c r="U10" s="204"/>
      <c r="V10" s="204"/>
      <c r="W10" s="204"/>
      <c r="X10" s="204"/>
      <c r="Y10" s="204"/>
      <c r="Z10" s="204"/>
      <c r="AA10" s="204"/>
      <c r="AB10" s="204"/>
      <c r="AC10" s="204"/>
      <c r="AD10" s="204"/>
      <c r="AE10" s="204"/>
      <c r="AF10" s="204"/>
    </row>
    <row r="11" spans="1:32">
      <c r="A11" s="206"/>
      <c r="B11" s="216" t="s">
        <v>255</v>
      </c>
      <c r="C11" s="225">
        <f>C6-C9</f>
        <v>220.00727251194922</v>
      </c>
      <c r="G11" s="259" t="s">
        <v>246</v>
      </c>
      <c r="H11" s="220">
        <f t="shared" ref="H11:K11" si="0">SUM(H4:H10)</f>
        <v>555.30999999999995</v>
      </c>
      <c r="I11" s="220">
        <f t="shared" si="0"/>
        <v>745.4</v>
      </c>
      <c r="J11" s="220">
        <f>SUM(J4:J10)</f>
        <v>863.18000000000006</v>
      </c>
      <c r="K11" s="220">
        <f t="shared" si="0"/>
        <v>651.22</v>
      </c>
      <c r="L11" s="220">
        <f>SUM(L4:L10)</f>
        <v>1170.76</v>
      </c>
      <c r="M11" s="204"/>
      <c r="N11" s="204"/>
      <c r="O11" s="204"/>
      <c r="P11" s="204"/>
      <c r="Q11" s="204"/>
      <c r="R11" s="204"/>
      <c r="S11" s="204"/>
      <c r="T11" s="204"/>
      <c r="U11" s="204"/>
      <c r="V11" s="204"/>
      <c r="W11" s="204"/>
      <c r="X11" s="204"/>
      <c r="Y11" s="204"/>
      <c r="Z11" s="204"/>
      <c r="AA11" s="204"/>
      <c r="AB11" s="204"/>
      <c r="AC11" s="204"/>
      <c r="AD11" s="204"/>
      <c r="AE11" s="204"/>
      <c r="AF11" s="204"/>
    </row>
    <row r="12" spans="1:32">
      <c r="B12" s="202"/>
      <c r="C12" s="267"/>
      <c r="M12" s="204"/>
      <c r="N12" s="204"/>
      <c r="O12" s="204"/>
      <c r="P12" s="204"/>
      <c r="Q12" s="204"/>
      <c r="R12" s="204"/>
      <c r="S12" s="204"/>
      <c r="T12" s="204"/>
      <c r="U12" s="204"/>
      <c r="V12" s="204"/>
      <c r="W12" s="204"/>
      <c r="X12" s="204"/>
      <c r="Y12" s="204"/>
      <c r="Z12" s="204"/>
      <c r="AA12" s="204"/>
      <c r="AB12" s="204"/>
      <c r="AC12" s="204"/>
      <c r="AD12" s="204"/>
      <c r="AE12" s="204"/>
      <c r="AF12" s="204"/>
    </row>
    <row r="13" spans="1:32">
      <c r="A13" s="206"/>
      <c r="G13" s="258" t="s">
        <v>216</v>
      </c>
      <c r="H13" s="120">
        <f>3.78+204.66</f>
        <v>208.44</v>
      </c>
      <c r="I13" s="212">
        <f>14.3+230.67</f>
        <v>244.97</v>
      </c>
      <c r="J13" s="212">
        <f>18.87+278.78</f>
        <v>297.64999999999998</v>
      </c>
      <c r="K13" s="212">
        <f>9.59+264.98</f>
        <v>274.57</v>
      </c>
      <c r="L13" s="212">
        <v>378.03</v>
      </c>
      <c r="M13" s="204"/>
      <c r="N13" s="204"/>
      <c r="O13" s="204"/>
      <c r="P13" s="204"/>
      <c r="Q13" s="204"/>
      <c r="R13" s="204"/>
      <c r="S13" s="204"/>
      <c r="T13" s="204"/>
      <c r="U13" s="204"/>
      <c r="V13" s="204"/>
      <c r="W13" s="204"/>
      <c r="X13" s="204"/>
      <c r="Y13" s="204"/>
      <c r="Z13" s="204"/>
      <c r="AA13" s="204"/>
      <c r="AB13" s="204"/>
      <c r="AC13" s="204"/>
      <c r="AD13" s="204"/>
      <c r="AE13" s="204"/>
      <c r="AF13" s="204"/>
    </row>
    <row r="14" spans="1:32">
      <c r="E14" s="204"/>
      <c r="F14" s="204"/>
      <c r="G14" s="257" t="s">
        <v>245</v>
      </c>
      <c r="H14" s="257">
        <v>47.96</v>
      </c>
      <c r="I14" s="257">
        <v>171.64</v>
      </c>
      <c r="J14" s="257">
        <v>139.04</v>
      </c>
      <c r="K14" s="257">
        <v>45.04</v>
      </c>
      <c r="L14" s="257">
        <v>85.93</v>
      </c>
      <c r="O14" s="204"/>
      <c r="P14" s="204"/>
      <c r="Q14" s="204"/>
      <c r="R14" s="204"/>
      <c r="S14" s="204"/>
      <c r="T14" s="204"/>
      <c r="U14" s="204"/>
      <c r="V14" s="204"/>
      <c r="W14" s="204"/>
      <c r="X14" s="204"/>
      <c r="Y14" s="204"/>
      <c r="Z14" s="204"/>
      <c r="AA14" s="204"/>
      <c r="AB14" s="204"/>
      <c r="AC14" s="204"/>
      <c r="AD14" s="204"/>
      <c r="AE14" s="204"/>
      <c r="AF14" s="204"/>
    </row>
    <row r="15" spans="1:32">
      <c r="B15" s="400" t="s">
        <v>220</v>
      </c>
      <c r="C15" s="400"/>
      <c r="D15" s="400"/>
      <c r="E15" s="209"/>
      <c r="F15" s="209"/>
      <c r="G15" s="257" t="s">
        <v>241</v>
      </c>
      <c r="H15" s="212">
        <v>43.15</v>
      </c>
      <c r="I15" s="212">
        <v>51.33</v>
      </c>
      <c r="J15" s="212">
        <v>41.28</v>
      </c>
      <c r="K15" s="212">
        <v>46.17</v>
      </c>
      <c r="L15" s="212">
        <v>71.900000000000006</v>
      </c>
      <c r="O15" s="204"/>
      <c r="P15" s="204"/>
      <c r="Q15" s="204"/>
      <c r="R15" s="204"/>
      <c r="S15" s="204"/>
      <c r="T15" s="204"/>
      <c r="U15" s="204"/>
      <c r="V15" s="204"/>
      <c r="W15" s="204"/>
      <c r="X15" s="204"/>
      <c r="Y15" s="204"/>
      <c r="Z15" s="204"/>
      <c r="AA15" s="204"/>
      <c r="AB15" s="204"/>
      <c r="AC15" s="204"/>
      <c r="AD15" s="204"/>
      <c r="AE15" s="204"/>
      <c r="AF15" s="204"/>
    </row>
    <row r="16" spans="1:32">
      <c r="B16" s="53" t="s">
        <v>104</v>
      </c>
      <c r="C16" s="234" t="s">
        <v>218</v>
      </c>
      <c r="D16" s="234" t="s">
        <v>219</v>
      </c>
      <c r="E16" s="84"/>
      <c r="F16" s="84"/>
      <c r="G16" s="257" t="s">
        <v>242</v>
      </c>
      <c r="H16" s="212">
        <v>6.69</v>
      </c>
      <c r="I16" s="212">
        <v>5.89</v>
      </c>
      <c r="J16" s="212">
        <v>2.0699999999999998</v>
      </c>
      <c r="K16" s="212">
        <v>2.77</v>
      </c>
      <c r="L16" s="212">
        <v>6.03</v>
      </c>
      <c r="M16" s="204"/>
      <c r="N16" s="204"/>
      <c r="O16" s="204"/>
      <c r="P16" s="204"/>
      <c r="Q16" s="204"/>
      <c r="R16" s="204"/>
      <c r="S16" s="204"/>
      <c r="T16" s="204"/>
      <c r="U16" s="204"/>
      <c r="V16" s="204"/>
      <c r="W16" s="204"/>
      <c r="X16" s="204"/>
      <c r="Y16" s="204"/>
      <c r="Z16" s="204"/>
      <c r="AA16" s="204"/>
      <c r="AB16" s="204"/>
      <c r="AC16" s="204"/>
      <c r="AD16" s="204"/>
      <c r="AE16" s="204"/>
      <c r="AF16" s="204"/>
    </row>
    <row r="17" spans="2:32">
      <c r="B17" s="76" t="s">
        <v>109</v>
      </c>
      <c r="C17" s="235">
        <v>467.91</v>
      </c>
      <c r="D17" s="237">
        <v>0.46389999999999998</v>
      </c>
      <c r="E17" s="211"/>
      <c r="F17" s="211"/>
      <c r="G17" s="259" t="s">
        <v>247</v>
      </c>
      <c r="H17" s="220">
        <f>SUM(H13:H16)</f>
        <v>306.23999999999995</v>
      </c>
      <c r="I17" s="220">
        <f>SUM(I13:I16)</f>
        <v>473.83</v>
      </c>
      <c r="J17" s="220">
        <f>SUM(J13:J16)</f>
        <v>480.03999999999991</v>
      </c>
      <c r="K17" s="220">
        <f>SUM(K13:K16)</f>
        <v>368.55</v>
      </c>
      <c r="L17" s="220">
        <f>SUM(L13:L16)</f>
        <v>541.89</v>
      </c>
      <c r="M17" s="204"/>
      <c r="N17" s="204"/>
      <c r="O17" s="204"/>
      <c r="P17" s="204"/>
      <c r="Q17" s="204"/>
      <c r="R17" s="204"/>
      <c r="S17" s="204"/>
      <c r="T17" s="204"/>
      <c r="U17" s="204"/>
      <c r="V17" s="204"/>
      <c r="W17" s="204"/>
      <c r="X17" s="204"/>
      <c r="Y17" s="204"/>
      <c r="Z17" s="204"/>
      <c r="AA17" s="204"/>
      <c r="AB17" s="204"/>
      <c r="AC17" s="204"/>
      <c r="AD17" s="204"/>
      <c r="AE17" s="204"/>
      <c r="AF17" s="204"/>
    </row>
    <row r="18" spans="2:32">
      <c r="B18" s="76" t="s">
        <v>112</v>
      </c>
      <c r="C18" s="235">
        <v>275.45999999999998</v>
      </c>
      <c r="D18" s="237">
        <v>3.39E-2</v>
      </c>
      <c r="M18" s="204"/>
      <c r="N18" s="204"/>
      <c r="O18" s="204"/>
      <c r="P18" s="204"/>
      <c r="Q18" s="204"/>
      <c r="R18" s="204"/>
      <c r="S18" s="204"/>
      <c r="T18" s="204"/>
      <c r="U18" s="204"/>
      <c r="V18" s="204"/>
      <c r="W18" s="204"/>
      <c r="X18" s="204"/>
      <c r="Y18" s="204"/>
      <c r="Z18" s="204"/>
      <c r="AA18" s="204"/>
      <c r="AB18" s="204"/>
      <c r="AC18" s="204"/>
      <c r="AD18" s="204"/>
      <c r="AE18" s="204"/>
      <c r="AF18" s="204"/>
    </row>
    <row r="19" spans="2:32">
      <c r="B19" s="76" t="s">
        <v>114</v>
      </c>
      <c r="C19" s="235">
        <v>247.57</v>
      </c>
      <c r="D19" s="237">
        <v>0.18440000000000001</v>
      </c>
      <c r="G19" s="259" t="s">
        <v>217</v>
      </c>
      <c r="H19" s="260">
        <f>H11-H17</f>
        <v>249.07</v>
      </c>
      <c r="I19" s="260">
        <f>I11-I17</f>
        <v>271.57</v>
      </c>
      <c r="J19" s="260">
        <f>J11-J17</f>
        <v>383.14000000000016</v>
      </c>
      <c r="K19" s="260">
        <f>K11-K17</f>
        <v>282.67</v>
      </c>
      <c r="L19" s="260">
        <f>L11-L17</f>
        <v>628.87</v>
      </c>
      <c r="M19" s="204"/>
      <c r="N19" s="204"/>
      <c r="O19" s="204"/>
      <c r="P19" s="204"/>
      <c r="Q19" s="204"/>
      <c r="R19" s="204"/>
      <c r="S19" s="204"/>
      <c r="T19" s="204"/>
      <c r="U19" s="204"/>
      <c r="V19" s="204"/>
      <c r="W19" s="204"/>
      <c r="X19" s="204"/>
      <c r="Y19" s="204"/>
      <c r="Z19" s="204"/>
      <c r="AA19" s="204"/>
      <c r="AB19" s="204"/>
      <c r="AC19" s="204"/>
      <c r="AD19" s="204"/>
      <c r="AE19" s="204"/>
      <c r="AF19" s="204"/>
    </row>
    <row r="20" spans="2:32">
      <c r="B20" s="76" t="s">
        <v>117</v>
      </c>
      <c r="C20" s="235">
        <v>377.65</v>
      </c>
      <c r="D20" s="237">
        <v>0.22670000000000001</v>
      </c>
      <c r="E20" s="246"/>
      <c r="G20" s="212"/>
      <c r="H20" s="212"/>
      <c r="I20" s="212"/>
      <c r="J20" s="212"/>
      <c r="K20" s="212"/>
      <c r="L20" s="212"/>
      <c r="M20" s="204"/>
      <c r="N20" s="204"/>
      <c r="O20" s="204"/>
      <c r="P20" s="204"/>
      <c r="Q20" s="204"/>
      <c r="R20" s="204"/>
      <c r="S20" s="204"/>
      <c r="T20" s="204"/>
      <c r="U20" s="204"/>
      <c r="V20" s="204"/>
      <c r="W20" s="204"/>
      <c r="X20" s="204"/>
      <c r="Y20" s="204"/>
      <c r="Z20" s="204"/>
      <c r="AA20" s="204"/>
      <c r="AB20" s="204"/>
      <c r="AC20" s="204"/>
      <c r="AD20" s="204"/>
      <c r="AE20" s="204"/>
      <c r="AF20" s="204"/>
    </row>
    <row r="21" spans="2:32">
      <c r="B21" s="76" t="s">
        <v>118</v>
      </c>
      <c r="C21" s="235">
        <v>-402.78</v>
      </c>
      <c r="D21" s="237">
        <v>-0.15989999999999999</v>
      </c>
      <c r="G21" s="234" t="s">
        <v>248</v>
      </c>
      <c r="H21" s="263"/>
      <c r="I21" s="266">
        <f t="shared" ref="I21:K21" si="1">I19-H19</f>
        <v>22.5</v>
      </c>
      <c r="J21" s="266">
        <f t="shared" si="1"/>
        <v>111.57000000000016</v>
      </c>
      <c r="K21" s="266">
        <f t="shared" si="1"/>
        <v>-100.47000000000014</v>
      </c>
      <c r="L21" s="266">
        <f>L19-K19</f>
        <v>346.2</v>
      </c>
      <c r="M21" s="204"/>
      <c r="N21" s="204"/>
      <c r="O21" s="204"/>
      <c r="P21" s="204"/>
      <c r="Q21" s="204"/>
      <c r="R21" s="204"/>
      <c r="S21" s="204"/>
      <c r="T21" s="204"/>
      <c r="U21" s="204"/>
      <c r="V21" s="204"/>
      <c r="W21" s="204"/>
      <c r="X21" s="204"/>
      <c r="Y21" s="204"/>
      <c r="Z21" s="204"/>
      <c r="AA21" s="204"/>
      <c r="AB21" s="204"/>
      <c r="AC21" s="204"/>
      <c r="AD21" s="204"/>
      <c r="AE21" s="204"/>
      <c r="AF21" s="204"/>
    </row>
    <row r="22" spans="2:32">
      <c r="B22" s="76" t="s">
        <v>120</v>
      </c>
      <c r="C22" s="235">
        <v>354.65</v>
      </c>
      <c r="D22" s="237">
        <v>0.11600000000000001</v>
      </c>
      <c r="G22" s="212"/>
      <c r="H22" s="212"/>
      <c r="I22" s="212"/>
      <c r="J22" s="212"/>
      <c r="K22" s="212"/>
      <c r="L22" s="212"/>
      <c r="M22" s="268"/>
      <c r="N22" s="204"/>
      <c r="O22" s="204"/>
      <c r="P22" s="204"/>
      <c r="Q22" s="204"/>
      <c r="R22" s="204"/>
      <c r="S22" s="204"/>
      <c r="T22" s="204"/>
      <c r="U22" s="204"/>
      <c r="V22" s="204"/>
      <c r="W22" s="204"/>
      <c r="X22" s="204"/>
      <c r="Y22" s="204"/>
      <c r="Z22" s="204"/>
      <c r="AA22" s="204"/>
      <c r="AB22" s="204"/>
      <c r="AC22" s="204"/>
      <c r="AD22" s="204"/>
      <c r="AE22" s="204"/>
      <c r="AF22" s="204"/>
    </row>
    <row r="23" spans="2:32">
      <c r="B23" s="76" t="s">
        <v>122</v>
      </c>
      <c r="C23" s="235">
        <v>-56.33</v>
      </c>
      <c r="D23" s="237">
        <v>-1.7500000000000002E-2</v>
      </c>
      <c r="G23" s="257" t="s">
        <v>7</v>
      </c>
      <c r="H23" s="212">
        <v>2157.46</v>
      </c>
      <c r="I23" s="212">
        <v>2630.24</v>
      </c>
      <c r="J23" s="212">
        <v>3485.98</v>
      </c>
      <c r="K23" s="212">
        <v>2592.96</v>
      </c>
      <c r="L23" s="212">
        <v>4498.0200000000004</v>
      </c>
      <c r="M23" s="204"/>
      <c r="N23" s="204"/>
      <c r="O23" s="204"/>
      <c r="P23" s="204"/>
      <c r="Q23" s="204"/>
      <c r="R23" s="204"/>
      <c r="S23" s="204"/>
      <c r="T23" s="204"/>
      <c r="U23" s="204"/>
      <c r="V23" s="204"/>
      <c r="W23" s="204"/>
      <c r="X23" s="204"/>
      <c r="Y23" s="204"/>
      <c r="Z23" s="204"/>
      <c r="AA23" s="204"/>
      <c r="AB23" s="204"/>
      <c r="AC23" s="204"/>
      <c r="AD23" s="204"/>
      <c r="AE23" s="204"/>
      <c r="AF23" s="204"/>
    </row>
    <row r="24" spans="2:32">
      <c r="B24" s="76" t="s">
        <v>124</v>
      </c>
      <c r="C24" s="235">
        <v>156.38999999999999</v>
      </c>
      <c r="D24" s="237">
        <v>0.2485</v>
      </c>
      <c r="G24" s="213" t="s">
        <v>240</v>
      </c>
      <c r="H24" s="237">
        <f>H19/H23</f>
        <v>0.11544594106032093</v>
      </c>
      <c r="I24" s="237">
        <f>I19/I23</f>
        <v>0.10324913315895128</v>
      </c>
      <c r="J24" s="237">
        <f>J19/J23</f>
        <v>0.10990883481832947</v>
      </c>
      <c r="K24" s="237">
        <f>K19/K23</f>
        <v>0.1090144082438603</v>
      </c>
      <c r="L24" s="237">
        <f>L19/L23</f>
        <v>0.13981040546729448</v>
      </c>
      <c r="M24" s="204"/>
      <c r="N24" s="204"/>
      <c r="O24" s="204"/>
      <c r="P24" s="204"/>
      <c r="Q24" s="204"/>
      <c r="R24" s="204"/>
      <c r="S24" s="204"/>
      <c r="T24" s="204"/>
      <c r="U24" s="204"/>
      <c r="V24" s="204"/>
      <c r="W24" s="204"/>
      <c r="X24" s="204"/>
      <c r="Y24" s="204"/>
      <c r="Z24" s="204"/>
      <c r="AA24" s="204"/>
      <c r="AB24" s="204"/>
      <c r="AC24" s="204"/>
      <c r="AD24" s="204"/>
      <c r="AE24" s="204"/>
      <c r="AF24" s="204"/>
    </row>
    <row r="25" spans="2:32">
      <c r="B25" s="401" t="s">
        <v>220</v>
      </c>
      <c r="C25" s="401"/>
      <c r="D25" s="238">
        <f>AVERAGE(D17:D24)</f>
        <v>0.13699999999999998</v>
      </c>
      <c r="K25" s="227" t="s">
        <v>254</v>
      </c>
      <c r="L25" s="264">
        <f>AVERAGE(H24:L24)</f>
        <v>0.11548574454975129</v>
      </c>
      <c r="M25" s="204"/>
      <c r="N25" s="204"/>
      <c r="O25" s="204"/>
      <c r="P25" s="204"/>
      <c r="Q25" s="204"/>
      <c r="R25" s="204"/>
      <c r="S25" s="204"/>
      <c r="T25" s="204"/>
      <c r="U25" s="204"/>
      <c r="V25" s="204"/>
      <c r="W25" s="204"/>
      <c r="X25" s="204"/>
      <c r="Y25" s="204"/>
      <c r="Z25" s="204"/>
      <c r="AA25" s="204"/>
      <c r="AB25" s="204"/>
      <c r="AC25" s="204"/>
      <c r="AD25" s="204"/>
      <c r="AE25" s="204"/>
      <c r="AF25" s="204"/>
    </row>
    <row r="26" spans="2:32">
      <c r="M26" s="204"/>
      <c r="N26" s="204"/>
      <c r="O26" s="204"/>
      <c r="P26" s="204"/>
      <c r="Q26" s="204"/>
      <c r="R26" s="204"/>
      <c r="S26" s="204"/>
      <c r="T26" s="204"/>
      <c r="U26" s="204"/>
      <c r="V26" s="204"/>
      <c r="W26" s="204"/>
      <c r="X26" s="204"/>
      <c r="Y26" s="204"/>
      <c r="Z26" s="204"/>
      <c r="AA26" s="204"/>
      <c r="AB26" s="204"/>
      <c r="AC26" s="204"/>
      <c r="AD26" s="204"/>
      <c r="AE26" s="204"/>
      <c r="AF26" s="204"/>
    </row>
    <row r="27" spans="2:32">
      <c r="K27" s="204"/>
      <c r="L27" s="204"/>
      <c r="M27" s="204"/>
      <c r="N27" s="204"/>
      <c r="O27" s="204"/>
      <c r="P27" s="204"/>
      <c r="Q27" s="204"/>
      <c r="R27" s="204"/>
      <c r="S27" s="204"/>
      <c r="T27" s="204"/>
      <c r="U27" s="204"/>
      <c r="V27" s="204"/>
      <c r="W27" s="204"/>
      <c r="X27" s="204"/>
      <c r="Y27" s="204"/>
      <c r="Z27" s="204"/>
      <c r="AA27" s="204"/>
      <c r="AB27" s="204"/>
      <c r="AC27" s="204"/>
      <c r="AD27" s="204"/>
      <c r="AE27" s="204"/>
      <c r="AF27" s="204"/>
    </row>
    <row r="28" spans="2:32">
      <c r="K28" s="204"/>
      <c r="L28" s="204"/>
      <c r="M28" s="204"/>
      <c r="N28" s="204"/>
      <c r="O28" s="204"/>
      <c r="P28" s="204"/>
      <c r="Q28" s="204"/>
      <c r="R28" s="204"/>
      <c r="S28" s="204"/>
      <c r="T28" s="204"/>
      <c r="U28" s="204"/>
      <c r="V28" s="204"/>
      <c r="W28" s="204"/>
      <c r="X28" s="204"/>
      <c r="Y28" s="204"/>
      <c r="Z28" s="204"/>
      <c r="AA28" s="204"/>
      <c r="AB28" s="204"/>
      <c r="AC28" s="204"/>
      <c r="AD28" s="204"/>
      <c r="AE28" s="204"/>
      <c r="AF28" s="204"/>
    </row>
    <row r="29" spans="2:32">
      <c r="K29" s="204"/>
      <c r="L29" s="204"/>
      <c r="M29" s="204"/>
      <c r="N29" s="204"/>
      <c r="O29" s="204"/>
      <c r="P29" s="204"/>
      <c r="Q29" s="204"/>
      <c r="R29" s="204"/>
      <c r="S29" s="204"/>
      <c r="T29" s="204"/>
      <c r="U29" s="204"/>
      <c r="V29" s="204"/>
      <c r="W29" s="204"/>
      <c r="X29" s="204"/>
      <c r="Y29" s="204"/>
      <c r="Z29" s="204"/>
      <c r="AA29" s="204"/>
      <c r="AB29" s="204"/>
      <c r="AC29" s="204"/>
      <c r="AD29" s="204"/>
      <c r="AE29" s="204"/>
      <c r="AF29" s="204"/>
    </row>
    <row r="30" spans="2:32" ht="14.25" customHeight="1">
      <c r="K30" s="204"/>
      <c r="L30" s="204"/>
      <c r="M30" s="204"/>
      <c r="N30" s="204"/>
      <c r="O30" s="204"/>
      <c r="P30" s="204"/>
      <c r="Q30" s="204"/>
      <c r="R30" s="204"/>
      <c r="S30" s="204"/>
      <c r="T30" s="204"/>
      <c r="U30" s="204"/>
      <c r="V30" s="204"/>
      <c r="W30" s="204"/>
      <c r="X30" s="204"/>
      <c r="Y30" s="204"/>
      <c r="Z30" s="204"/>
      <c r="AA30" s="204"/>
      <c r="AB30" s="204"/>
      <c r="AC30" s="204"/>
      <c r="AD30" s="204"/>
      <c r="AE30" s="204"/>
      <c r="AF30" s="204"/>
    </row>
    <row r="31" spans="2:32">
      <c r="K31" s="204"/>
      <c r="L31" s="204"/>
      <c r="M31" s="204"/>
      <c r="N31" s="204"/>
      <c r="O31" s="204"/>
      <c r="P31" s="204"/>
      <c r="Q31" s="204"/>
      <c r="R31" s="204"/>
      <c r="S31" s="204"/>
      <c r="T31" s="204"/>
      <c r="U31" s="204"/>
      <c r="V31" s="204"/>
      <c r="W31" s="204"/>
      <c r="X31" s="204"/>
      <c r="Y31" s="204"/>
      <c r="Z31" s="204"/>
      <c r="AA31" s="204"/>
      <c r="AB31" s="204"/>
      <c r="AC31" s="204"/>
      <c r="AD31" s="204"/>
      <c r="AE31" s="204"/>
      <c r="AF31" s="204"/>
    </row>
    <row r="32" spans="2:32">
      <c r="K32" s="204"/>
      <c r="L32" s="204"/>
      <c r="M32" s="204"/>
      <c r="N32" s="204"/>
      <c r="O32" s="204"/>
      <c r="P32" s="204"/>
      <c r="Q32" s="204"/>
      <c r="R32" s="204"/>
      <c r="S32" s="204"/>
      <c r="T32" s="204"/>
      <c r="U32" s="204"/>
      <c r="V32" s="204"/>
      <c r="W32" s="204"/>
      <c r="X32" s="204"/>
      <c r="Y32" s="204"/>
      <c r="Z32" s="204"/>
      <c r="AA32" s="204"/>
      <c r="AB32" s="204"/>
      <c r="AC32" s="204"/>
      <c r="AD32" s="204"/>
      <c r="AE32" s="204"/>
      <c r="AF32" s="204"/>
    </row>
    <row r="33" spans="7:32">
      <c r="K33" s="204"/>
      <c r="L33" s="204"/>
      <c r="M33" s="204"/>
      <c r="N33" s="204"/>
      <c r="O33" s="204"/>
      <c r="P33" s="204"/>
      <c r="Q33" s="204"/>
      <c r="R33" s="204"/>
      <c r="S33" s="204"/>
      <c r="T33" s="204"/>
      <c r="U33" s="204"/>
      <c r="V33" s="204"/>
      <c r="W33" s="204"/>
      <c r="X33" s="204"/>
      <c r="Y33" s="204"/>
      <c r="Z33" s="204"/>
      <c r="AA33" s="204"/>
      <c r="AB33" s="204"/>
      <c r="AC33" s="204"/>
      <c r="AD33" s="204"/>
      <c r="AE33" s="204"/>
      <c r="AF33" s="204"/>
    </row>
    <row r="34" spans="7:32">
      <c r="K34" s="204"/>
      <c r="L34" s="204"/>
      <c r="M34" s="204"/>
      <c r="N34" s="204"/>
      <c r="O34" s="204"/>
      <c r="P34" s="204"/>
      <c r="Q34" s="204"/>
      <c r="R34" s="204"/>
      <c r="S34" s="204"/>
      <c r="T34" s="204"/>
      <c r="U34" s="204"/>
      <c r="V34" s="204"/>
      <c r="W34" s="204"/>
      <c r="X34" s="204"/>
      <c r="Y34" s="204"/>
      <c r="Z34" s="204"/>
      <c r="AA34" s="204"/>
      <c r="AB34" s="204"/>
      <c r="AC34" s="204"/>
      <c r="AD34" s="204"/>
      <c r="AE34" s="204"/>
      <c r="AF34" s="204"/>
    </row>
    <row r="35" spans="7:32">
      <c r="K35" s="204"/>
      <c r="L35" s="204"/>
      <c r="M35" s="204"/>
      <c r="N35" s="204"/>
      <c r="O35" s="204"/>
      <c r="P35" s="204"/>
      <c r="Q35" s="204"/>
      <c r="R35" s="204"/>
      <c r="S35" s="204"/>
      <c r="T35" s="204"/>
      <c r="U35" s="204"/>
      <c r="V35" s="204"/>
      <c r="W35" s="204"/>
      <c r="X35" s="204"/>
      <c r="Y35" s="204"/>
      <c r="Z35" s="204"/>
      <c r="AA35" s="204"/>
      <c r="AB35" s="204"/>
      <c r="AC35" s="204"/>
      <c r="AD35" s="204"/>
      <c r="AE35" s="204"/>
      <c r="AF35" s="204"/>
    </row>
    <row r="36" spans="7:32">
      <c r="K36" s="204"/>
      <c r="L36" s="204"/>
      <c r="M36" s="204"/>
      <c r="N36" s="204"/>
      <c r="O36" s="204"/>
      <c r="P36" s="204"/>
      <c r="Q36" s="204"/>
      <c r="R36" s="204"/>
      <c r="S36" s="204"/>
      <c r="T36" s="204"/>
      <c r="U36" s="204"/>
      <c r="V36" s="204"/>
      <c r="W36" s="204"/>
      <c r="X36" s="204"/>
      <c r="Y36" s="204"/>
      <c r="Z36" s="204"/>
      <c r="AA36" s="204"/>
      <c r="AB36" s="204"/>
      <c r="AC36" s="204"/>
      <c r="AD36" s="204"/>
      <c r="AE36" s="204"/>
      <c r="AF36" s="204"/>
    </row>
    <row r="37" spans="7:32">
      <c r="K37" s="204"/>
      <c r="L37" s="204"/>
      <c r="M37" s="204"/>
      <c r="N37" s="204"/>
      <c r="O37" s="204"/>
      <c r="P37" s="204"/>
      <c r="Q37" s="204"/>
      <c r="R37" s="204"/>
      <c r="S37" s="204"/>
      <c r="T37" s="204"/>
      <c r="U37" s="204"/>
      <c r="V37" s="204"/>
      <c r="W37" s="204"/>
      <c r="X37" s="204"/>
      <c r="Y37" s="204"/>
      <c r="Z37" s="204"/>
      <c r="AA37" s="204"/>
      <c r="AB37" s="204"/>
      <c r="AC37" s="204"/>
      <c r="AD37" s="204"/>
      <c r="AE37" s="204"/>
      <c r="AF37" s="204"/>
    </row>
    <row r="38" spans="7:32">
      <c r="G38" s="204"/>
      <c r="H38" s="204"/>
      <c r="I38" s="204"/>
      <c r="J38" s="204"/>
      <c r="K38" s="204"/>
      <c r="L38" s="204"/>
      <c r="M38" s="204"/>
      <c r="N38" s="204"/>
      <c r="O38" s="204"/>
      <c r="P38" s="204"/>
      <c r="Q38" s="204"/>
      <c r="R38" s="204"/>
      <c r="S38" s="204"/>
      <c r="T38" s="204"/>
      <c r="U38" s="204"/>
      <c r="V38" s="204"/>
      <c r="W38" s="204"/>
      <c r="X38" s="204"/>
      <c r="Y38" s="204"/>
      <c r="Z38" s="204"/>
      <c r="AA38" s="204"/>
      <c r="AB38" s="204"/>
      <c r="AC38" s="204"/>
      <c r="AD38" s="204"/>
      <c r="AE38" s="204"/>
      <c r="AF38" s="204"/>
    </row>
  </sheetData>
  <mergeCells count="2">
    <mergeCell ref="B15:D15"/>
    <mergeCell ref="B25:C25"/>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9" customWidth="1"/>
    <col min="2" max="2" width="29.28515625" style="199" customWidth="1"/>
    <col min="3" max="3" width="11.7109375" style="199" customWidth="1"/>
    <col min="4" max="4" width="4.85546875" style="199" customWidth="1"/>
    <col min="5" max="5" width="10.140625" style="199" customWidth="1"/>
    <col min="6" max="6" width="32.42578125" style="199" customWidth="1"/>
    <col min="7" max="7" width="10.28515625" style="199" customWidth="1" collapsed="1"/>
    <col min="8" max="8" width="5.42578125" style="199" customWidth="1"/>
    <col min="9" max="9" width="5" style="199" customWidth="1"/>
    <col min="10" max="10" width="31.5703125" style="199" customWidth="1"/>
    <col min="11" max="11" width="9" style="199" customWidth="1"/>
    <col min="12" max="12" width="9.85546875" style="199" customWidth="1"/>
    <col min="13" max="26" width="9.140625" style="199" customWidth="1"/>
    <col min="27" max="27" width="9.28515625" style="199" customWidth="1"/>
    <col min="28" max="28" width="9.42578125" style="199" customWidth="1"/>
    <col min="29" max="29" width="10" style="199" customWidth="1"/>
    <col min="30" max="30" width="11.42578125" style="199" customWidth="1"/>
    <col min="31" max="31" width="9.42578125" style="199" bestFit="1" customWidth="1" collapsed="1"/>
    <col min="32" max="16384" width="9.140625" style="199"/>
  </cols>
  <sheetData>
    <row r="1" spans="1:32" s="198" customFormat="1" ht="15" customHeight="1">
      <c r="B1" s="18" t="s">
        <v>238</v>
      </c>
      <c r="C1" s="197"/>
      <c r="D1" s="197"/>
      <c r="E1" s="197"/>
      <c r="F1" s="197"/>
      <c r="G1" s="197"/>
      <c r="H1" s="197"/>
      <c r="I1" s="197"/>
      <c r="J1" s="197"/>
      <c r="K1" s="197"/>
      <c r="L1" s="197"/>
    </row>
    <row r="2" spans="1:32" ht="12.75" customHeight="1">
      <c r="C2" s="227"/>
    </row>
    <row r="3" spans="1:32" ht="15.75">
      <c r="A3" s="201"/>
      <c r="B3" s="230" t="str">
        <f>F14</f>
        <v>Free Cash Flow to Firm (FCFF)</v>
      </c>
      <c r="C3" s="253">
        <f>G14</f>
        <v>302.51727197744844</v>
      </c>
      <c r="F3" s="180" t="s">
        <v>221</v>
      </c>
      <c r="G3" s="212"/>
      <c r="J3" s="180" t="s">
        <v>226</v>
      </c>
      <c r="K3" s="212"/>
      <c r="L3" s="209"/>
    </row>
    <row r="4" spans="1:32" ht="15">
      <c r="A4" s="206"/>
      <c r="F4" s="224"/>
      <c r="G4" s="256" t="s">
        <v>180</v>
      </c>
      <c r="J4" s="224"/>
      <c r="K4" s="255" t="s">
        <v>180</v>
      </c>
      <c r="L4" s="84"/>
      <c r="O4" s="203"/>
      <c r="Q4" s="203"/>
      <c r="R4" s="203"/>
      <c r="S4" s="203"/>
      <c r="T4" s="203"/>
      <c r="U4" s="203"/>
      <c r="V4" s="203"/>
      <c r="AA4" s="203"/>
    </row>
    <row r="5" spans="1:32">
      <c r="A5" s="206"/>
      <c r="B5" s="252" t="str">
        <f>J17</f>
        <v>Free Cash Flow to Equity (FCFE)</v>
      </c>
      <c r="C5" s="254">
        <f>K17</f>
        <v>317.48514797744849</v>
      </c>
      <c r="F5" s="216" t="str">
        <f>'EBIT &amp; Operating Lease'!B15</f>
        <v>Adjusted EBIT</v>
      </c>
      <c r="G5" s="231">
        <f>'EBIT &amp; Advertising Expense'!C11</f>
        <v>790.98957350426838</v>
      </c>
      <c r="J5" s="216" t="str">
        <f>F5</f>
        <v>Adjusted EBIT</v>
      </c>
      <c r="K5" s="217">
        <f>G5</f>
        <v>790.98957350426838</v>
      </c>
      <c r="L5" s="211"/>
      <c r="O5" s="204"/>
      <c r="P5" s="204"/>
      <c r="Q5" s="204"/>
      <c r="R5" s="204"/>
      <c r="S5" s="204"/>
      <c r="T5" s="204"/>
      <c r="U5" s="204"/>
      <c r="V5" s="204"/>
      <c r="W5" s="204"/>
      <c r="X5" s="204"/>
      <c r="Y5" s="204"/>
      <c r="Z5" s="204"/>
      <c r="AA5" s="204"/>
      <c r="AB5" s="204"/>
      <c r="AC5" s="204"/>
      <c r="AD5" s="204"/>
      <c r="AE5" s="204"/>
      <c r="AF5" s="204"/>
    </row>
    <row r="6" spans="1:32">
      <c r="A6" s="206"/>
      <c r="F6" s="216" t="str">
        <f>Beta!B14</f>
        <v>Effective Tax Rate (Trent Ltd)</v>
      </c>
      <c r="G6" s="248">
        <f>Beta!C14</f>
        <v>0.22739999999999999</v>
      </c>
      <c r="J6" s="214" t="s">
        <v>227</v>
      </c>
      <c r="K6" s="217">
        <f>304.74</f>
        <v>304.74</v>
      </c>
      <c r="O6" s="204"/>
      <c r="P6" s="204"/>
      <c r="Q6" s="204"/>
      <c r="R6" s="204"/>
      <c r="S6" s="204"/>
      <c r="T6" s="204"/>
      <c r="U6" s="204"/>
      <c r="V6" s="204"/>
      <c r="W6" s="204"/>
      <c r="X6" s="204"/>
      <c r="Y6" s="204"/>
      <c r="Z6" s="204"/>
      <c r="AA6" s="204"/>
      <c r="AB6" s="204"/>
      <c r="AC6" s="204"/>
      <c r="AD6" s="204"/>
      <c r="AE6" s="204"/>
      <c r="AF6" s="204"/>
    </row>
    <row r="7" spans="1:32">
      <c r="F7" s="214"/>
      <c r="G7" s="240"/>
      <c r="J7" s="218" t="s">
        <v>228</v>
      </c>
      <c r="K7" s="219">
        <f>K5-K6</f>
        <v>486.24957350426837</v>
      </c>
      <c r="O7" s="204"/>
      <c r="P7" s="204"/>
      <c r="Q7" s="204"/>
      <c r="R7" s="204"/>
      <c r="S7" s="204"/>
      <c r="T7" s="204"/>
      <c r="U7" s="204"/>
      <c r="V7" s="204"/>
      <c r="W7" s="204"/>
      <c r="X7" s="204"/>
      <c r="Y7" s="204"/>
      <c r="Z7" s="204"/>
      <c r="AA7" s="204"/>
      <c r="AB7" s="204"/>
      <c r="AC7" s="204"/>
      <c r="AD7" s="204"/>
      <c r="AE7" s="204"/>
      <c r="AF7" s="204"/>
    </row>
    <row r="8" spans="1:32">
      <c r="A8" s="206"/>
      <c r="F8" s="216" t="s">
        <v>222</v>
      </c>
      <c r="G8" s="217">
        <f>G5*(1-G6)</f>
        <v>611.11854448939766</v>
      </c>
      <c r="H8" s="207"/>
      <c r="J8" s="230" t="s">
        <v>229</v>
      </c>
      <c r="K8" s="251">
        <f>'FCFF &amp; FCFE'!G6</f>
        <v>0.22739999999999999</v>
      </c>
      <c r="O8" s="204"/>
      <c r="P8" s="204"/>
      <c r="Q8" s="204"/>
      <c r="R8" s="204"/>
      <c r="S8" s="204"/>
      <c r="T8" s="204"/>
      <c r="U8" s="204"/>
      <c r="V8" s="204"/>
      <c r="W8" s="204"/>
      <c r="X8" s="204"/>
      <c r="Y8" s="204"/>
      <c r="Z8" s="204"/>
      <c r="AA8" s="204"/>
      <c r="AB8" s="204"/>
      <c r="AC8" s="204"/>
      <c r="AD8" s="204"/>
      <c r="AE8" s="204"/>
      <c r="AF8" s="204"/>
    </row>
    <row r="9" spans="1:32">
      <c r="A9" s="206"/>
      <c r="F9" s="230"/>
      <c r="G9" s="241"/>
      <c r="J9" s="220" t="s">
        <v>230</v>
      </c>
      <c r="K9" s="221">
        <f>K7*(1-K8)</f>
        <v>375.67642048939774</v>
      </c>
      <c r="O9" s="204"/>
      <c r="P9" s="204"/>
      <c r="Q9" s="204"/>
      <c r="R9" s="204"/>
      <c r="S9" s="204"/>
      <c r="T9" s="204"/>
      <c r="U9" s="204"/>
      <c r="V9" s="204"/>
      <c r="W9" s="204"/>
      <c r="X9" s="204"/>
      <c r="Y9" s="204"/>
      <c r="Z9" s="204"/>
      <c r="AA9" s="204"/>
      <c r="AB9" s="204"/>
      <c r="AC9" s="204"/>
      <c r="AD9" s="204"/>
      <c r="AE9" s="204"/>
      <c r="AF9" s="204"/>
    </row>
    <row r="10" spans="1:32">
      <c r="A10" s="202"/>
      <c r="F10" s="216" t="str">
        <f>'Net CapEx'!B9</f>
        <v>Adjusted Net Capital Expenditures</v>
      </c>
      <c r="G10" s="217">
        <f>'Net CapEx'!C9</f>
        <v>88.594000000000008</v>
      </c>
      <c r="J10" s="212"/>
      <c r="K10" s="212"/>
      <c r="O10" s="204"/>
      <c r="P10" s="204"/>
      <c r="Q10" s="204"/>
      <c r="R10" s="204"/>
      <c r="S10" s="204"/>
      <c r="T10" s="204"/>
      <c r="U10" s="204"/>
      <c r="V10" s="204"/>
      <c r="W10" s="204"/>
      <c r="X10" s="204"/>
      <c r="Y10" s="204"/>
      <c r="Z10" s="204"/>
      <c r="AA10" s="204"/>
      <c r="AB10" s="204"/>
      <c r="AC10" s="204"/>
      <c r="AD10" s="204"/>
      <c r="AE10" s="204"/>
      <c r="AF10" s="204"/>
    </row>
    <row r="11" spans="1:32">
      <c r="A11" s="206"/>
      <c r="F11" s="216" t="str">
        <f>'Working Capital Changes'!B11</f>
        <v>Adj Change in Non Cash WC</v>
      </c>
      <c r="G11" s="217">
        <f>'Working Capital Changes'!C11</f>
        <v>220.00727251194922</v>
      </c>
      <c r="J11" s="216" t="str">
        <f>F12</f>
        <v>Reinvestment</v>
      </c>
      <c r="K11" s="217">
        <f>G12</f>
        <v>308.60127251194922</v>
      </c>
      <c r="O11" s="204"/>
      <c r="P11" s="204"/>
      <c r="Q11" s="204"/>
      <c r="R11" s="204"/>
      <c r="S11" s="204"/>
      <c r="T11" s="204"/>
      <c r="U11" s="204"/>
      <c r="V11" s="204"/>
      <c r="W11" s="204"/>
      <c r="X11" s="204"/>
      <c r="Y11" s="204"/>
      <c r="Z11" s="204"/>
      <c r="AA11" s="204"/>
      <c r="AB11" s="204"/>
      <c r="AC11" s="204"/>
      <c r="AD11" s="204"/>
      <c r="AE11" s="204"/>
      <c r="AF11" s="204"/>
    </row>
    <row r="12" spans="1:32">
      <c r="F12" s="220" t="s">
        <v>225</v>
      </c>
      <c r="G12" s="250">
        <f>G10+G11</f>
        <v>308.60127251194922</v>
      </c>
      <c r="J12" s="216"/>
      <c r="K12" s="189"/>
      <c r="O12" s="204"/>
      <c r="P12" s="204"/>
      <c r="Q12" s="204"/>
      <c r="R12" s="204"/>
      <c r="S12" s="204"/>
      <c r="T12" s="204"/>
      <c r="U12" s="204"/>
      <c r="V12" s="204"/>
      <c r="W12" s="204"/>
      <c r="X12" s="204"/>
      <c r="Y12" s="204"/>
      <c r="Z12" s="204"/>
      <c r="AA12" s="204"/>
      <c r="AB12" s="204"/>
      <c r="AC12" s="204"/>
      <c r="AD12" s="204"/>
      <c r="AE12" s="204"/>
      <c r="AF12" s="204"/>
    </row>
    <row r="13" spans="1:32">
      <c r="A13" s="206"/>
      <c r="B13" s="202"/>
      <c r="C13" s="247"/>
      <c r="F13" s="212"/>
      <c r="G13" s="212"/>
      <c r="J13" s="216" t="s">
        <v>231</v>
      </c>
      <c r="K13" s="217">
        <f>300.9</f>
        <v>300.89999999999998</v>
      </c>
      <c r="O13" s="204"/>
      <c r="P13" s="204"/>
      <c r="Q13" s="204"/>
      <c r="R13" s="204"/>
      <c r="S13" s="204"/>
      <c r="T13" s="204"/>
      <c r="U13" s="204"/>
      <c r="V13" s="204"/>
      <c r="W13" s="204"/>
      <c r="X13" s="204"/>
      <c r="Y13" s="204"/>
      <c r="Z13" s="204"/>
      <c r="AA13" s="204"/>
      <c r="AB13" s="204"/>
      <c r="AC13" s="204"/>
      <c r="AD13" s="204"/>
      <c r="AE13" s="204"/>
      <c r="AF13" s="204"/>
    </row>
    <row r="14" spans="1:32">
      <c r="D14" s="204"/>
      <c r="E14" s="204"/>
      <c r="F14" s="216" t="s">
        <v>224</v>
      </c>
      <c r="G14" s="225">
        <f>G8-G12</f>
        <v>302.51727197744844</v>
      </c>
      <c r="H14" s="204"/>
      <c r="J14" s="216" t="s">
        <v>232</v>
      </c>
      <c r="K14" s="217">
        <v>551.30999999999995</v>
      </c>
      <c r="O14" s="204"/>
      <c r="P14" s="204"/>
      <c r="Q14" s="204"/>
      <c r="R14" s="204"/>
      <c r="S14" s="204"/>
      <c r="T14" s="204"/>
      <c r="U14" s="204"/>
      <c r="V14" s="204"/>
      <c r="W14" s="204"/>
      <c r="X14" s="204"/>
      <c r="Y14" s="204"/>
      <c r="Z14" s="204"/>
      <c r="AA14" s="204"/>
      <c r="AB14" s="204"/>
      <c r="AC14" s="204"/>
      <c r="AD14" s="204"/>
      <c r="AE14" s="204"/>
      <c r="AF14" s="204"/>
    </row>
    <row r="15" spans="1:32">
      <c r="E15" s="209"/>
      <c r="F15" s="209"/>
      <c r="J15" s="220" t="s">
        <v>234</v>
      </c>
      <c r="K15" s="221">
        <f>K14-K13</f>
        <v>250.40999999999997</v>
      </c>
      <c r="O15" s="204"/>
      <c r="P15" s="204"/>
      <c r="Q15" s="204"/>
      <c r="R15" s="204"/>
      <c r="S15" s="204"/>
      <c r="T15" s="204"/>
      <c r="U15" s="204"/>
      <c r="V15" s="204"/>
      <c r="W15" s="204"/>
      <c r="X15" s="204"/>
      <c r="Y15" s="204"/>
      <c r="Z15" s="204"/>
      <c r="AA15" s="204"/>
      <c r="AB15" s="204"/>
      <c r="AC15" s="204"/>
      <c r="AD15" s="204"/>
      <c r="AE15" s="204"/>
      <c r="AF15" s="204"/>
    </row>
    <row r="16" spans="1:32">
      <c r="E16" s="84"/>
      <c r="F16" s="84"/>
      <c r="J16" s="212"/>
      <c r="K16" s="212"/>
      <c r="O16" s="204"/>
      <c r="P16" s="204"/>
      <c r="Q16" s="204"/>
      <c r="R16" s="204"/>
      <c r="S16" s="204"/>
      <c r="T16" s="204"/>
      <c r="U16" s="204"/>
      <c r="V16" s="204"/>
      <c r="W16" s="204"/>
      <c r="X16" s="204"/>
      <c r="Y16" s="204"/>
      <c r="Z16" s="204"/>
      <c r="AA16" s="204"/>
      <c r="AB16" s="204"/>
      <c r="AC16" s="204"/>
      <c r="AD16" s="204"/>
      <c r="AE16" s="204"/>
      <c r="AF16" s="204"/>
    </row>
    <row r="17" spans="1:32">
      <c r="E17" s="211"/>
      <c r="F17" s="211"/>
      <c r="J17" s="216" t="s">
        <v>233</v>
      </c>
      <c r="K17" s="225">
        <f>K9-K11+K15</f>
        <v>317.48514797744849</v>
      </c>
      <c r="L17" s="204"/>
      <c r="O17" s="204"/>
      <c r="P17" s="204"/>
      <c r="Q17" s="204"/>
      <c r="R17" s="204"/>
      <c r="S17" s="204"/>
      <c r="T17" s="204"/>
      <c r="U17" s="204"/>
      <c r="V17" s="204"/>
      <c r="W17" s="204"/>
      <c r="X17" s="204"/>
      <c r="Y17" s="204"/>
      <c r="Z17" s="204"/>
      <c r="AA17" s="204"/>
      <c r="AB17" s="204"/>
      <c r="AC17" s="204"/>
      <c r="AD17" s="204"/>
      <c r="AE17" s="204"/>
      <c r="AF17" s="204"/>
    </row>
    <row r="18" spans="1:32">
      <c r="A18" s="206" t="s">
        <v>98</v>
      </c>
      <c r="G18" s="245"/>
      <c r="H18" s="246"/>
      <c r="I18" s="246"/>
      <c r="J18" s="246"/>
      <c r="K18" s="204"/>
      <c r="L18" s="204"/>
      <c r="M18" s="204"/>
      <c r="N18" s="204"/>
      <c r="O18" s="204"/>
      <c r="P18" s="204"/>
      <c r="Q18" s="204"/>
      <c r="R18" s="204"/>
      <c r="S18" s="204"/>
      <c r="T18" s="204"/>
      <c r="U18" s="204"/>
      <c r="V18" s="204"/>
      <c r="W18" s="204"/>
      <c r="X18" s="204"/>
      <c r="Y18" s="204"/>
      <c r="Z18" s="204"/>
      <c r="AA18" s="204"/>
      <c r="AB18" s="204"/>
      <c r="AC18" s="204"/>
      <c r="AD18" s="204"/>
      <c r="AE18" s="204"/>
      <c r="AF18" s="204"/>
    </row>
    <row r="19" spans="1:32">
      <c r="G19" s="51"/>
      <c r="H19" s="51"/>
      <c r="I19" s="208"/>
      <c r="J19" s="208"/>
      <c r="K19" s="204"/>
      <c r="L19" s="204"/>
      <c r="M19" s="204"/>
      <c r="N19" s="204"/>
      <c r="O19" s="204"/>
      <c r="P19" s="204"/>
      <c r="Q19" s="204"/>
      <c r="R19" s="204"/>
      <c r="S19" s="204"/>
      <c r="T19" s="204"/>
      <c r="U19" s="204"/>
      <c r="V19" s="204"/>
      <c r="W19" s="204"/>
      <c r="X19" s="204"/>
      <c r="Y19" s="204"/>
      <c r="Z19" s="204"/>
      <c r="AA19" s="204"/>
      <c r="AB19" s="204"/>
      <c r="AC19" s="204"/>
      <c r="AD19" s="204"/>
      <c r="AE19" s="204"/>
      <c r="AF19" s="204"/>
    </row>
    <row r="20" spans="1:32">
      <c r="A20" s="206"/>
      <c r="G20" s="122"/>
      <c r="H20" s="122"/>
      <c r="I20" s="233"/>
      <c r="J20" s="236"/>
      <c r="K20" s="204"/>
      <c r="L20" s="204"/>
      <c r="M20" s="204"/>
      <c r="N20" s="204"/>
      <c r="O20" s="204"/>
      <c r="P20" s="204"/>
      <c r="Q20" s="204"/>
      <c r="R20" s="204"/>
      <c r="S20" s="204"/>
      <c r="T20" s="204"/>
      <c r="U20" s="204"/>
      <c r="V20" s="204"/>
      <c r="W20" s="204"/>
      <c r="X20" s="204"/>
      <c r="Y20" s="204"/>
      <c r="Z20" s="204"/>
      <c r="AA20" s="204"/>
      <c r="AB20" s="204"/>
      <c r="AC20" s="204"/>
      <c r="AD20" s="204"/>
      <c r="AE20" s="204"/>
      <c r="AF20" s="204"/>
    </row>
    <row r="21" spans="1:32">
      <c r="G21" s="122"/>
      <c r="H21" s="122"/>
      <c r="I21" s="233"/>
      <c r="J21" s="236"/>
      <c r="K21" s="204"/>
      <c r="L21" s="204"/>
      <c r="M21" s="204"/>
      <c r="N21" s="204"/>
      <c r="O21" s="204"/>
      <c r="P21" s="204"/>
      <c r="Q21" s="204"/>
      <c r="R21" s="204"/>
      <c r="S21" s="204"/>
      <c r="T21" s="204"/>
      <c r="U21" s="204"/>
      <c r="V21" s="204"/>
      <c r="W21" s="204"/>
      <c r="X21" s="204"/>
      <c r="Y21" s="204"/>
      <c r="Z21" s="204"/>
      <c r="AA21" s="204"/>
      <c r="AB21" s="204"/>
      <c r="AC21" s="204"/>
      <c r="AD21" s="204"/>
      <c r="AE21" s="204"/>
      <c r="AF21" s="204"/>
    </row>
    <row r="22" spans="1:32">
      <c r="E22" s="242"/>
      <c r="G22" s="122"/>
      <c r="H22" s="122"/>
      <c r="I22" s="233"/>
      <c r="J22" s="236"/>
      <c r="K22" s="204"/>
      <c r="L22" s="204"/>
      <c r="M22" s="204"/>
      <c r="N22" s="204"/>
      <c r="O22" s="204"/>
      <c r="P22" s="204"/>
      <c r="Q22" s="204"/>
      <c r="R22" s="204"/>
      <c r="S22" s="204"/>
      <c r="T22" s="204"/>
      <c r="U22" s="204"/>
      <c r="V22" s="204"/>
      <c r="W22" s="204"/>
      <c r="X22" s="204"/>
      <c r="Y22" s="204"/>
      <c r="Z22" s="204"/>
      <c r="AA22" s="204"/>
      <c r="AB22" s="204"/>
      <c r="AC22" s="204"/>
      <c r="AD22" s="204"/>
      <c r="AE22" s="204"/>
      <c r="AF22" s="204"/>
    </row>
    <row r="23" spans="1:32">
      <c r="F23" s="249"/>
      <c r="G23" s="122"/>
      <c r="H23" s="122"/>
      <c r="I23" s="233"/>
      <c r="J23" s="236"/>
      <c r="K23" s="204"/>
      <c r="L23" s="204"/>
      <c r="M23" s="204"/>
      <c r="N23" s="204"/>
      <c r="O23" s="204"/>
      <c r="P23" s="204"/>
      <c r="Q23" s="204"/>
      <c r="R23" s="204"/>
      <c r="S23" s="204"/>
      <c r="T23" s="204"/>
      <c r="U23" s="204"/>
      <c r="V23" s="204"/>
      <c r="W23" s="204"/>
      <c r="X23" s="204"/>
      <c r="Y23" s="204"/>
      <c r="Z23" s="204"/>
      <c r="AA23" s="204"/>
      <c r="AB23" s="204"/>
      <c r="AC23" s="204"/>
      <c r="AD23" s="204"/>
      <c r="AE23" s="204"/>
      <c r="AF23" s="204"/>
    </row>
    <row r="24" spans="1:32">
      <c r="G24" s="122"/>
      <c r="H24" s="122"/>
      <c r="I24" s="233"/>
      <c r="J24" s="236"/>
      <c r="K24" s="204"/>
      <c r="L24" s="204"/>
      <c r="M24" s="204"/>
      <c r="N24" s="204"/>
      <c r="O24" s="204"/>
      <c r="P24" s="204"/>
      <c r="Q24" s="204"/>
      <c r="R24" s="204"/>
      <c r="S24" s="204"/>
      <c r="T24" s="204"/>
      <c r="U24" s="204"/>
      <c r="V24" s="204"/>
      <c r="W24" s="204"/>
      <c r="X24" s="204"/>
      <c r="Y24" s="204"/>
      <c r="Z24" s="204"/>
      <c r="AA24" s="204"/>
      <c r="AB24" s="204"/>
      <c r="AC24" s="204"/>
      <c r="AD24" s="204"/>
      <c r="AE24" s="204"/>
      <c r="AF24" s="204"/>
    </row>
    <row r="25" spans="1:32">
      <c r="G25" s="122"/>
      <c r="H25" s="122"/>
      <c r="I25" s="233"/>
      <c r="J25" s="236"/>
      <c r="K25" s="204"/>
      <c r="L25" s="204"/>
      <c r="M25" s="204"/>
      <c r="N25" s="204"/>
      <c r="O25" s="204"/>
      <c r="P25" s="204"/>
      <c r="Q25" s="204"/>
      <c r="R25" s="204"/>
      <c r="S25" s="204"/>
      <c r="T25" s="204"/>
      <c r="U25" s="204"/>
      <c r="V25" s="204"/>
      <c r="W25" s="204"/>
      <c r="X25" s="204"/>
      <c r="Y25" s="204"/>
      <c r="Z25" s="204"/>
      <c r="AA25" s="204"/>
      <c r="AB25" s="204"/>
      <c r="AC25" s="204"/>
      <c r="AD25" s="204"/>
      <c r="AE25" s="204"/>
      <c r="AF25" s="204"/>
    </row>
    <row r="26" spans="1:32">
      <c r="G26" s="122"/>
      <c r="H26" s="122"/>
      <c r="I26" s="233"/>
      <c r="J26" s="236"/>
      <c r="K26" s="204"/>
      <c r="L26" s="204"/>
      <c r="M26" s="204"/>
      <c r="N26" s="204"/>
      <c r="O26" s="204"/>
      <c r="P26" s="204"/>
      <c r="Q26" s="204"/>
      <c r="R26" s="204"/>
      <c r="S26" s="204"/>
      <c r="T26" s="204"/>
      <c r="U26" s="204"/>
      <c r="V26" s="204"/>
      <c r="W26" s="204"/>
      <c r="X26" s="204"/>
      <c r="Y26" s="204"/>
      <c r="Z26" s="204"/>
      <c r="AA26" s="204"/>
      <c r="AB26" s="204"/>
      <c r="AC26" s="204"/>
      <c r="AD26" s="204"/>
      <c r="AE26" s="204"/>
      <c r="AF26" s="204"/>
    </row>
    <row r="27" spans="1:32">
      <c r="G27" s="122"/>
      <c r="H27" s="122"/>
      <c r="I27" s="233"/>
      <c r="J27" s="236"/>
      <c r="K27" s="204"/>
      <c r="L27" s="204"/>
      <c r="M27" s="204"/>
      <c r="N27" s="204"/>
      <c r="O27" s="204"/>
      <c r="P27" s="204"/>
      <c r="Q27" s="204"/>
      <c r="R27" s="204"/>
      <c r="S27" s="204"/>
      <c r="T27" s="204"/>
      <c r="U27" s="204"/>
      <c r="V27" s="204"/>
      <c r="W27" s="204"/>
      <c r="X27" s="204"/>
      <c r="Y27" s="204"/>
      <c r="Z27" s="204"/>
      <c r="AA27" s="204"/>
      <c r="AB27" s="204"/>
      <c r="AC27" s="204"/>
      <c r="AD27" s="204"/>
      <c r="AE27" s="204"/>
      <c r="AF27" s="204"/>
    </row>
    <row r="28" spans="1:32">
      <c r="G28" s="244"/>
      <c r="H28" s="244"/>
      <c r="I28" s="244"/>
      <c r="J28" s="243"/>
      <c r="K28" s="204"/>
      <c r="L28" s="204"/>
      <c r="M28" s="204"/>
      <c r="N28" s="204"/>
      <c r="O28" s="204"/>
      <c r="P28" s="204"/>
      <c r="Q28" s="204"/>
      <c r="R28" s="204"/>
      <c r="S28" s="204"/>
      <c r="T28" s="204"/>
      <c r="U28" s="204"/>
      <c r="V28" s="204"/>
      <c r="W28" s="204"/>
      <c r="X28" s="204"/>
      <c r="Y28" s="204"/>
      <c r="Z28" s="204"/>
      <c r="AA28" s="204"/>
      <c r="AB28" s="204"/>
      <c r="AC28" s="204"/>
      <c r="AD28" s="204"/>
      <c r="AE28" s="204"/>
      <c r="AF28" s="204"/>
    </row>
    <row r="29" spans="1:32">
      <c r="K29" s="204"/>
      <c r="L29" s="204"/>
      <c r="M29" s="204"/>
      <c r="N29" s="204"/>
      <c r="O29" s="204"/>
      <c r="P29" s="204"/>
      <c r="Q29" s="204"/>
      <c r="R29" s="204"/>
      <c r="S29" s="204"/>
      <c r="T29" s="204"/>
      <c r="U29" s="204"/>
      <c r="V29" s="204"/>
      <c r="W29" s="204"/>
      <c r="X29" s="204"/>
      <c r="Y29" s="204"/>
      <c r="Z29" s="204"/>
      <c r="AA29" s="204"/>
      <c r="AB29" s="204"/>
      <c r="AC29" s="204"/>
      <c r="AD29" s="204"/>
      <c r="AE29" s="204"/>
      <c r="AF29" s="204"/>
    </row>
    <row r="30" spans="1:32" ht="14.25" customHeight="1">
      <c r="K30" s="204"/>
      <c r="L30" s="204"/>
      <c r="M30" s="204"/>
      <c r="N30" s="204"/>
      <c r="O30" s="204"/>
      <c r="P30" s="204"/>
      <c r="Q30" s="204"/>
      <c r="R30" s="204"/>
      <c r="S30" s="204"/>
      <c r="T30" s="204"/>
      <c r="U30" s="204"/>
      <c r="V30" s="204"/>
      <c r="W30" s="204"/>
      <c r="X30" s="204"/>
      <c r="Y30" s="204"/>
      <c r="Z30" s="204"/>
      <c r="AA30" s="204"/>
      <c r="AB30" s="204"/>
      <c r="AC30" s="204"/>
      <c r="AD30" s="204"/>
      <c r="AE30" s="204"/>
      <c r="AF30" s="204"/>
    </row>
    <row r="31" spans="1:32">
      <c r="G31" s="204"/>
      <c r="H31" s="204"/>
      <c r="I31" s="204"/>
      <c r="J31" s="204"/>
      <c r="K31" s="204"/>
      <c r="L31" s="204"/>
      <c r="M31" s="204"/>
      <c r="N31" s="204"/>
      <c r="O31" s="204"/>
      <c r="P31" s="204"/>
      <c r="Q31" s="204"/>
      <c r="R31" s="204"/>
      <c r="S31" s="204"/>
      <c r="T31" s="204"/>
      <c r="U31" s="204"/>
      <c r="V31" s="204"/>
      <c r="W31" s="204"/>
      <c r="X31" s="204"/>
      <c r="Y31" s="204"/>
      <c r="Z31" s="204"/>
      <c r="AA31" s="204"/>
      <c r="AB31" s="204"/>
      <c r="AC31" s="204"/>
      <c r="AD31" s="204"/>
      <c r="AE31" s="204"/>
      <c r="AF31" s="204"/>
    </row>
    <row r="32" spans="1:32">
      <c r="G32" s="204"/>
      <c r="H32" s="204"/>
      <c r="I32" s="204"/>
      <c r="J32" s="204"/>
      <c r="K32" s="204"/>
      <c r="L32" s="204"/>
      <c r="M32" s="204"/>
      <c r="N32" s="204"/>
      <c r="O32" s="204"/>
      <c r="P32" s="204"/>
      <c r="Q32" s="204"/>
      <c r="R32" s="204"/>
      <c r="S32" s="204"/>
      <c r="T32" s="204"/>
      <c r="U32" s="204"/>
      <c r="V32" s="204"/>
      <c r="W32" s="204"/>
      <c r="X32" s="204"/>
      <c r="Y32" s="204"/>
      <c r="Z32" s="204"/>
      <c r="AA32" s="204"/>
      <c r="AB32" s="204"/>
      <c r="AC32" s="204"/>
      <c r="AD32" s="204"/>
      <c r="AE32" s="204"/>
      <c r="AF32" s="204"/>
    </row>
    <row r="33" spans="7:32">
      <c r="G33" s="204"/>
      <c r="H33" s="204"/>
      <c r="I33" s="204"/>
      <c r="J33" s="204"/>
      <c r="K33" s="204"/>
      <c r="L33" s="204"/>
      <c r="M33" s="204"/>
      <c r="N33" s="204"/>
      <c r="O33" s="204"/>
      <c r="P33" s="204"/>
      <c r="Q33" s="204"/>
      <c r="R33" s="204"/>
      <c r="S33" s="204"/>
      <c r="T33" s="204"/>
      <c r="U33" s="204"/>
      <c r="V33" s="204"/>
      <c r="W33" s="204"/>
      <c r="X33" s="204"/>
      <c r="Y33" s="204"/>
      <c r="Z33" s="204"/>
      <c r="AA33" s="204"/>
      <c r="AB33" s="204"/>
      <c r="AC33" s="204"/>
      <c r="AD33" s="204"/>
      <c r="AE33" s="204"/>
      <c r="AF33" s="204"/>
    </row>
    <row r="34" spans="7:32">
      <c r="G34" s="204"/>
      <c r="H34" s="204"/>
      <c r="I34" s="204"/>
      <c r="J34" s="204"/>
      <c r="K34" s="204"/>
      <c r="L34" s="204"/>
      <c r="M34" s="204"/>
      <c r="N34" s="204"/>
      <c r="O34" s="204"/>
      <c r="P34" s="204"/>
      <c r="Q34" s="204"/>
      <c r="R34" s="204"/>
      <c r="S34" s="204"/>
      <c r="T34" s="204"/>
      <c r="U34" s="204"/>
      <c r="V34" s="204"/>
      <c r="W34" s="204"/>
      <c r="X34" s="204"/>
      <c r="Y34" s="204"/>
      <c r="Z34" s="204"/>
      <c r="AA34" s="204"/>
      <c r="AB34" s="204"/>
      <c r="AC34" s="204"/>
      <c r="AD34" s="204"/>
      <c r="AE34" s="204"/>
      <c r="AF34" s="204"/>
    </row>
    <row r="35" spans="7:32">
      <c r="G35" s="204"/>
      <c r="H35" s="204"/>
      <c r="I35" s="204"/>
      <c r="J35" s="204"/>
      <c r="K35" s="204"/>
      <c r="L35" s="204"/>
      <c r="M35" s="204"/>
      <c r="N35" s="204"/>
      <c r="O35" s="204"/>
      <c r="P35" s="204"/>
      <c r="Q35" s="204"/>
      <c r="R35" s="204"/>
      <c r="S35" s="204"/>
      <c r="T35" s="204"/>
      <c r="U35" s="204"/>
      <c r="V35" s="204"/>
      <c r="W35" s="204"/>
      <c r="X35" s="204"/>
      <c r="Y35" s="204"/>
      <c r="Z35" s="204"/>
      <c r="AA35" s="204"/>
      <c r="AB35" s="204"/>
      <c r="AC35" s="204"/>
      <c r="AD35" s="204"/>
      <c r="AE35" s="204"/>
      <c r="AF35" s="204"/>
    </row>
    <row r="36" spans="7:32">
      <c r="G36" s="204"/>
      <c r="H36" s="204"/>
      <c r="I36" s="204"/>
      <c r="J36" s="204"/>
      <c r="K36" s="204"/>
      <c r="L36" s="204"/>
      <c r="M36" s="204"/>
      <c r="N36" s="204"/>
      <c r="O36" s="204"/>
      <c r="P36" s="204"/>
      <c r="Q36" s="204"/>
      <c r="R36" s="204"/>
      <c r="S36" s="204"/>
      <c r="T36" s="204"/>
      <c r="U36" s="204"/>
      <c r="V36" s="204"/>
      <c r="W36" s="204"/>
      <c r="X36" s="204"/>
      <c r="Y36" s="204"/>
      <c r="Z36" s="204"/>
      <c r="AA36" s="204"/>
      <c r="AB36" s="204"/>
      <c r="AC36" s="204"/>
      <c r="AD36" s="204"/>
      <c r="AE36" s="204"/>
      <c r="AF36" s="204"/>
    </row>
    <row r="37" spans="7:32">
      <c r="G37" s="204"/>
      <c r="H37" s="204"/>
      <c r="I37" s="204"/>
      <c r="J37" s="204"/>
      <c r="K37" s="204"/>
      <c r="L37" s="204"/>
      <c r="M37" s="204"/>
      <c r="N37" s="204"/>
      <c r="O37" s="204"/>
      <c r="P37" s="204"/>
      <c r="Q37" s="204"/>
      <c r="R37" s="204"/>
      <c r="S37" s="204"/>
      <c r="T37" s="204"/>
      <c r="U37" s="204"/>
      <c r="V37" s="204"/>
      <c r="W37" s="204"/>
      <c r="X37" s="204"/>
      <c r="Y37" s="204"/>
      <c r="Z37" s="204"/>
      <c r="AA37" s="204"/>
      <c r="AB37" s="204"/>
      <c r="AC37" s="204"/>
      <c r="AD37" s="204"/>
      <c r="AE37" s="204"/>
      <c r="AF37" s="204"/>
    </row>
    <row r="38" spans="7:32">
      <c r="G38" s="204"/>
      <c r="H38" s="204"/>
      <c r="I38" s="204"/>
      <c r="J38" s="204"/>
      <c r="K38" s="204"/>
      <c r="L38" s="204"/>
      <c r="M38" s="204"/>
      <c r="N38" s="204"/>
      <c r="O38" s="204"/>
      <c r="P38" s="204"/>
      <c r="Q38" s="204"/>
      <c r="R38" s="204"/>
      <c r="S38" s="204"/>
      <c r="T38" s="204"/>
      <c r="U38" s="204"/>
      <c r="V38" s="204"/>
      <c r="W38" s="204"/>
      <c r="X38" s="204"/>
      <c r="Y38" s="204"/>
      <c r="Z38" s="204"/>
      <c r="AA38" s="204"/>
      <c r="AB38" s="204"/>
      <c r="AC38" s="204"/>
      <c r="AD38" s="204"/>
      <c r="AE38" s="204"/>
      <c r="AF38" s="204"/>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9" t="s">
        <v>278</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9" customWidth="1"/>
    <col min="2" max="2" width="29.28515625" style="199" customWidth="1"/>
    <col min="3" max="3" width="11.7109375" style="199" customWidth="1"/>
    <col min="4" max="4" width="4.85546875" style="199" customWidth="1"/>
    <col min="5" max="5" width="10.140625" style="199" customWidth="1"/>
    <col min="6" max="6" width="29.5703125" style="199" customWidth="1"/>
    <col min="7" max="7" width="20.7109375" style="199" customWidth="1" collapsed="1"/>
    <col min="8" max="9" width="10.42578125" style="199" customWidth="1"/>
    <col min="10" max="10" width="9.140625" style="199" customWidth="1"/>
    <col min="11" max="11" width="9" style="199" customWidth="1"/>
    <col min="12" max="12" width="9.85546875" style="199" customWidth="1"/>
    <col min="13" max="26" width="9.140625" style="199" customWidth="1"/>
    <col min="27" max="27" width="9.28515625" style="199" customWidth="1"/>
    <col min="28" max="28" width="9.42578125" style="199" customWidth="1"/>
    <col min="29" max="29" width="10" style="199" customWidth="1"/>
    <col min="30" max="30" width="11.42578125" style="199" customWidth="1"/>
    <col min="31" max="31" width="9.42578125" style="199" bestFit="1" customWidth="1" collapsed="1"/>
    <col min="32" max="16384" width="9.140625" style="199"/>
  </cols>
  <sheetData>
    <row r="1" spans="1:32" s="198" customFormat="1" ht="15" customHeight="1">
      <c r="B1" s="18" t="s">
        <v>256</v>
      </c>
      <c r="C1" s="197"/>
      <c r="D1" s="197"/>
      <c r="E1" s="197"/>
      <c r="F1" s="197"/>
      <c r="G1" s="197"/>
      <c r="H1" s="197"/>
      <c r="I1" s="197"/>
      <c r="J1" s="197"/>
      <c r="K1" s="197"/>
      <c r="L1" s="197"/>
    </row>
    <row r="2" spans="1:32" ht="12" customHeight="1">
      <c r="C2" s="227"/>
    </row>
    <row r="3" spans="1:32" ht="12" customHeight="1">
      <c r="A3" s="201"/>
      <c r="B3" s="230" t="s">
        <v>260</v>
      </c>
      <c r="C3" s="270">
        <f>'FCFF &amp; FCFE'!G12/'FCFF &amp; FCFE'!G8</f>
        <v>0.50497775807113177</v>
      </c>
      <c r="F3" s="400" t="s">
        <v>220</v>
      </c>
      <c r="G3" s="400"/>
      <c r="H3" s="245"/>
      <c r="J3" s="304"/>
      <c r="L3" s="209"/>
    </row>
    <row r="4" spans="1:32" ht="12" customHeight="1">
      <c r="A4" s="206"/>
      <c r="B4" s="216" t="s">
        <v>261</v>
      </c>
      <c r="C4" s="96">
        <f>'FCFF &amp; FCFE'!G8/(WACC!F9+WACC!F10-(526.33+82.16+4.21))</f>
        <v>8.9392126313838249E-2</v>
      </c>
      <c r="F4" s="53" t="s">
        <v>104</v>
      </c>
      <c r="G4" s="234" t="s">
        <v>283</v>
      </c>
      <c r="H4" s="208"/>
      <c r="J4" s="226"/>
      <c r="K4" s="305"/>
      <c r="L4" s="84"/>
      <c r="O4" s="203"/>
      <c r="Q4" s="203"/>
      <c r="R4" s="203"/>
      <c r="S4" s="203"/>
      <c r="T4" s="203"/>
      <c r="U4" s="203"/>
      <c r="V4" s="203"/>
      <c r="AA4" s="203"/>
    </row>
    <row r="5" spans="1:32" ht="12" customHeight="1">
      <c r="A5" s="206"/>
      <c r="B5" s="216" t="s">
        <v>262</v>
      </c>
      <c r="C5" s="96">
        <v>0.15</v>
      </c>
      <c r="F5" s="76" t="s">
        <v>109</v>
      </c>
      <c r="G5" s="312">
        <v>0.74</v>
      </c>
      <c r="H5" s="236"/>
      <c r="J5" s="202"/>
      <c r="K5" s="228"/>
      <c r="L5" s="211"/>
      <c r="O5" s="204"/>
      <c r="P5" s="204"/>
      <c r="Q5" s="204"/>
      <c r="R5" s="204"/>
      <c r="S5" s="204"/>
      <c r="T5" s="204"/>
      <c r="U5" s="204"/>
      <c r="V5" s="204"/>
      <c r="W5" s="204"/>
      <c r="X5" s="204"/>
      <c r="Y5" s="204"/>
      <c r="Z5" s="204"/>
      <c r="AA5" s="204"/>
      <c r="AB5" s="204"/>
      <c r="AC5" s="204"/>
      <c r="AD5" s="204"/>
      <c r="AE5" s="204"/>
      <c r="AF5" s="204"/>
    </row>
    <row r="6" spans="1:32" ht="12" customHeight="1">
      <c r="A6" s="206"/>
      <c r="F6" s="76" t="s">
        <v>112</v>
      </c>
      <c r="G6" s="312">
        <v>1.21</v>
      </c>
      <c r="H6" s="236"/>
      <c r="J6" s="306"/>
      <c r="K6" s="228"/>
      <c r="O6" s="204"/>
      <c r="P6" s="204"/>
      <c r="Q6" s="204"/>
      <c r="R6" s="204"/>
      <c r="S6" s="204"/>
      <c r="T6" s="204"/>
      <c r="U6" s="204"/>
      <c r="V6" s="204"/>
      <c r="W6" s="204"/>
      <c r="X6" s="204"/>
      <c r="Y6" s="204"/>
      <c r="Z6" s="204"/>
      <c r="AA6" s="204"/>
      <c r="AB6" s="204"/>
      <c r="AC6" s="204"/>
      <c r="AD6" s="204"/>
      <c r="AE6" s="204"/>
      <c r="AF6" s="204"/>
    </row>
    <row r="7" spans="1:32" ht="12" customHeight="1">
      <c r="B7" s="216" t="s">
        <v>263</v>
      </c>
      <c r="C7" s="96">
        <f>C5*C3</f>
        <v>7.5746663710669765E-2</v>
      </c>
      <c r="F7" s="76" t="s">
        <v>114</v>
      </c>
      <c r="G7" s="312">
        <v>0.89</v>
      </c>
      <c r="H7" s="236"/>
      <c r="J7" s="202"/>
      <c r="K7" s="228"/>
      <c r="O7" s="204"/>
      <c r="P7" s="204"/>
      <c r="Q7" s="204"/>
      <c r="R7" s="204"/>
      <c r="S7" s="204"/>
      <c r="T7" s="204"/>
      <c r="U7" s="204"/>
      <c r="V7" s="204"/>
      <c r="W7" s="204"/>
      <c r="X7" s="204"/>
      <c r="Y7" s="204"/>
      <c r="Z7" s="204"/>
      <c r="AA7" s="204"/>
      <c r="AB7" s="204"/>
      <c r="AC7" s="204"/>
      <c r="AD7" s="204"/>
      <c r="AE7" s="204"/>
      <c r="AF7" s="204"/>
    </row>
    <row r="8" spans="1:32" ht="12" customHeight="1">
      <c r="A8" s="206"/>
      <c r="B8" s="216" t="s">
        <v>264</v>
      </c>
      <c r="C8" s="96">
        <f>((1+((C5-C4)/C4))^0.1)-1</f>
        <v>5.3123245786047546E-2</v>
      </c>
      <c r="F8" s="76" t="s">
        <v>117</v>
      </c>
      <c r="G8" s="312">
        <v>0.97</v>
      </c>
      <c r="H8" s="236"/>
      <c r="J8" s="307"/>
      <c r="K8" s="308"/>
      <c r="O8" s="204"/>
      <c r="P8" s="204"/>
      <c r="Q8" s="204"/>
      <c r="R8" s="204"/>
      <c r="S8" s="204"/>
      <c r="T8" s="204"/>
      <c r="U8" s="204"/>
      <c r="V8" s="204"/>
      <c r="W8" s="204"/>
      <c r="X8" s="204"/>
      <c r="Y8" s="204"/>
      <c r="Z8" s="204"/>
      <c r="AA8" s="204"/>
      <c r="AB8" s="204"/>
      <c r="AC8" s="204"/>
      <c r="AD8" s="204"/>
      <c r="AE8" s="204"/>
      <c r="AF8" s="204"/>
    </row>
    <row r="9" spans="1:32" ht="12" customHeight="1">
      <c r="A9" s="206"/>
      <c r="F9" s="76" t="s">
        <v>118</v>
      </c>
      <c r="G9" s="312">
        <v>1.17</v>
      </c>
      <c r="H9" s="236"/>
      <c r="J9" s="202"/>
      <c r="K9" s="228"/>
      <c r="O9" s="204"/>
      <c r="P9" s="204"/>
      <c r="Q9" s="204"/>
      <c r="R9" s="204"/>
      <c r="S9" s="204"/>
      <c r="T9" s="204"/>
      <c r="U9" s="204"/>
      <c r="V9" s="204"/>
      <c r="W9" s="204"/>
      <c r="X9" s="204"/>
      <c r="Y9" s="204"/>
      <c r="Z9" s="204"/>
      <c r="AA9" s="204"/>
      <c r="AB9" s="204"/>
      <c r="AC9" s="204"/>
      <c r="AD9" s="204"/>
      <c r="AE9" s="204"/>
      <c r="AF9" s="204"/>
    </row>
    <row r="10" spans="1:32">
      <c r="A10" s="202"/>
      <c r="B10" s="216" t="s">
        <v>256</v>
      </c>
      <c r="C10" s="282">
        <f>C7+C8</f>
        <v>0.12886990949671731</v>
      </c>
      <c r="F10" s="76" t="s">
        <v>120</v>
      </c>
      <c r="G10" s="312">
        <v>1.91</v>
      </c>
      <c r="H10" s="236"/>
      <c r="O10" s="204"/>
      <c r="P10" s="204"/>
      <c r="Q10" s="204"/>
      <c r="R10" s="204"/>
      <c r="S10" s="204"/>
      <c r="T10" s="204"/>
      <c r="U10" s="204"/>
      <c r="V10" s="204"/>
      <c r="W10" s="204"/>
      <c r="X10" s="204"/>
      <c r="Y10" s="204"/>
      <c r="Z10" s="204"/>
      <c r="AA10" s="204"/>
      <c r="AB10" s="204"/>
      <c r="AC10" s="204"/>
      <c r="AD10" s="204"/>
      <c r="AE10" s="204"/>
      <c r="AF10" s="204"/>
    </row>
    <row r="11" spans="1:32">
      <c r="A11" s="206"/>
      <c r="F11" s="76" t="s">
        <v>122</v>
      </c>
      <c r="G11" s="312">
        <v>2.04</v>
      </c>
      <c r="H11" s="236"/>
      <c r="J11" s="202"/>
      <c r="K11" s="228"/>
      <c r="O11" s="204"/>
      <c r="P11" s="204"/>
      <c r="Q11" s="204"/>
      <c r="R11" s="204"/>
      <c r="S11" s="204"/>
      <c r="T11" s="204"/>
      <c r="U11" s="204"/>
      <c r="V11" s="204"/>
      <c r="W11" s="204"/>
      <c r="X11" s="204"/>
      <c r="Y11" s="204"/>
      <c r="Z11" s="204"/>
      <c r="AA11" s="204"/>
      <c r="AB11" s="204"/>
      <c r="AC11" s="204"/>
      <c r="AD11" s="204"/>
      <c r="AE11" s="204"/>
      <c r="AF11" s="204"/>
    </row>
    <row r="12" spans="1:32">
      <c r="B12" s="204" t="s">
        <v>279</v>
      </c>
      <c r="F12" s="76" t="s">
        <v>124</v>
      </c>
      <c r="G12" s="312">
        <v>0.99</v>
      </c>
      <c r="H12" s="236"/>
      <c r="J12" s="202"/>
      <c r="K12" s="187"/>
      <c r="O12" s="204"/>
      <c r="P12" s="204"/>
      <c r="Q12" s="204"/>
      <c r="R12" s="204"/>
      <c r="S12" s="204"/>
      <c r="T12" s="204"/>
      <c r="U12" s="204"/>
      <c r="V12" s="204"/>
      <c r="W12" s="204"/>
      <c r="X12" s="204"/>
      <c r="Y12" s="204"/>
      <c r="Z12" s="204"/>
      <c r="AA12" s="204"/>
      <c r="AB12" s="204"/>
      <c r="AC12" s="204"/>
      <c r="AD12" s="204"/>
      <c r="AE12" s="204"/>
      <c r="AF12" s="204"/>
    </row>
    <row r="13" spans="1:32">
      <c r="A13" s="206"/>
      <c r="B13" s="202"/>
      <c r="C13" s="247"/>
      <c r="F13" s="269" t="s">
        <v>220</v>
      </c>
      <c r="G13" s="311">
        <f>AVERAGE(G5:G12)</f>
        <v>1.24</v>
      </c>
      <c r="H13" s="243"/>
      <c r="J13" s="202"/>
      <c r="K13" s="228"/>
      <c r="O13" s="204"/>
      <c r="P13" s="204"/>
      <c r="Q13" s="204"/>
      <c r="R13" s="204"/>
      <c r="S13" s="204"/>
      <c r="T13" s="204"/>
      <c r="U13" s="204"/>
      <c r="V13" s="204"/>
      <c r="W13" s="204"/>
      <c r="X13" s="204"/>
      <c r="Y13" s="204"/>
      <c r="Z13" s="204"/>
      <c r="AA13" s="204"/>
      <c r="AB13" s="204"/>
      <c r="AC13" s="204"/>
      <c r="AD13" s="204"/>
      <c r="AE13" s="204"/>
      <c r="AF13" s="204"/>
    </row>
    <row r="14" spans="1:32">
      <c r="D14" s="204"/>
      <c r="E14" s="204"/>
      <c r="F14" s="202"/>
      <c r="G14" s="309"/>
      <c r="H14" s="204"/>
      <c r="J14" s="202"/>
      <c r="K14" s="228"/>
      <c r="O14" s="204"/>
      <c r="P14" s="204"/>
      <c r="Q14" s="204"/>
      <c r="R14" s="204"/>
      <c r="S14" s="204"/>
      <c r="T14" s="204"/>
      <c r="U14" s="204"/>
      <c r="V14" s="204"/>
      <c r="W14" s="204"/>
      <c r="X14" s="204"/>
      <c r="Y14" s="204"/>
      <c r="Z14" s="204"/>
      <c r="AA14" s="204"/>
      <c r="AB14" s="204"/>
      <c r="AC14" s="204"/>
      <c r="AD14" s="204"/>
      <c r="AE14" s="204"/>
      <c r="AF14" s="204"/>
    </row>
    <row r="15" spans="1:32">
      <c r="E15" s="209"/>
      <c r="F15" s="209"/>
      <c r="J15" s="202"/>
      <c r="K15" s="228"/>
      <c r="O15" s="204"/>
      <c r="P15" s="204"/>
      <c r="Q15" s="204"/>
      <c r="R15" s="204"/>
      <c r="S15" s="204"/>
      <c r="T15" s="204"/>
      <c r="U15" s="204"/>
      <c r="V15" s="204"/>
      <c r="W15" s="204"/>
      <c r="X15" s="204"/>
      <c r="Y15" s="204"/>
      <c r="Z15" s="204"/>
      <c r="AA15" s="204"/>
      <c r="AB15" s="204"/>
      <c r="AC15" s="204"/>
      <c r="AD15" s="204"/>
      <c r="AE15" s="204"/>
      <c r="AF15" s="204"/>
    </row>
    <row r="16" spans="1:32">
      <c r="E16" s="84"/>
      <c r="F16" s="84"/>
      <c r="O16" s="204"/>
      <c r="P16" s="204"/>
      <c r="Q16" s="204"/>
      <c r="R16" s="204"/>
      <c r="S16" s="204"/>
      <c r="T16" s="204"/>
      <c r="U16" s="204"/>
      <c r="V16" s="204"/>
      <c r="W16" s="204"/>
      <c r="X16" s="204"/>
      <c r="Y16" s="204"/>
      <c r="Z16" s="204"/>
      <c r="AA16" s="204"/>
      <c r="AB16" s="204"/>
      <c r="AC16" s="204"/>
      <c r="AD16" s="204"/>
      <c r="AE16" s="204"/>
      <c r="AF16" s="204"/>
    </row>
    <row r="17" spans="1:32">
      <c r="E17" s="211"/>
      <c r="F17" s="211"/>
      <c r="J17" s="202"/>
      <c r="K17" s="309"/>
      <c r="L17" s="204"/>
      <c r="O17" s="204"/>
      <c r="P17" s="204"/>
      <c r="Q17" s="204"/>
      <c r="R17" s="204"/>
      <c r="S17" s="204"/>
      <c r="T17" s="204"/>
      <c r="U17" s="204"/>
      <c r="V17" s="204"/>
      <c r="W17" s="204"/>
      <c r="X17" s="204"/>
      <c r="Y17" s="204"/>
      <c r="Z17" s="204"/>
      <c r="AA17" s="204"/>
      <c r="AB17" s="204"/>
      <c r="AC17" s="204"/>
      <c r="AD17" s="204"/>
      <c r="AE17" s="204"/>
      <c r="AF17" s="204"/>
    </row>
    <row r="18" spans="1:32">
      <c r="A18" s="206" t="s">
        <v>98</v>
      </c>
      <c r="G18" s="245"/>
      <c r="H18" s="246"/>
      <c r="I18" s="246"/>
      <c r="J18" s="246"/>
      <c r="K18" s="204"/>
      <c r="L18" s="204"/>
      <c r="M18" s="204"/>
      <c r="N18" s="204"/>
      <c r="O18" s="204"/>
      <c r="P18" s="204"/>
      <c r="Q18" s="204"/>
      <c r="R18" s="204"/>
      <c r="S18" s="204"/>
      <c r="T18" s="204"/>
      <c r="U18" s="204"/>
      <c r="V18" s="204"/>
      <c r="W18" s="204"/>
      <c r="X18" s="204"/>
      <c r="Y18" s="204"/>
      <c r="Z18" s="204"/>
      <c r="AA18" s="204"/>
      <c r="AB18" s="204"/>
      <c r="AC18" s="204"/>
      <c r="AD18" s="204"/>
      <c r="AE18" s="204"/>
      <c r="AF18" s="204"/>
    </row>
    <row r="19" spans="1:32">
      <c r="G19" s="51"/>
      <c r="H19" s="51"/>
      <c r="I19" s="208"/>
      <c r="J19" s="208"/>
      <c r="K19" s="204"/>
      <c r="L19" s="204"/>
      <c r="M19" s="204"/>
      <c r="N19" s="204"/>
      <c r="O19" s="204"/>
      <c r="P19" s="204"/>
      <c r="Q19" s="204"/>
      <c r="R19" s="204"/>
      <c r="S19" s="204"/>
      <c r="T19" s="204"/>
      <c r="U19" s="204"/>
      <c r="V19" s="204"/>
      <c r="W19" s="204"/>
      <c r="X19" s="204"/>
      <c r="Y19" s="204"/>
      <c r="Z19" s="204"/>
      <c r="AA19" s="204"/>
      <c r="AB19" s="204"/>
      <c r="AC19" s="204"/>
      <c r="AD19" s="204"/>
      <c r="AE19" s="204"/>
      <c r="AF19" s="204"/>
    </row>
    <row r="20" spans="1:32">
      <c r="A20" s="206"/>
      <c r="G20" s="122"/>
      <c r="H20" s="122"/>
      <c r="I20" s="233"/>
      <c r="J20" s="236"/>
      <c r="K20" s="204"/>
      <c r="L20" s="204"/>
      <c r="M20" s="204"/>
      <c r="N20" s="204"/>
      <c r="O20" s="204"/>
      <c r="P20" s="204"/>
      <c r="Q20" s="204"/>
      <c r="R20" s="204"/>
      <c r="S20" s="204"/>
      <c r="T20" s="204"/>
      <c r="U20" s="204"/>
      <c r="V20" s="204"/>
      <c r="W20" s="204"/>
      <c r="X20" s="204"/>
      <c r="Y20" s="204"/>
      <c r="Z20" s="204"/>
      <c r="AA20" s="204"/>
      <c r="AB20" s="204"/>
      <c r="AC20" s="204"/>
      <c r="AD20" s="204"/>
      <c r="AE20" s="204"/>
      <c r="AF20" s="204"/>
    </row>
    <row r="21" spans="1:32">
      <c r="G21" s="122"/>
      <c r="H21" s="122"/>
      <c r="I21" s="233"/>
      <c r="J21" s="236"/>
      <c r="K21" s="204"/>
      <c r="L21" s="204"/>
      <c r="M21" s="204"/>
      <c r="N21" s="204"/>
      <c r="O21" s="204"/>
      <c r="P21" s="204"/>
      <c r="Q21" s="204"/>
      <c r="R21" s="204"/>
      <c r="S21" s="204"/>
      <c r="T21" s="204"/>
      <c r="U21" s="204"/>
      <c r="V21" s="204"/>
      <c r="W21" s="204"/>
      <c r="X21" s="204"/>
      <c r="Y21" s="204"/>
      <c r="Z21" s="204"/>
      <c r="AA21" s="204"/>
      <c r="AB21" s="204"/>
      <c r="AC21" s="204"/>
      <c r="AD21" s="204"/>
      <c r="AE21" s="204"/>
      <c r="AF21" s="204"/>
    </row>
    <row r="22" spans="1:32">
      <c r="E22" s="242"/>
      <c r="G22" s="122"/>
      <c r="H22" s="122"/>
      <c r="I22" s="233"/>
      <c r="J22" s="236"/>
      <c r="K22" s="204"/>
      <c r="L22" s="204"/>
      <c r="M22" s="204"/>
      <c r="N22" s="204"/>
      <c r="O22" s="204"/>
      <c r="P22" s="204"/>
      <c r="Q22" s="204"/>
      <c r="R22" s="204"/>
      <c r="S22" s="204"/>
      <c r="T22" s="204"/>
      <c r="U22" s="204"/>
      <c r="V22" s="204"/>
      <c r="W22" s="204"/>
      <c r="X22" s="204"/>
      <c r="Y22" s="204"/>
      <c r="Z22" s="204"/>
      <c r="AA22" s="204"/>
      <c r="AB22" s="204"/>
      <c r="AC22" s="204"/>
      <c r="AD22" s="204"/>
      <c r="AE22" s="204"/>
      <c r="AF22" s="204"/>
    </row>
    <row r="23" spans="1:32">
      <c r="F23" s="249"/>
      <c r="G23" s="122"/>
      <c r="H23" s="122"/>
      <c r="I23" s="233"/>
      <c r="J23" s="236"/>
      <c r="K23" s="204"/>
      <c r="L23" s="204"/>
      <c r="M23" s="204"/>
      <c r="N23" s="204"/>
      <c r="O23" s="204"/>
      <c r="P23" s="204"/>
      <c r="Q23" s="204"/>
      <c r="R23" s="204"/>
      <c r="S23" s="204"/>
      <c r="T23" s="204"/>
      <c r="U23" s="204"/>
      <c r="V23" s="204"/>
      <c r="W23" s="204"/>
      <c r="X23" s="204"/>
      <c r="Y23" s="204"/>
      <c r="Z23" s="204"/>
      <c r="AA23" s="204"/>
      <c r="AB23" s="204"/>
      <c r="AC23" s="204"/>
      <c r="AD23" s="204"/>
      <c r="AE23" s="204"/>
      <c r="AF23" s="204"/>
    </row>
    <row r="24" spans="1:32">
      <c r="G24" s="122"/>
      <c r="H24" s="122"/>
      <c r="I24" s="233"/>
      <c r="J24" s="236"/>
      <c r="K24" s="204"/>
      <c r="L24" s="204"/>
      <c r="M24" s="204"/>
      <c r="N24" s="204"/>
      <c r="O24" s="204"/>
      <c r="P24" s="204"/>
      <c r="Q24" s="204"/>
      <c r="R24" s="204"/>
      <c r="S24" s="204"/>
      <c r="T24" s="204"/>
      <c r="U24" s="204"/>
      <c r="V24" s="204"/>
      <c r="W24" s="204"/>
      <c r="X24" s="204"/>
      <c r="Y24" s="204"/>
      <c r="Z24" s="204"/>
      <c r="AA24" s="204"/>
      <c r="AB24" s="204"/>
      <c r="AC24" s="204"/>
      <c r="AD24" s="204"/>
      <c r="AE24" s="204"/>
      <c r="AF24" s="204"/>
    </row>
    <row r="25" spans="1:32">
      <c r="G25" s="122"/>
      <c r="H25" s="122"/>
      <c r="I25" s="233"/>
      <c r="J25" s="236"/>
      <c r="K25" s="204"/>
      <c r="L25" s="204"/>
      <c r="M25" s="204"/>
      <c r="N25" s="204"/>
      <c r="O25" s="204"/>
      <c r="P25" s="204"/>
      <c r="Q25" s="204"/>
      <c r="R25" s="204"/>
      <c r="S25" s="204"/>
      <c r="T25" s="204"/>
      <c r="U25" s="204"/>
      <c r="V25" s="204"/>
      <c r="W25" s="204"/>
      <c r="X25" s="204"/>
      <c r="Y25" s="204"/>
      <c r="Z25" s="204"/>
      <c r="AA25" s="204"/>
      <c r="AB25" s="204"/>
      <c r="AC25" s="204"/>
      <c r="AD25" s="204"/>
      <c r="AE25" s="204"/>
      <c r="AF25" s="204"/>
    </row>
    <row r="26" spans="1:32">
      <c r="G26" s="122"/>
      <c r="H26" s="122"/>
      <c r="I26" s="233"/>
      <c r="J26" s="236"/>
      <c r="K26" s="204"/>
      <c r="L26" s="204"/>
      <c r="M26" s="204"/>
      <c r="N26" s="204"/>
      <c r="O26" s="204"/>
      <c r="P26" s="204"/>
      <c r="Q26" s="204"/>
      <c r="R26" s="204"/>
      <c r="S26" s="204"/>
      <c r="T26" s="204"/>
      <c r="U26" s="204"/>
      <c r="V26" s="204"/>
      <c r="W26" s="204"/>
      <c r="X26" s="204"/>
      <c r="Y26" s="204"/>
      <c r="Z26" s="204"/>
      <c r="AA26" s="204"/>
      <c r="AB26" s="204"/>
      <c r="AC26" s="204"/>
      <c r="AD26" s="204"/>
      <c r="AE26" s="204"/>
      <c r="AF26" s="204"/>
    </row>
    <row r="27" spans="1:32">
      <c r="G27" s="122"/>
      <c r="H27" s="122"/>
      <c r="I27" s="233"/>
      <c r="J27" s="236"/>
      <c r="K27" s="204"/>
      <c r="L27" s="204"/>
      <c r="M27" s="204"/>
      <c r="N27" s="204"/>
      <c r="O27" s="204"/>
      <c r="P27" s="204"/>
      <c r="Q27" s="204"/>
      <c r="R27" s="204"/>
      <c r="S27" s="204"/>
      <c r="T27" s="204"/>
      <c r="U27" s="204"/>
      <c r="V27" s="204"/>
      <c r="W27" s="204"/>
      <c r="X27" s="204"/>
      <c r="Y27" s="204"/>
      <c r="Z27" s="204"/>
      <c r="AA27" s="204"/>
      <c r="AB27" s="204"/>
      <c r="AC27" s="204"/>
      <c r="AD27" s="204"/>
      <c r="AE27" s="204"/>
      <c r="AF27" s="204"/>
    </row>
    <row r="28" spans="1:32">
      <c r="G28" s="244"/>
      <c r="H28" s="244"/>
      <c r="I28" s="244"/>
      <c r="J28" s="243"/>
      <c r="K28" s="204"/>
      <c r="L28" s="204"/>
      <c r="M28" s="204"/>
      <c r="N28" s="204"/>
      <c r="O28" s="204"/>
      <c r="P28" s="204"/>
      <c r="Q28" s="204"/>
      <c r="R28" s="204"/>
      <c r="S28" s="204"/>
      <c r="T28" s="204"/>
      <c r="U28" s="204"/>
      <c r="V28" s="204"/>
      <c r="W28" s="204"/>
      <c r="X28" s="204"/>
      <c r="Y28" s="204"/>
      <c r="Z28" s="204"/>
      <c r="AA28" s="204"/>
      <c r="AB28" s="204"/>
      <c r="AC28" s="204"/>
      <c r="AD28" s="204"/>
      <c r="AE28" s="204"/>
      <c r="AF28" s="204"/>
    </row>
    <row r="29" spans="1:32">
      <c r="K29" s="204"/>
      <c r="L29" s="204"/>
      <c r="M29" s="204"/>
      <c r="N29" s="204"/>
      <c r="O29" s="204"/>
      <c r="P29" s="204"/>
      <c r="Q29" s="204"/>
      <c r="R29" s="204"/>
      <c r="S29" s="204"/>
      <c r="T29" s="204"/>
      <c r="U29" s="204"/>
      <c r="V29" s="204"/>
      <c r="W29" s="204"/>
      <c r="X29" s="204"/>
      <c r="Y29" s="204"/>
      <c r="Z29" s="204"/>
      <c r="AA29" s="204"/>
      <c r="AB29" s="204"/>
      <c r="AC29" s="204"/>
      <c r="AD29" s="204"/>
      <c r="AE29" s="204"/>
      <c r="AF29" s="204"/>
    </row>
    <row r="30" spans="1:32" ht="14.25" customHeight="1">
      <c r="K30" s="204"/>
      <c r="L30" s="204"/>
      <c r="M30" s="204"/>
      <c r="N30" s="204"/>
      <c r="O30" s="204"/>
      <c r="P30" s="204"/>
      <c r="Q30" s="204"/>
      <c r="R30" s="204"/>
      <c r="S30" s="204"/>
      <c r="T30" s="204"/>
      <c r="U30" s="204"/>
      <c r="V30" s="204"/>
      <c r="W30" s="204"/>
      <c r="X30" s="204"/>
      <c r="Y30" s="204"/>
      <c r="Z30" s="204"/>
      <c r="AA30" s="204"/>
      <c r="AB30" s="204"/>
      <c r="AC30" s="204"/>
      <c r="AD30" s="204"/>
      <c r="AE30" s="204"/>
      <c r="AF30" s="204"/>
    </row>
    <row r="31" spans="1:32">
      <c r="G31" s="204"/>
      <c r="H31" s="204"/>
      <c r="I31" s="204"/>
      <c r="J31" s="204"/>
      <c r="K31" s="204"/>
      <c r="L31" s="204"/>
      <c r="M31" s="204"/>
      <c r="N31" s="204"/>
      <c r="O31" s="204"/>
      <c r="P31" s="204"/>
      <c r="Q31" s="204"/>
      <c r="R31" s="204"/>
      <c r="S31" s="204"/>
      <c r="T31" s="204"/>
      <c r="U31" s="204"/>
      <c r="V31" s="204"/>
      <c r="W31" s="204"/>
      <c r="X31" s="204"/>
      <c r="Y31" s="204"/>
      <c r="Z31" s="204"/>
      <c r="AA31" s="204"/>
      <c r="AB31" s="204"/>
      <c r="AC31" s="204"/>
      <c r="AD31" s="204"/>
      <c r="AE31" s="204"/>
      <c r="AF31" s="204"/>
    </row>
    <row r="32" spans="1:32">
      <c r="G32" s="204"/>
      <c r="H32" s="204"/>
      <c r="I32" s="204"/>
      <c r="J32" s="204"/>
      <c r="K32" s="204"/>
      <c r="L32" s="204"/>
      <c r="M32" s="204"/>
      <c r="N32" s="204"/>
      <c r="O32" s="204"/>
      <c r="P32" s="204"/>
      <c r="Q32" s="204"/>
      <c r="R32" s="204"/>
      <c r="S32" s="204"/>
      <c r="T32" s="204"/>
      <c r="U32" s="204"/>
      <c r="V32" s="204"/>
      <c r="W32" s="204"/>
      <c r="X32" s="204"/>
      <c r="Y32" s="204"/>
      <c r="Z32" s="204"/>
      <c r="AA32" s="204"/>
      <c r="AB32" s="204"/>
      <c r="AC32" s="204"/>
      <c r="AD32" s="204"/>
      <c r="AE32" s="204"/>
      <c r="AF32" s="204"/>
    </row>
    <row r="33" spans="7:32">
      <c r="G33" s="204"/>
      <c r="H33" s="204"/>
      <c r="I33" s="204"/>
      <c r="J33" s="204"/>
      <c r="K33" s="204"/>
      <c r="L33" s="204"/>
      <c r="M33" s="204"/>
      <c r="N33" s="204"/>
      <c r="O33" s="204"/>
      <c r="P33" s="204"/>
      <c r="Q33" s="204"/>
      <c r="R33" s="204"/>
      <c r="S33" s="204"/>
      <c r="T33" s="204"/>
      <c r="U33" s="204"/>
      <c r="V33" s="204"/>
      <c r="W33" s="204"/>
      <c r="X33" s="204"/>
      <c r="Y33" s="204"/>
      <c r="Z33" s="204"/>
      <c r="AA33" s="204"/>
      <c r="AB33" s="204"/>
      <c r="AC33" s="204"/>
      <c r="AD33" s="204"/>
      <c r="AE33" s="204"/>
      <c r="AF33" s="204"/>
    </row>
    <row r="34" spans="7:32">
      <c r="G34" s="204"/>
      <c r="H34" s="204"/>
      <c r="I34" s="204"/>
      <c r="J34" s="204"/>
      <c r="K34" s="204"/>
      <c r="L34" s="204"/>
      <c r="M34" s="204"/>
      <c r="N34" s="204"/>
      <c r="O34" s="204"/>
      <c r="P34" s="204"/>
      <c r="Q34" s="204"/>
      <c r="R34" s="204"/>
      <c r="S34" s="204"/>
      <c r="T34" s="204"/>
      <c r="U34" s="204"/>
      <c r="V34" s="204"/>
      <c r="W34" s="204"/>
      <c r="X34" s="204"/>
      <c r="Y34" s="204"/>
      <c r="Z34" s="204"/>
      <c r="AA34" s="204"/>
      <c r="AB34" s="204"/>
      <c r="AC34" s="204"/>
      <c r="AD34" s="204"/>
      <c r="AE34" s="204"/>
      <c r="AF34" s="204"/>
    </row>
    <row r="35" spans="7:32">
      <c r="G35" s="204"/>
      <c r="H35" s="204"/>
      <c r="I35" s="204"/>
      <c r="J35" s="204"/>
      <c r="K35" s="204"/>
      <c r="L35" s="204"/>
      <c r="M35" s="204"/>
      <c r="N35" s="204"/>
      <c r="O35" s="204"/>
      <c r="P35" s="204"/>
      <c r="Q35" s="204"/>
      <c r="R35" s="204"/>
      <c r="S35" s="204"/>
      <c r="T35" s="204"/>
      <c r="U35" s="204"/>
      <c r="V35" s="204"/>
      <c r="W35" s="204"/>
      <c r="X35" s="204"/>
      <c r="Y35" s="204"/>
      <c r="Z35" s="204"/>
      <c r="AA35" s="204"/>
      <c r="AB35" s="204"/>
      <c r="AC35" s="204"/>
      <c r="AD35" s="204"/>
      <c r="AE35" s="204"/>
      <c r="AF35" s="204"/>
    </row>
    <row r="36" spans="7:32">
      <c r="G36" s="204"/>
      <c r="H36" s="204"/>
      <c r="I36" s="204"/>
      <c r="J36" s="204"/>
      <c r="K36" s="204"/>
      <c r="L36" s="204"/>
      <c r="M36" s="204"/>
      <c r="N36" s="204"/>
      <c r="O36" s="204"/>
      <c r="P36" s="204"/>
      <c r="Q36" s="204"/>
      <c r="R36" s="204"/>
      <c r="S36" s="204"/>
      <c r="T36" s="204"/>
      <c r="U36" s="204"/>
      <c r="V36" s="204"/>
      <c r="W36" s="204"/>
      <c r="X36" s="204"/>
      <c r="Y36" s="204"/>
      <c r="Z36" s="204"/>
      <c r="AA36" s="204"/>
      <c r="AB36" s="204"/>
      <c r="AC36" s="204"/>
      <c r="AD36" s="204"/>
      <c r="AE36" s="204"/>
      <c r="AF36" s="204"/>
    </row>
    <row r="37" spans="7:32">
      <c r="G37" s="204"/>
      <c r="H37" s="204"/>
      <c r="I37" s="204"/>
      <c r="J37" s="204"/>
      <c r="K37" s="204"/>
      <c r="L37" s="204"/>
      <c r="M37" s="204"/>
      <c r="N37" s="204"/>
      <c r="O37" s="204"/>
      <c r="P37" s="204"/>
      <c r="Q37" s="204"/>
      <c r="R37" s="204"/>
      <c r="S37" s="204"/>
      <c r="T37" s="204"/>
      <c r="U37" s="204"/>
      <c r="V37" s="204"/>
      <c r="W37" s="204"/>
      <c r="X37" s="204"/>
      <c r="Y37" s="204"/>
      <c r="Z37" s="204"/>
      <c r="AA37" s="204"/>
      <c r="AB37" s="204"/>
      <c r="AC37" s="204"/>
      <c r="AD37" s="204"/>
      <c r="AE37" s="204"/>
      <c r="AF37" s="204"/>
    </row>
    <row r="38" spans="7:32">
      <c r="G38" s="204"/>
      <c r="H38" s="204"/>
      <c r="I38" s="204"/>
      <c r="J38" s="204"/>
      <c r="K38" s="204"/>
      <c r="L38" s="204"/>
      <c r="M38" s="204"/>
      <c r="N38" s="204"/>
      <c r="O38" s="204"/>
      <c r="P38" s="204"/>
      <c r="Q38" s="204"/>
      <c r="R38" s="204"/>
      <c r="S38" s="204"/>
      <c r="T38" s="204"/>
      <c r="U38" s="204"/>
      <c r="V38" s="204"/>
      <c r="W38" s="204"/>
      <c r="X38" s="204"/>
      <c r="Y38" s="204"/>
      <c r="Z38" s="204"/>
      <c r="AA38" s="204"/>
      <c r="AB38" s="204"/>
      <c r="AC38" s="204"/>
      <c r="AD38" s="204"/>
      <c r="AE38" s="204"/>
      <c r="AF38" s="204"/>
    </row>
  </sheetData>
  <mergeCells count="1">
    <mergeCell ref="F3:G3"/>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38"/>
  <sheetViews>
    <sheetView workbookViewId="0"/>
  </sheetViews>
  <sheetFormatPr defaultRowHeight="12"/>
  <cols>
    <col min="1" max="1" width="2" style="199" customWidth="1"/>
    <col min="2" max="2" width="7" style="199" customWidth="1"/>
    <col min="3" max="3" width="14.7109375" style="199" customWidth="1"/>
    <col min="4" max="4" width="16.140625" style="199" customWidth="1"/>
    <col min="5" max="5" width="14" style="199" customWidth="1"/>
    <col min="6" max="6" width="13.28515625" style="199" customWidth="1"/>
    <col min="7" max="7" width="15.85546875" style="199" customWidth="1" collapsed="1"/>
    <col min="8" max="8" width="10.85546875" style="199" customWidth="1"/>
    <col min="9" max="9" width="10.42578125" style="199" customWidth="1"/>
    <col min="10" max="10" width="10.140625" style="199" customWidth="1"/>
    <col min="11" max="11" width="11.5703125" style="199" customWidth="1"/>
    <col min="12" max="12" width="8.5703125" style="199" customWidth="1"/>
    <col min="13" max="13" width="32.140625" style="199" customWidth="1"/>
    <col min="14" max="14" width="8.7109375" style="199" customWidth="1"/>
    <col min="15" max="15" width="6.7109375" style="199" customWidth="1"/>
    <col min="16" max="16" width="8.28515625" style="199" customWidth="1"/>
    <col min="17" max="28" width="9.140625" style="199" customWidth="1"/>
    <col min="29" max="29" width="9.28515625" style="199" customWidth="1"/>
    <col min="30" max="30" width="9.42578125" style="199" customWidth="1"/>
    <col min="31" max="31" width="10" style="199" customWidth="1"/>
    <col min="32" max="32" width="11.42578125" style="199" customWidth="1"/>
    <col min="33" max="33" width="9.42578125" style="199" bestFit="1" customWidth="1" collapsed="1"/>
    <col min="34" max="16384" width="9.140625" style="199"/>
  </cols>
  <sheetData>
    <row r="1" spans="1:32" s="198" customFormat="1" ht="15" customHeight="1">
      <c r="B1" s="18" t="s">
        <v>257</v>
      </c>
      <c r="C1" s="197"/>
      <c r="D1" s="197"/>
      <c r="E1" s="197"/>
      <c r="F1" s="197"/>
      <c r="G1" s="197"/>
      <c r="H1" s="197"/>
      <c r="I1" s="197"/>
      <c r="J1" s="197"/>
      <c r="K1" s="197"/>
      <c r="L1" s="197"/>
      <c r="M1" s="197"/>
      <c r="N1" s="197"/>
    </row>
    <row r="2" spans="1:32" ht="12" customHeight="1">
      <c r="C2" s="227"/>
    </row>
    <row r="3" spans="1:32" ht="12" customHeight="1">
      <c r="A3" s="201"/>
      <c r="B3" s="310"/>
      <c r="C3" s="103" t="s">
        <v>282</v>
      </c>
      <c r="D3" s="103" t="s">
        <v>280</v>
      </c>
      <c r="E3" s="103" t="s">
        <v>281</v>
      </c>
      <c r="F3" s="261" t="s">
        <v>268</v>
      </c>
      <c r="G3" s="261" t="s">
        <v>7</v>
      </c>
      <c r="H3" s="261" t="s">
        <v>270</v>
      </c>
      <c r="I3" s="261" t="s">
        <v>271</v>
      </c>
      <c r="J3" s="261" t="s">
        <v>3</v>
      </c>
      <c r="K3" s="261" t="s">
        <v>272</v>
      </c>
      <c r="L3" s="185"/>
      <c r="M3" s="185"/>
      <c r="N3" s="271"/>
    </row>
    <row r="4" spans="1:32" ht="12" customHeight="1">
      <c r="A4" s="206"/>
      <c r="B4" s="293" t="s">
        <v>265</v>
      </c>
      <c r="C4" s="284">
        <f>69000*1.09</f>
        <v>75210</v>
      </c>
      <c r="D4" s="284">
        <f>C4*$N$25</f>
        <v>11281.5</v>
      </c>
      <c r="E4" s="289">
        <f>C4*$N$26</f>
        <v>50390.700000000004</v>
      </c>
      <c r="F4" s="289">
        <f>(D4*Beta!$D$9)+(E4*Beta!$D$10)</f>
        <v>16880.208987145939</v>
      </c>
      <c r="G4" s="289">
        <f>'EBIT &amp; Operating Lease'!C6</f>
        <v>4673.2299999999996</v>
      </c>
      <c r="H4" s="285"/>
      <c r="I4" s="314">
        <f>J4/G4</f>
        <v>0.15578851747169911</v>
      </c>
      <c r="J4" s="297">
        <f>'EBIT &amp; Operating Lease'!C15</f>
        <v>728.03557350426831</v>
      </c>
      <c r="K4" s="297">
        <f>J4*(1-$N$29)</f>
        <v>562.48028408939763</v>
      </c>
      <c r="L4" s="70"/>
      <c r="M4" s="70"/>
      <c r="N4" s="70"/>
      <c r="O4" s="203"/>
      <c r="Q4" s="203"/>
      <c r="R4" s="203"/>
      <c r="S4" s="203"/>
      <c r="T4" s="203"/>
      <c r="U4" s="203"/>
      <c r="V4" s="203"/>
      <c r="AA4" s="203"/>
    </row>
    <row r="5" spans="1:32" ht="12" customHeight="1">
      <c r="A5" s="206"/>
      <c r="B5" s="287">
        <v>1</v>
      </c>
      <c r="C5" s="286">
        <f>C4*(1+N24)</f>
        <v>81978.900000000009</v>
      </c>
      <c r="D5" s="286">
        <f>C5*($N$25+0.5%)</f>
        <v>12706.729500000001</v>
      </c>
      <c r="E5" s="291">
        <f>C5*($N$26-1.25%)</f>
        <v>53901.12675000001</v>
      </c>
      <c r="F5" s="290">
        <f>(D5*Beta!$D$9)+(E5*Beta!$D$10)</f>
        <v>18603.946576893286</v>
      </c>
      <c r="G5" s="291">
        <f t="shared" ref="G5:G11" si="0">G4*(1+H5)</f>
        <v>5374.2144999999991</v>
      </c>
      <c r="H5" s="237">
        <v>0.15</v>
      </c>
      <c r="I5" s="294">
        <v>0.15</v>
      </c>
      <c r="J5" s="296">
        <f>G5*I5</f>
        <v>806.13217499999985</v>
      </c>
      <c r="K5" s="296">
        <f>J5*(1-$N$29)</f>
        <v>622.81771840499982</v>
      </c>
      <c r="L5" s="277"/>
      <c r="M5" s="277"/>
      <c r="N5" s="278"/>
      <c r="O5" s="204"/>
      <c r="P5" s="204"/>
      <c r="Q5" s="204"/>
      <c r="R5" s="204"/>
      <c r="S5" s="204"/>
      <c r="T5" s="204"/>
      <c r="U5" s="204"/>
      <c r="V5" s="204"/>
      <c r="W5" s="204"/>
      <c r="X5" s="204"/>
      <c r="Y5" s="204"/>
      <c r="Z5" s="204"/>
      <c r="AA5" s="204"/>
      <c r="AB5" s="204"/>
      <c r="AC5" s="204"/>
      <c r="AD5" s="204"/>
      <c r="AE5" s="204"/>
      <c r="AF5" s="204"/>
    </row>
    <row r="6" spans="1:32" ht="12" customHeight="1">
      <c r="A6" s="206"/>
      <c r="B6" s="287">
        <f t="shared" ref="B6:B14" si="1">B5+1</f>
        <v>2</v>
      </c>
      <c r="C6" s="286">
        <f t="shared" ref="C6:C14" si="2">C5*1.09</f>
        <v>89357.001000000018</v>
      </c>
      <c r="D6" s="286">
        <f>C6*($N$25+1%)</f>
        <v>14297.120160000004</v>
      </c>
      <c r="E6" s="291">
        <f>C6*($N$26-2.5%)</f>
        <v>57635.265645000014</v>
      </c>
      <c r="F6" s="290">
        <f>(D6*Beta!$D$9)+(E6*Beta!$D$10)</f>
        <v>20501.22723999928</v>
      </c>
      <c r="G6" s="291">
        <f t="shared" si="0"/>
        <v>6019.1202399999993</v>
      </c>
      <c r="H6" s="237">
        <v>0.12</v>
      </c>
      <c r="I6" s="294">
        <v>0.15</v>
      </c>
      <c r="J6" s="296">
        <f t="shared" ref="J6:J13" si="3">G6*I6</f>
        <v>902.86803599999985</v>
      </c>
      <c r="K6" s="296">
        <f>J6*(1-($N$29+0.5%))</f>
        <v>693.04150443359993</v>
      </c>
      <c r="L6" s="279"/>
      <c r="M6" s="279"/>
      <c r="N6" s="278"/>
      <c r="O6" s="204"/>
      <c r="P6" s="204"/>
      <c r="Q6" s="204"/>
      <c r="R6" s="204"/>
      <c r="S6" s="204"/>
      <c r="T6" s="204"/>
      <c r="U6" s="204"/>
      <c r="V6" s="204"/>
      <c r="W6" s="204"/>
      <c r="X6" s="204"/>
      <c r="Y6" s="204"/>
      <c r="Z6" s="204"/>
      <c r="AA6" s="204"/>
      <c r="AB6" s="204"/>
      <c r="AC6" s="204"/>
      <c r="AD6" s="204"/>
      <c r="AE6" s="204"/>
      <c r="AF6" s="204"/>
    </row>
    <row r="7" spans="1:32" ht="12" customHeight="1">
      <c r="B7" s="287">
        <f t="shared" si="1"/>
        <v>3</v>
      </c>
      <c r="C7" s="286">
        <f t="shared" si="2"/>
        <v>97399.131090000024</v>
      </c>
      <c r="D7" s="286">
        <f>C7*($N$25+1.5%)</f>
        <v>16070.856629850003</v>
      </c>
      <c r="E7" s="291">
        <f>C7*($N$26-3.75%)</f>
        <v>61604.950414425024</v>
      </c>
      <c r="F7" s="290">
        <f>(D7*Beta!$D$9)+(E7*Beta!$D$10)</f>
        <v>22589.326455191509</v>
      </c>
      <c r="G7" s="291">
        <f t="shared" si="0"/>
        <v>6741.4146688000001</v>
      </c>
      <c r="H7" s="237">
        <v>0.12</v>
      </c>
      <c r="I7" s="294">
        <v>0.16</v>
      </c>
      <c r="J7" s="296">
        <f t="shared" si="3"/>
        <v>1078.626347008</v>
      </c>
      <c r="K7" s="296">
        <f>J7*(1-($N$29+0.75%))</f>
        <v>825.25701809582085</v>
      </c>
      <c r="L7" s="279"/>
      <c r="M7" s="279"/>
      <c r="N7" s="278"/>
      <c r="O7" s="204"/>
      <c r="P7" s="204"/>
      <c r="Q7" s="204"/>
      <c r="R7" s="204"/>
      <c r="S7" s="204"/>
      <c r="T7" s="204"/>
      <c r="U7" s="204"/>
      <c r="V7" s="204"/>
      <c r="W7" s="204"/>
      <c r="X7" s="204"/>
      <c r="Y7" s="204"/>
      <c r="Z7" s="204"/>
      <c r="AA7" s="204"/>
      <c r="AB7" s="204"/>
      <c r="AC7" s="204"/>
      <c r="AD7" s="204"/>
      <c r="AE7" s="204"/>
      <c r="AF7" s="204"/>
    </row>
    <row r="8" spans="1:32" ht="12" customHeight="1">
      <c r="A8" s="206"/>
      <c r="B8" s="287">
        <f t="shared" si="1"/>
        <v>4</v>
      </c>
      <c r="C8" s="286">
        <f t="shared" si="2"/>
        <v>106165.05288810004</v>
      </c>
      <c r="D8" s="286">
        <f>C8*($N$25+2%)</f>
        <v>18048.058990977006</v>
      </c>
      <c r="E8" s="291">
        <f>C8*($N$26-5%)</f>
        <v>65822.332790622022</v>
      </c>
      <c r="F8" s="290">
        <f>(D8*Beta!$D$9)+(E8*Beta!$D$10)</f>
        <v>24887.22358847435</v>
      </c>
      <c r="G8" s="291">
        <f t="shared" si="0"/>
        <v>7348.1419889920007</v>
      </c>
      <c r="H8" s="237">
        <v>0.09</v>
      </c>
      <c r="I8" s="294">
        <v>0.16</v>
      </c>
      <c r="J8" s="296">
        <f t="shared" si="3"/>
        <v>1175.7027182387201</v>
      </c>
      <c r="K8" s="296">
        <f>J8*(1-($N$29+1%))</f>
        <v>896.59089292884789</v>
      </c>
      <c r="L8" s="279"/>
      <c r="M8" s="279"/>
      <c r="N8" s="278"/>
      <c r="O8" s="204"/>
      <c r="P8" s="204"/>
      <c r="Q8" s="204"/>
      <c r="R8" s="204"/>
      <c r="S8" s="204"/>
      <c r="T8" s="204"/>
      <c r="U8" s="204"/>
      <c r="V8" s="204"/>
      <c r="W8" s="204"/>
      <c r="X8" s="204"/>
      <c r="Y8" s="204"/>
      <c r="Z8" s="204"/>
      <c r="AA8" s="204"/>
      <c r="AB8" s="204"/>
      <c r="AC8" s="204"/>
      <c r="AD8" s="204"/>
      <c r="AE8" s="204"/>
      <c r="AF8" s="204"/>
    </row>
    <row r="9" spans="1:32" ht="12" customHeight="1">
      <c r="A9" s="206"/>
      <c r="B9" s="287">
        <f t="shared" si="1"/>
        <v>5</v>
      </c>
      <c r="C9" s="286">
        <f t="shared" si="2"/>
        <v>115719.90764802905</v>
      </c>
      <c r="D9" s="286">
        <f>C9*($N$25+3%)</f>
        <v>20829.583376645231</v>
      </c>
      <c r="E9" s="291">
        <f>C9*($N$26-6%)</f>
        <v>70589.143665297728</v>
      </c>
      <c r="F9" s="290">
        <f>(D9*Beta!$D$9)+(E9*Beta!$D$10)</f>
        <v>27952.953258527465</v>
      </c>
      <c r="G9" s="291">
        <f t="shared" si="0"/>
        <v>8009.4747680012815</v>
      </c>
      <c r="H9" s="237">
        <v>0.09</v>
      </c>
      <c r="I9" s="294">
        <v>0.17</v>
      </c>
      <c r="J9" s="296">
        <f t="shared" si="3"/>
        <v>1361.610710560218</v>
      </c>
      <c r="K9" s="296">
        <f>J9*(1-($N$29+1.25%))</f>
        <v>1034.9603010968217</v>
      </c>
      <c r="L9" s="279"/>
      <c r="M9" s="279"/>
      <c r="N9" s="278"/>
      <c r="O9" s="204"/>
      <c r="P9" s="204"/>
      <c r="Q9" s="204"/>
      <c r="R9" s="204"/>
      <c r="S9" s="204"/>
      <c r="T9" s="204"/>
      <c r="U9" s="204"/>
      <c r="V9" s="204"/>
      <c r="W9" s="204"/>
      <c r="X9" s="204"/>
      <c r="Y9" s="204"/>
      <c r="Z9" s="204"/>
      <c r="AA9" s="204"/>
      <c r="AB9" s="204"/>
      <c r="AC9" s="204"/>
      <c r="AD9" s="204"/>
      <c r="AE9" s="204"/>
      <c r="AF9" s="204"/>
    </row>
    <row r="10" spans="1:32">
      <c r="A10" s="202"/>
      <c r="B10" s="287">
        <f t="shared" si="1"/>
        <v>6</v>
      </c>
      <c r="C10" s="286">
        <f t="shared" si="2"/>
        <v>126134.69933635168</v>
      </c>
      <c r="D10" s="286">
        <f>C10*($N$25+4%)</f>
        <v>23965.592873906819</v>
      </c>
      <c r="E10" s="291">
        <f>C10*($N$26-7%)</f>
        <v>75680.819601811017</v>
      </c>
      <c r="F10" s="290">
        <f>(D10*Beta!$D$9)+(E10*Beta!$D$10)</f>
        <v>31368.9277581235</v>
      </c>
      <c r="G10" s="291">
        <f t="shared" si="0"/>
        <v>8570.1380017613719</v>
      </c>
      <c r="H10" s="237">
        <v>7.0000000000000007E-2</v>
      </c>
      <c r="I10" s="294">
        <v>0.17</v>
      </c>
      <c r="J10" s="296">
        <f t="shared" si="3"/>
        <v>1456.9234602994334</v>
      </c>
      <c r="K10" s="296">
        <f>J10*(1-($N$29+1.5%))</f>
        <v>1103.7652135228509</v>
      </c>
      <c r="L10" s="279"/>
      <c r="M10" s="279"/>
      <c r="N10" s="278"/>
      <c r="O10" s="204"/>
      <c r="P10" s="204"/>
      <c r="Q10" s="204"/>
      <c r="R10" s="204"/>
      <c r="S10" s="204"/>
      <c r="T10" s="204"/>
      <c r="U10" s="204"/>
      <c r="V10" s="204"/>
      <c r="W10" s="204"/>
      <c r="X10" s="204"/>
      <c r="Y10" s="204"/>
      <c r="Z10" s="204"/>
      <c r="AA10" s="204"/>
      <c r="AB10" s="204"/>
      <c r="AC10" s="204"/>
      <c r="AD10" s="204"/>
      <c r="AE10" s="204"/>
      <c r="AF10" s="204"/>
    </row>
    <row r="11" spans="1:32">
      <c r="A11" s="206"/>
      <c r="B11" s="287">
        <f t="shared" si="1"/>
        <v>7</v>
      </c>
      <c r="C11" s="286">
        <f t="shared" si="2"/>
        <v>137486.82227662334</v>
      </c>
      <c r="D11" s="286">
        <f>C11*($N$25+4.5%)</f>
        <v>26809.930343941553</v>
      </c>
      <c r="E11" s="291">
        <f>C11*($N$26-7.5%)</f>
        <v>81804.659254590893</v>
      </c>
      <c r="F11" s="290">
        <f>(D11*Beta!$D$9)+(E11*Beta!$D$10)</f>
        <v>34682.74500130368</v>
      </c>
      <c r="G11" s="291">
        <f t="shared" si="0"/>
        <v>9084.3462818670541</v>
      </c>
      <c r="H11" s="237">
        <v>0.06</v>
      </c>
      <c r="I11" s="294">
        <v>0.18</v>
      </c>
      <c r="J11" s="296">
        <f t="shared" si="3"/>
        <v>1635.1823307360696</v>
      </c>
      <c r="K11" s="296">
        <f>J11*(1-($N$29+1.75%))</f>
        <v>1234.7261779388061</v>
      </c>
      <c r="L11" s="279"/>
      <c r="M11" s="279"/>
      <c r="N11" s="278"/>
      <c r="O11" s="204"/>
      <c r="P11" s="204"/>
      <c r="Q11" s="204"/>
      <c r="R11" s="204"/>
      <c r="S11" s="204"/>
      <c r="T11" s="204"/>
      <c r="U11" s="204"/>
      <c r="V11" s="204"/>
      <c r="W11" s="204"/>
      <c r="X11" s="204"/>
      <c r="Y11" s="204"/>
      <c r="Z11" s="204"/>
      <c r="AA11" s="204"/>
      <c r="AB11" s="204"/>
      <c r="AC11" s="204"/>
      <c r="AD11" s="204"/>
      <c r="AE11" s="204"/>
      <c r="AF11" s="204"/>
    </row>
    <row r="12" spans="1:32">
      <c r="B12" s="287">
        <f t="shared" si="1"/>
        <v>8</v>
      </c>
      <c r="C12" s="286">
        <f t="shared" si="2"/>
        <v>149860.63628151946</v>
      </c>
      <c r="D12" s="286">
        <f>C12*($N$25+5%)</f>
        <v>29972.127256303895</v>
      </c>
      <c r="E12" s="291">
        <f>C12*($N$26-8%)</f>
        <v>88417.775406096494</v>
      </c>
      <c r="F12" s="290">
        <f>(D12*Beta!$D$9)+(E12*Beta!$D$10)</f>
        <v>38338.961033415493</v>
      </c>
      <c r="G12" s="291">
        <f>F12*N27</f>
        <v>9584.7402583538733</v>
      </c>
      <c r="H12" s="237">
        <v>5.5083073961167822E-2</v>
      </c>
      <c r="I12" s="294">
        <v>0.18</v>
      </c>
      <c r="J12" s="296">
        <f t="shared" si="3"/>
        <v>1725.253246503697</v>
      </c>
      <c r="K12" s="296">
        <f>J12*(1-($N$29+2.2%))</f>
        <v>1294.9750868256751</v>
      </c>
      <c r="L12" s="279"/>
      <c r="M12" s="279"/>
      <c r="N12" s="278"/>
      <c r="O12" s="204"/>
      <c r="P12" s="204"/>
      <c r="Q12" s="204"/>
      <c r="R12" s="204"/>
      <c r="S12" s="204"/>
      <c r="T12" s="204"/>
      <c r="U12" s="204"/>
      <c r="V12" s="204"/>
      <c r="W12" s="204"/>
      <c r="X12" s="204"/>
      <c r="Y12" s="204"/>
      <c r="Z12" s="204"/>
      <c r="AA12" s="204"/>
      <c r="AB12" s="204"/>
      <c r="AC12" s="204"/>
      <c r="AD12" s="204"/>
      <c r="AE12" s="204"/>
      <c r="AF12" s="204"/>
    </row>
    <row r="13" spans="1:32">
      <c r="A13" s="206"/>
      <c r="B13" s="287">
        <f t="shared" si="1"/>
        <v>9</v>
      </c>
      <c r="C13" s="286">
        <f t="shared" si="2"/>
        <v>163348.09354685622</v>
      </c>
      <c r="D13" s="286">
        <f>C13*($N$25+5%)</f>
        <v>32669.618709371247</v>
      </c>
      <c r="E13" s="291">
        <f>C13*($N$26-8%)</f>
        <v>96375.375192645181</v>
      </c>
      <c r="F13" s="290">
        <f>(D13*Beta!$D$9)+(E13*Beta!$D$10)</f>
        <v>41789.467526422894</v>
      </c>
      <c r="G13" s="291">
        <f>G12*(1+H13)</f>
        <v>10063.977271271568</v>
      </c>
      <c r="H13" s="237">
        <v>0.05</v>
      </c>
      <c r="I13" s="294">
        <v>0.18</v>
      </c>
      <c r="J13" s="296">
        <f t="shared" si="3"/>
        <v>1811.5159088288822</v>
      </c>
      <c r="K13" s="296">
        <f>J13*(1-$N$28)</f>
        <v>1355.5573545766524</v>
      </c>
      <c r="L13" s="274"/>
      <c r="M13" s="274"/>
      <c r="N13" s="274"/>
      <c r="O13" s="204"/>
      <c r="P13" s="204"/>
      <c r="Q13" s="204"/>
      <c r="R13" s="204"/>
      <c r="S13" s="204"/>
      <c r="T13" s="204"/>
      <c r="U13" s="204"/>
      <c r="V13" s="204"/>
      <c r="W13" s="204"/>
      <c r="X13" s="204"/>
      <c r="Y13" s="204"/>
      <c r="Z13" s="204"/>
      <c r="AA13" s="204"/>
      <c r="AB13" s="204"/>
      <c r="AC13" s="204"/>
      <c r="AD13" s="204"/>
      <c r="AE13" s="204"/>
      <c r="AF13" s="204"/>
    </row>
    <row r="14" spans="1:32">
      <c r="B14" s="287">
        <f t="shared" si="1"/>
        <v>10</v>
      </c>
      <c r="C14" s="286">
        <f t="shared" si="2"/>
        <v>178049.42196607331</v>
      </c>
      <c r="D14" s="286">
        <f>C14*($N$25+5%)</f>
        <v>35609.884393214663</v>
      </c>
      <c r="E14" s="291">
        <f>C14*($N$26-8%)</f>
        <v>105049.15895998327</v>
      </c>
      <c r="F14" s="290">
        <f>(D14*Beta!$D$9)+(E14*Beta!$D$10)</f>
        <v>45550.51960380096</v>
      </c>
      <c r="G14" s="291">
        <f>G13*(1+H14)</f>
        <v>10466.536362122431</v>
      </c>
      <c r="H14" s="237">
        <v>0.04</v>
      </c>
      <c r="I14" s="294">
        <v>0.18</v>
      </c>
      <c r="J14" s="296">
        <f>G14*I14</f>
        <v>1883.9765451820376</v>
      </c>
      <c r="K14" s="296">
        <f>J14*(1-$N$28)</f>
        <v>1409.7796487597186</v>
      </c>
      <c r="L14" s="3"/>
      <c r="M14" s="3"/>
      <c r="O14" s="204"/>
      <c r="P14" s="204"/>
      <c r="Q14" s="204"/>
      <c r="R14" s="204"/>
      <c r="S14" s="204"/>
      <c r="T14" s="204"/>
      <c r="U14" s="204"/>
      <c r="V14" s="204"/>
      <c r="W14" s="204"/>
      <c r="X14" s="204"/>
      <c r="Y14" s="204"/>
      <c r="Z14" s="204"/>
      <c r="AA14" s="204"/>
      <c r="AB14" s="204"/>
      <c r="AC14" s="204"/>
      <c r="AD14" s="204"/>
      <c r="AE14" s="204"/>
      <c r="AF14" s="204"/>
    </row>
    <row r="15" spans="1:32">
      <c r="C15" s="283"/>
      <c r="E15" s="209"/>
      <c r="F15" s="122"/>
      <c r="G15" s="2"/>
      <c r="H15" s="15"/>
      <c r="I15" s="15"/>
      <c r="J15" s="15"/>
      <c r="K15" s="2"/>
      <c r="L15" s="2"/>
      <c r="M15" s="2"/>
      <c r="O15" s="204"/>
      <c r="P15" s="204"/>
      <c r="Q15" s="204"/>
      <c r="R15" s="204"/>
      <c r="S15" s="204"/>
      <c r="T15" s="204"/>
      <c r="U15" s="204"/>
      <c r="V15" s="204"/>
      <c r="W15" s="204"/>
      <c r="X15" s="204"/>
      <c r="Y15" s="204"/>
      <c r="Z15" s="204"/>
      <c r="AA15" s="204"/>
      <c r="AB15" s="204"/>
      <c r="AC15" s="204"/>
      <c r="AD15" s="204"/>
      <c r="AE15" s="204"/>
      <c r="AF15" s="204"/>
    </row>
    <row r="16" spans="1:32">
      <c r="F16" s="122"/>
      <c r="G16" s="292"/>
      <c r="H16" s="185"/>
      <c r="I16" s="275"/>
      <c r="J16" s="275"/>
      <c r="K16" s="275"/>
      <c r="L16" s="275"/>
      <c r="M16" s="275"/>
      <c r="O16" s="204"/>
      <c r="P16" s="204"/>
      <c r="Q16" s="204"/>
      <c r="R16" s="204"/>
      <c r="S16" s="204"/>
      <c r="T16" s="204"/>
      <c r="U16" s="204"/>
      <c r="V16" s="204"/>
      <c r="W16" s="204"/>
      <c r="X16" s="204"/>
      <c r="Y16" s="204"/>
      <c r="Z16" s="204"/>
      <c r="AA16" s="204"/>
      <c r="AB16" s="204"/>
      <c r="AC16" s="204"/>
      <c r="AD16" s="204"/>
      <c r="AE16" s="204"/>
      <c r="AF16" s="204"/>
    </row>
    <row r="17" spans="1:34">
      <c r="B17" s="310"/>
      <c r="C17" s="103" t="s">
        <v>273</v>
      </c>
      <c r="D17" s="103" t="s">
        <v>274</v>
      </c>
      <c r="E17" s="103" t="s">
        <v>225</v>
      </c>
      <c r="F17" s="103" t="s">
        <v>275</v>
      </c>
      <c r="G17" s="103" t="s">
        <v>276</v>
      </c>
      <c r="H17" s="103" t="s">
        <v>277</v>
      </c>
      <c r="I17" s="51"/>
      <c r="J17" s="276"/>
      <c r="K17" s="70"/>
      <c r="L17" s="70"/>
      <c r="M17" s="70"/>
      <c r="N17" s="70"/>
      <c r="O17" s="204"/>
      <c r="P17" s="204"/>
      <c r="Q17" s="204"/>
      <c r="R17" s="204"/>
      <c r="S17" s="204"/>
      <c r="T17" s="204"/>
      <c r="U17" s="204"/>
      <c r="V17" s="204"/>
      <c r="W17" s="204"/>
      <c r="X17" s="204"/>
      <c r="Y17" s="204"/>
      <c r="Z17" s="204"/>
      <c r="AA17" s="204"/>
      <c r="AB17" s="204"/>
      <c r="AC17" s="204"/>
      <c r="AD17" s="204"/>
      <c r="AE17" s="204"/>
      <c r="AF17" s="204"/>
    </row>
    <row r="18" spans="1:34">
      <c r="A18" s="206"/>
      <c r="B18" s="293" t="s">
        <v>265</v>
      </c>
      <c r="C18" s="285"/>
      <c r="D18" s="298"/>
      <c r="E18" s="295"/>
      <c r="F18" s="284">
        <f>'FCFF &amp; FCFE'!C3</f>
        <v>302.51727197744844</v>
      </c>
      <c r="G18" s="299">
        <f>WACC!F9+WACC!F10-(526.33+82.16+4.21)</f>
        <v>6836.380000000001</v>
      </c>
      <c r="H18" s="300">
        <f>K4/G18</f>
        <v>8.2277504189263551E-2</v>
      </c>
      <c r="I18" s="272"/>
      <c r="J18" s="327"/>
      <c r="K18" s="279"/>
      <c r="L18" s="279"/>
      <c r="M18" s="279"/>
      <c r="N18" s="279"/>
      <c r="O18" s="204"/>
      <c r="P18" s="204"/>
      <c r="Q18" s="204"/>
      <c r="R18" s="204"/>
      <c r="S18" s="204"/>
      <c r="T18" s="204"/>
      <c r="U18" s="204"/>
      <c r="V18" s="204"/>
      <c r="W18" s="204"/>
      <c r="X18" s="204"/>
      <c r="Y18" s="204"/>
      <c r="Z18" s="204"/>
      <c r="AA18" s="204"/>
      <c r="AB18" s="204"/>
      <c r="AC18" s="204"/>
      <c r="AD18" s="204"/>
      <c r="AE18" s="204"/>
      <c r="AF18" s="204"/>
    </row>
    <row r="19" spans="1:34">
      <c r="B19" s="287">
        <v>1</v>
      </c>
      <c r="C19" s="286">
        <f>G5-G4</f>
        <v>700.98449999999957</v>
      </c>
      <c r="D19" s="263">
        <v>2.1939000000000002</v>
      </c>
      <c r="E19" s="286">
        <f>C19/D19</f>
        <v>319.51524682073</v>
      </c>
      <c r="F19" s="286">
        <f>K5-E19</f>
        <v>303.30247158426982</v>
      </c>
      <c r="G19" s="76">
        <f>G18+E19</f>
        <v>7155.8952468207308</v>
      </c>
      <c r="H19" s="78">
        <f>K5/G19</f>
        <v>8.7035611467581153E-2</v>
      </c>
      <c r="I19" s="123"/>
      <c r="J19" s="272"/>
      <c r="K19" s="279"/>
      <c r="L19" s="279"/>
      <c r="M19" s="279"/>
      <c r="N19" s="279"/>
      <c r="O19" s="204"/>
      <c r="P19" s="204"/>
      <c r="Q19" s="204"/>
      <c r="R19" s="204"/>
      <c r="S19" s="204"/>
      <c r="T19" s="204"/>
      <c r="U19" s="204"/>
      <c r="V19" s="204"/>
      <c r="W19" s="204"/>
      <c r="X19" s="204"/>
      <c r="Y19" s="204"/>
      <c r="Z19" s="204"/>
      <c r="AA19" s="204"/>
      <c r="AB19" s="204"/>
      <c r="AC19" s="204"/>
      <c r="AD19" s="204"/>
      <c r="AE19" s="204"/>
      <c r="AF19" s="204"/>
    </row>
    <row r="20" spans="1:34">
      <c r="A20" s="206"/>
      <c r="B20" s="287">
        <f t="shared" ref="B20:B28" si="4">B19+1</f>
        <v>2</v>
      </c>
      <c r="C20" s="286">
        <f t="shared" ref="C20:C28" si="5">G6-G5</f>
        <v>644.90574000000015</v>
      </c>
      <c r="D20" s="263">
        <v>2.1939000000000002</v>
      </c>
      <c r="E20" s="286">
        <f t="shared" ref="E20:E28" si="6">C20/D20</f>
        <v>293.95402707507185</v>
      </c>
      <c r="F20" s="286">
        <f t="shared" ref="F20:F28" si="7">K6-E20</f>
        <v>399.08747735852808</v>
      </c>
      <c r="G20" s="76">
        <f t="shared" ref="G20:G28" si="8">G19+E20</f>
        <v>7449.849273895803</v>
      </c>
      <c r="H20" s="78">
        <f t="shared" ref="H20:H28" si="9">K6/G20</f>
        <v>9.3027587398581385E-2</v>
      </c>
      <c r="I20" s="123"/>
      <c r="J20" s="272"/>
      <c r="K20" s="279"/>
      <c r="L20" s="279"/>
      <c r="M20" s="279"/>
      <c r="N20" s="279"/>
      <c r="O20" s="204"/>
      <c r="P20" s="204"/>
      <c r="Q20" s="204"/>
      <c r="R20" s="204"/>
      <c r="S20" s="204"/>
      <c r="T20" s="204"/>
      <c r="U20" s="204"/>
      <c r="V20" s="204"/>
      <c r="W20" s="204"/>
      <c r="X20" s="204"/>
      <c r="Y20" s="204"/>
      <c r="Z20" s="204"/>
      <c r="AA20" s="204"/>
      <c r="AB20" s="204"/>
      <c r="AC20" s="204"/>
      <c r="AD20" s="204"/>
      <c r="AE20" s="204"/>
      <c r="AF20" s="204"/>
    </row>
    <row r="21" spans="1:34">
      <c r="B21" s="287">
        <f t="shared" si="4"/>
        <v>3</v>
      </c>
      <c r="C21" s="286">
        <f t="shared" si="5"/>
        <v>722.29442880000079</v>
      </c>
      <c r="D21" s="263">
        <v>2.1939000000000002</v>
      </c>
      <c r="E21" s="286">
        <f t="shared" si="6"/>
        <v>329.22851032408073</v>
      </c>
      <c r="F21" s="286">
        <f t="shared" si="7"/>
        <v>496.02850777174012</v>
      </c>
      <c r="G21" s="76">
        <f t="shared" si="8"/>
        <v>7779.0777842198841</v>
      </c>
      <c r="H21" s="78">
        <f t="shared" si="9"/>
        <v>0.10608674202614118</v>
      </c>
      <c r="I21" s="123"/>
      <c r="J21" s="280"/>
      <c r="K21" s="281"/>
      <c r="L21" s="281"/>
      <c r="M21" s="281"/>
      <c r="N21" s="281"/>
      <c r="O21" s="204"/>
      <c r="P21" s="204"/>
      <c r="Q21" s="204"/>
      <c r="R21" s="204"/>
      <c r="S21" s="204"/>
      <c r="T21" s="204"/>
      <c r="U21" s="204"/>
      <c r="V21" s="204"/>
      <c r="W21" s="204"/>
      <c r="X21" s="204"/>
      <c r="Y21" s="204"/>
      <c r="Z21" s="204"/>
      <c r="AA21" s="204"/>
      <c r="AB21" s="204"/>
      <c r="AC21" s="204"/>
      <c r="AD21" s="204"/>
      <c r="AE21" s="204"/>
      <c r="AF21" s="204"/>
    </row>
    <row r="22" spans="1:34">
      <c r="B22" s="287">
        <f t="shared" si="4"/>
        <v>4</v>
      </c>
      <c r="C22" s="286">
        <f t="shared" si="5"/>
        <v>606.72732019200066</v>
      </c>
      <c r="D22" s="263">
        <v>2.1939000000000002</v>
      </c>
      <c r="E22" s="286">
        <f t="shared" si="6"/>
        <v>276.55194867222781</v>
      </c>
      <c r="F22" s="286">
        <f t="shared" si="7"/>
        <v>620.03894425662008</v>
      </c>
      <c r="G22" s="76">
        <f t="shared" si="8"/>
        <v>8055.6297328921119</v>
      </c>
      <c r="H22" s="78">
        <f t="shared" si="9"/>
        <v>0.11129991355833532</v>
      </c>
      <c r="I22" s="123"/>
      <c r="J22" s="272"/>
      <c r="K22" s="273"/>
      <c r="L22" s="273"/>
      <c r="M22" s="273"/>
      <c r="N22" s="273"/>
      <c r="O22" s="204"/>
      <c r="P22" s="204"/>
      <c r="Q22" s="204"/>
      <c r="R22" s="204"/>
      <c r="S22" s="204"/>
      <c r="T22" s="204"/>
      <c r="U22" s="204"/>
      <c r="V22" s="204"/>
      <c r="W22" s="204"/>
      <c r="X22" s="204"/>
      <c r="Y22" s="204"/>
      <c r="Z22" s="204"/>
      <c r="AA22" s="204"/>
      <c r="AB22" s="204"/>
      <c r="AC22" s="204"/>
      <c r="AD22" s="204"/>
      <c r="AE22" s="204"/>
      <c r="AF22" s="204"/>
      <c r="AG22" s="204"/>
    </row>
    <row r="23" spans="1:34">
      <c r="B23" s="287">
        <f t="shared" si="4"/>
        <v>5</v>
      </c>
      <c r="C23" s="286">
        <f t="shared" si="5"/>
        <v>661.33277900928078</v>
      </c>
      <c r="D23" s="263">
        <v>2.1939000000000002</v>
      </c>
      <c r="E23" s="286">
        <f t="shared" si="6"/>
        <v>301.44162405272834</v>
      </c>
      <c r="F23" s="286">
        <f t="shared" si="7"/>
        <v>733.51867704409335</v>
      </c>
      <c r="G23" s="76">
        <f t="shared" si="8"/>
        <v>8357.0713569448399</v>
      </c>
      <c r="H23" s="78">
        <f t="shared" si="9"/>
        <v>0.12384246309405454</v>
      </c>
      <c r="I23" s="123"/>
      <c r="J23" s="122"/>
      <c r="K23" s="204"/>
      <c r="L23" s="204"/>
      <c r="M23" s="204"/>
      <c r="N23" s="204"/>
      <c r="O23" s="204"/>
      <c r="P23" s="204"/>
      <c r="Q23" s="204"/>
      <c r="R23" s="204"/>
      <c r="S23" s="204"/>
      <c r="T23" s="204"/>
      <c r="U23" s="204"/>
      <c r="V23" s="204"/>
      <c r="W23" s="204"/>
      <c r="X23" s="204"/>
      <c r="Y23" s="204"/>
      <c r="Z23" s="204"/>
      <c r="AA23" s="204"/>
      <c r="AB23" s="204"/>
      <c r="AC23" s="204"/>
      <c r="AD23" s="204"/>
      <c r="AE23" s="204"/>
      <c r="AF23" s="204"/>
      <c r="AG23" s="204"/>
      <c r="AH23" s="204"/>
    </row>
    <row r="24" spans="1:34">
      <c r="B24" s="287">
        <f t="shared" si="4"/>
        <v>6</v>
      </c>
      <c r="C24" s="286">
        <f t="shared" si="5"/>
        <v>560.66323376009041</v>
      </c>
      <c r="D24" s="263">
        <v>2.1939000000000002</v>
      </c>
      <c r="E24" s="286">
        <f t="shared" si="6"/>
        <v>255.55551016914643</v>
      </c>
      <c r="F24" s="286">
        <f t="shared" si="7"/>
        <v>848.20970335370453</v>
      </c>
      <c r="G24" s="76">
        <f t="shared" si="8"/>
        <v>8612.626867113986</v>
      </c>
      <c r="H24" s="78">
        <f t="shared" si="9"/>
        <v>0.12815662753687979</v>
      </c>
      <c r="I24" s="123"/>
      <c r="J24" s="122"/>
      <c r="K24" s="204"/>
      <c r="L24" s="204"/>
      <c r="M24" s="288" t="s">
        <v>15</v>
      </c>
      <c r="N24" s="301">
        <v>0.09</v>
      </c>
      <c r="O24" s="84"/>
      <c r="P24" s="204"/>
      <c r="Q24" s="204"/>
      <c r="R24" s="204"/>
      <c r="S24" s="204"/>
      <c r="T24" s="204"/>
      <c r="U24" s="204"/>
      <c r="V24" s="204"/>
      <c r="W24" s="204"/>
      <c r="X24" s="204"/>
      <c r="Y24" s="204"/>
      <c r="Z24" s="204"/>
      <c r="AA24" s="204"/>
      <c r="AB24" s="204"/>
      <c r="AC24" s="204"/>
      <c r="AD24" s="204"/>
      <c r="AE24" s="204"/>
      <c r="AF24" s="204"/>
      <c r="AG24" s="204"/>
      <c r="AH24" s="204"/>
    </row>
    <row r="25" spans="1:34">
      <c r="B25" s="287">
        <f t="shared" si="4"/>
        <v>7</v>
      </c>
      <c r="C25" s="286">
        <f t="shared" si="5"/>
        <v>514.20828010568221</v>
      </c>
      <c r="D25" s="263">
        <v>2.1939000000000002</v>
      </c>
      <c r="E25" s="286">
        <f t="shared" si="6"/>
        <v>234.38091075513111</v>
      </c>
      <c r="F25" s="286">
        <f t="shared" si="7"/>
        <v>1000.345267183675</v>
      </c>
      <c r="G25" s="76">
        <f t="shared" si="8"/>
        <v>8847.0077778691175</v>
      </c>
      <c r="H25" s="78">
        <f t="shared" si="9"/>
        <v>0.13956426951804954</v>
      </c>
      <c r="I25" s="123"/>
      <c r="J25" s="122"/>
      <c r="K25" s="204"/>
      <c r="L25" s="204"/>
      <c r="M25" s="288" t="s">
        <v>266</v>
      </c>
      <c r="N25" s="302">
        <v>0.15</v>
      </c>
      <c r="O25" s="209"/>
      <c r="P25" s="204"/>
      <c r="Q25" s="204"/>
      <c r="R25" s="204"/>
      <c r="S25" s="204"/>
      <c r="T25" s="204"/>
      <c r="U25" s="204"/>
      <c r="V25" s="204"/>
      <c r="W25" s="204"/>
      <c r="X25" s="204"/>
      <c r="Y25" s="204"/>
      <c r="Z25" s="204"/>
      <c r="AA25" s="204"/>
      <c r="AB25" s="204"/>
      <c r="AC25" s="204"/>
      <c r="AD25" s="204"/>
      <c r="AE25" s="204"/>
      <c r="AF25" s="204"/>
      <c r="AG25" s="204"/>
      <c r="AH25" s="204"/>
    </row>
    <row r="26" spans="1:34">
      <c r="B26" s="287">
        <f t="shared" si="4"/>
        <v>8</v>
      </c>
      <c r="C26" s="286">
        <f t="shared" si="5"/>
        <v>500.39397648681916</v>
      </c>
      <c r="D26" s="263">
        <v>2.1939000000000002</v>
      </c>
      <c r="E26" s="286">
        <f t="shared" si="6"/>
        <v>228.08422283915363</v>
      </c>
      <c r="F26" s="286">
        <f t="shared" si="7"/>
        <v>1066.8908639865215</v>
      </c>
      <c r="G26" s="76">
        <f t="shared" si="8"/>
        <v>9075.0920007082714</v>
      </c>
      <c r="H26" s="78">
        <f t="shared" si="9"/>
        <v>0.14269553264304186</v>
      </c>
      <c r="I26" s="123"/>
      <c r="J26" s="122"/>
      <c r="K26" s="204"/>
      <c r="L26" s="204"/>
      <c r="M26" s="288" t="s">
        <v>267</v>
      </c>
      <c r="N26" s="38">
        <v>0.67</v>
      </c>
      <c r="O26" s="209"/>
      <c r="P26" s="204"/>
      <c r="Q26" s="204"/>
      <c r="R26" s="204"/>
      <c r="S26" s="204"/>
      <c r="T26" s="204"/>
      <c r="U26" s="204"/>
      <c r="V26" s="204"/>
      <c r="W26" s="204"/>
      <c r="X26" s="204"/>
      <c r="Y26" s="204"/>
      <c r="Z26" s="204"/>
      <c r="AA26" s="204"/>
      <c r="AB26" s="204"/>
      <c r="AC26" s="204"/>
      <c r="AD26" s="204"/>
      <c r="AE26" s="204"/>
      <c r="AF26" s="204"/>
      <c r="AG26" s="204"/>
      <c r="AH26" s="204"/>
    </row>
    <row r="27" spans="1:34">
      <c r="B27" s="287">
        <f t="shared" si="4"/>
        <v>9</v>
      </c>
      <c r="C27" s="286">
        <f t="shared" si="5"/>
        <v>479.2370129176943</v>
      </c>
      <c r="D27" s="263">
        <v>2.1939000000000002</v>
      </c>
      <c r="E27" s="286">
        <f t="shared" si="6"/>
        <v>218.44068230899049</v>
      </c>
      <c r="F27" s="286">
        <f t="shared" si="7"/>
        <v>1137.1166722676619</v>
      </c>
      <c r="G27" s="76">
        <f t="shared" si="8"/>
        <v>9293.5326830172617</v>
      </c>
      <c r="H27" s="78">
        <f t="shared" si="9"/>
        <v>0.14586028809623272</v>
      </c>
      <c r="I27" s="123"/>
      <c r="J27" s="122"/>
      <c r="K27" s="204"/>
      <c r="L27" s="204"/>
      <c r="M27" s="288" t="s">
        <v>269</v>
      </c>
      <c r="N27" s="38">
        <v>0.25</v>
      </c>
      <c r="O27" s="204"/>
      <c r="P27" s="204"/>
      <c r="Q27" s="204"/>
      <c r="R27" s="204"/>
      <c r="S27" s="204"/>
      <c r="T27" s="204"/>
      <c r="U27" s="204"/>
      <c r="V27" s="204"/>
      <c r="W27" s="204"/>
      <c r="X27" s="204"/>
      <c r="Y27" s="204"/>
      <c r="Z27" s="204"/>
      <c r="AA27" s="204"/>
      <c r="AB27" s="204"/>
      <c r="AC27" s="204"/>
      <c r="AD27" s="204"/>
      <c r="AE27" s="204"/>
      <c r="AF27" s="204"/>
      <c r="AG27" s="204"/>
      <c r="AH27" s="204"/>
    </row>
    <row r="28" spans="1:34">
      <c r="B28" s="287">
        <f t="shared" si="4"/>
        <v>10</v>
      </c>
      <c r="C28" s="286">
        <f t="shared" si="5"/>
        <v>402.55909085086387</v>
      </c>
      <c r="D28" s="263">
        <v>2.1939000000000002</v>
      </c>
      <c r="E28" s="286">
        <f t="shared" si="6"/>
        <v>183.49017313955233</v>
      </c>
      <c r="F28" s="286">
        <f t="shared" si="7"/>
        <v>1226.2894756201663</v>
      </c>
      <c r="G28" s="76">
        <f t="shared" si="8"/>
        <v>9477.0228561568147</v>
      </c>
      <c r="H28" s="78">
        <f t="shared" si="9"/>
        <v>0.14875764996639693</v>
      </c>
      <c r="I28" s="123"/>
      <c r="J28" s="244"/>
      <c r="K28" s="204"/>
      <c r="L28" s="204"/>
      <c r="M28" s="288" t="str">
        <f>Beta!B13</f>
        <v>Marginal Corporate Tax Rate (%)</v>
      </c>
      <c r="N28" s="303">
        <f>Beta!C13</f>
        <v>0.25169999999999998</v>
      </c>
      <c r="O28" s="204"/>
      <c r="P28" s="204"/>
      <c r="Q28" s="204"/>
      <c r="R28" s="204"/>
      <c r="S28" s="204"/>
      <c r="T28" s="204"/>
      <c r="U28" s="204"/>
      <c r="V28" s="204"/>
      <c r="W28" s="204"/>
      <c r="X28" s="204"/>
      <c r="Y28" s="204"/>
      <c r="Z28" s="204"/>
      <c r="AA28" s="204"/>
      <c r="AB28" s="204"/>
      <c r="AC28" s="204"/>
      <c r="AD28" s="204"/>
      <c r="AE28" s="204"/>
      <c r="AF28" s="204"/>
      <c r="AG28" s="204"/>
      <c r="AH28" s="204"/>
    </row>
    <row r="29" spans="1:34">
      <c r="E29" s="283"/>
      <c r="K29" s="204"/>
      <c r="L29" s="204"/>
      <c r="M29" s="288" t="str">
        <f>Beta!B14</f>
        <v>Effective Tax Rate (Trent Ltd)</v>
      </c>
      <c r="N29" s="303">
        <f>Beta!C14</f>
        <v>0.22739999999999999</v>
      </c>
      <c r="O29" s="204"/>
      <c r="P29" s="204"/>
      <c r="Q29" s="204"/>
      <c r="R29" s="204"/>
      <c r="S29" s="204"/>
      <c r="T29" s="204"/>
      <c r="U29" s="204"/>
      <c r="V29" s="204"/>
      <c r="W29" s="204"/>
      <c r="X29" s="204"/>
      <c r="Y29" s="204"/>
      <c r="Z29" s="204"/>
      <c r="AA29" s="204"/>
      <c r="AB29" s="204"/>
      <c r="AC29" s="204"/>
      <c r="AD29" s="204"/>
      <c r="AE29" s="204"/>
      <c r="AF29" s="204"/>
      <c r="AG29" s="204"/>
      <c r="AH29" s="204"/>
    </row>
    <row r="30" spans="1:34" ht="14.25" customHeight="1">
      <c r="J30" s="130"/>
      <c r="K30" s="204"/>
      <c r="L30" s="204"/>
      <c r="P30" s="204"/>
      <c r="Q30" s="204"/>
      <c r="R30" s="204"/>
      <c r="S30" s="204"/>
      <c r="T30" s="204"/>
      <c r="U30" s="204"/>
      <c r="V30" s="204"/>
      <c r="W30" s="204"/>
      <c r="X30" s="204"/>
      <c r="Y30" s="204"/>
      <c r="Z30" s="204"/>
      <c r="AA30" s="204"/>
      <c r="AB30" s="204"/>
      <c r="AC30" s="204"/>
      <c r="AD30" s="204"/>
      <c r="AE30" s="204"/>
      <c r="AF30" s="204"/>
      <c r="AG30" s="204"/>
      <c r="AH30" s="204"/>
    </row>
    <row r="31" spans="1:34">
      <c r="G31" s="204"/>
      <c r="H31" s="204"/>
      <c r="I31" s="204"/>
      <c r="J31" s="204"/>
      <c r="K31" s="204"/>
      <c r="L31" s="204"/>
      <c r="P31" s="204"/>
      <c r="Q31" s="204"/>
      <c r="R31" s="204"/>
      <c r="S31" s="204"/>
      <c r="T31" s="204"/>
      <c r="U31" s="204"/>
      <c r="V31" s="204"/>
      <c r="W31" s="204"/>
      <c r="X31" s="204"/>
      <c r="Y31" s="204"/>
      <c r="Z31" s="204"/>
      <c r="AA31" s="204"/>
      <c r="AB31" s="204"/>
      <c r="AC31" s="204"/>
      <c r="AD31" s="204"/>
      <c r="AE31" s="204"/>
      <c r="AF31" s="204"/>
      <c r="AG31" s="204"/>
      <c r="AH31" s="204"/>
    </row>
    <row r="32" spans="1:34">
      <c r="G32" s="204"/>
      <c r="H32" s="204"/>
      <c r="I32" s="204"/>
      <c r="J32" s="204"/>
      <c r="K32" s="204"/>
      <c r="L32" s="204"/>
      <c r="M32" s="204"/>
      <c r="N32" s="204"/>
      <c r="O32" s="204"/>
      <c r="P32" s="204"/>
      <c r="Q32" s="204"/>
      <c r="R32" s="204"/>
      <c r="S32" s="204"/>
      <c r="T32" s="204"/>
      <c r="U32" s="204"/>
      <c r="V32" s="204"/>
      <c r="W32" s="204"/>
      <c r="X32" s="204"/>
      <c r="Y32" s="204"/>
      <c r="Z32" s="204"/>
      <c r="AA32" s="204"/>
      <c r="AB32" s="204"/>
      <c r="AC32" s="204"/>
      <c r="AD32" s="204"/>
      <c r="AE32" s="204"/>
      <c r="AF32" s="204"/>
      <c r="AG32" s="204"/>
      <c r="AH32" s="204"/>
    </row>
    <row r="33" spans="7:34">
      <c r="G33" s="204"/>
      <c r="H33" s="204"/>
      <c r="I33" s="204"/>
      <c r="J33" s="204"/>
      <c r="K33" s="204"/>
      <c r="L33" s="204"/>
      <c r="M33" s="204"/>
      <c r="N33" s="204"/>
      <c r="O33" s="204"/>
      <c r="P33" s="204"/>
      <c r="Q33" s="204"/>
      <c r="R33" s="204"/>
      <c r="S33" s="204"/>
      <c r="T33" s="204"/>
      <c r="U33" s="204"/>
      <c r="V33" s="204"/>
      <c r="W33" s="204"/>
      <c r="X33" s="204"/>
      <c r="Y33" s="204"/>
      <c r="Z33" s="204"/>
      <c r="AA33" s="204"/>
      <c r="AB33" s="204"/>
      <c r="AC33" s="204"/>
      <c r="AD33" s="204"/>
      <c r="AE33" s="204"/>
      <c r="AF33" s="204"/>
      <c r="AG33" s="204"/>
      <c r="AH33" s="204"/>
    </row>
    <row r="34" spans="7:34">
      <c r="G34" s="204"/>
      <c r="H34" s="204"/>
      <c r="I34" s="204"/>
      <c r="J34" s="204"/>
      <c r="K34" s="204"/>
      <c r="L34" s="204"/>
      <c r="M34" s="204"/>
      <c r="N34" s="204"/>
      <c r="O34" s="204"/>
      <c r="P34" s="204"/>
      <c r="Q34" s="204"/>
      <c r="R34" s="204"/>
      <c r="S34" s="204"/>
      <c r="T34" s="204"/>
      <c r="U34" s="204"/>
      <c r="V34" s="204"/>
      <c r="W34" s="204"/>
      <c r="X34" s="204"/>
      <c r="Y34" s="204"/>
      <c r="Z34" s="204"/>
      <c r="AA34" s="204"/>
      <c r="AB34" s="204"/>
      <c r="AC34" s="204"/>
      <c r="AD34" s="204"/>
      <c r="AE34" s="204"/>
      <c r="AF34" s="204"/>
      <c r="AG34" s="204"/>
      <c r="AH34" s="204"/>
    </row>
    <row r="35" spans="7:34">
      <c r="G35" s="204"/>
      <c r="H35" s="204"/>
      <c r="I35" s="204"/>
      <c r="J35" s="204"/>
      <c r="K35" s="204"/>
      <c r="L35" s="204"/>
      <c r="M35" s="204"/>
      <c r="N35" s="204"/>
      <c r="O35" s="204"/>
      <c r="P35" s="204"/>
      <c r="Q35" s="204"/>
      <c r="R35" s="204"/>
      <c r="S35" s="204"/>
      <c r="T35" s="204"/>
      <c r="U35" s="204"/>
      <c r="V35" s="204"/>
      <c r="W35" s="204"/>
      <c r="X35" s="204"/>
      <c r="Y35" s="204"/>
      <c r="Z35" s="204"/>
      <c r="AA35" s="204"/>
      <c r="AB35" s="204"/>
      <c r="AC35" s="204"/>
      <c r="AD35" s="204"/>
      <c r="AE35" s="204"/>
      <c r="AF35" s="204"/>
      <c r="AG35" s="204"/>
      <c r="AH35" s="204"/>
    </row>
    <row r="36" spans="7:34">
      <c r="G36" s="204"/>
      <c r="H36" s="204"/>
      <c r="I36" s="204"/>
      <c r="J36" s="204"/>
      <c r="K36" s="204"/>
      <c r="L36" s="204"/>
      <c r="M36" s="204"/>
      <c r="N36" s="204"/>
      <c r="O36" s="204"/>
      <c r="P36" s="204"/>
      <c r="Q36" s="204"/>
      <c r="R36" s="204"/>
      <c r="S36" s="204"/>
      <c r="T36" s="204"/>
      <c r="U36" s="204"/>
      <c r="V36" s="204"/>
      <c r="W36" s="204"/>
      <c r="X36" s="204"/>
      <c r="Y36" s="204"/>
      <c r="Z36" s="204"/>
      <c r="AA36" s="204"/>
      <c r="AB36" s="204"/>
      <c r="AC36" s="204"/>
      <c r="AD36" s="204"/>
      <c r="AE36" s="204"/>
      <c r="AF36" s="204"/>
      <c r="AG36" s="204"/>
      <c r="AH36" s="204"/>
    </row>
    <row r="37" spans="7:34">
      <c r="G37" s="204"/>
      <c r="H37" s="204"/>
      <c r="I37" s="204"/>
      <c r="J37" s="204"/>
      <c r="K37" s="204"/>
      <c r="L37" s="204"/>
      <c r="M37" s="204"/>
      <c r="N37" s="204"/>
      <c r="O37" s="204"/>
      <c r="P37" s="204"/>
      <c r="Q37" s="204"/>
      <c r="R37" s="204"/>
      <c r="S37" s="204"/>
      <c r="T37" s="204"/>
      <c r="U37" s="204"/>
      <c r="V37" s="204"/>
      <c r="W37" s="204"/>
      <c r="X37" s="204"/>
      <c r="Y37" s="204"/>
      <c r="Z37" s="204"/>
      <c r="AA37" s="204"/>
      <c r="AB37" s="204"/>
      <c r="AC37" s="204"/>
      <c r="AD37" s="204"/>
      <c r="AE37" s="204"/>
      <c r="AF37" s="204"/>
      <c r="AG37" s="204"/>
      <c r="AH37" s="204"/>
    </row>
    <row r="38" spans="7:34">
      <c r="G38" s="204"/>
      <c r="H38" s="204"/>
      <c r="I38" s="204"/>
      <c r="J38" s="204"/>
      <c r="K38" s="204"/>
      <c r="L38" s="204"/>
      <c r="M38" s="204"/>
      <c r="N38" s="204"/>
      <c r="O38" s="204"/>
      <c r="P38" s="204"/>
      <c r="Q38" s="204"/>
      <c r="R38" s="204"/>
      <c r="S38" s="204"/>
      <c r="T38" s="204"/>
      <c r="U38" s="204"/>
      <c r="V38" s="204"/>
      <c r="W38" s="204"/>
      <c r="X38" s="204"/>
      <c r="Y38" s="204"/>
      <c r="Z38" s="204"/>
      <c r="AA38" s="204"/>
      <c r="AB38" s="204"/>
      <c r="AC38" s="204"/>
      <c r="AD38" s="204"/>
      <c r="AE38" s="204"/>
      <c r="AF38" s="204"/>
      <c r="AG38" s="204"/>
      <c r="AH38" s="204"/>
    </row>
  </sheetData>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9" customWidth="1"/>
    <col min="2" max="2" width="29.28515625" style="199" customWidth="1"/>
    <col min="3" max="3" width="11.7109375" style="199" customWidth="1"/>
    <col min="4" max="4" width="4.85546875" style="199" customWidth="1"/>
    <col min="5" max="5" width="5.140625" style="199" customWidth="1"/>
    <col min="6" max="6" width="24.28515625" style="199" customWidth="1"/>
    <col min="7" max="7" width="10.140625" style="199" customWidth="1" collapsed="1"/>
    <col min="8" max="9" width="10.42578125" style="199" customWidth="1"/>
    <col min="10" max="10" width="9.140625" style="199" customWidth="1"/>
    <col min="11" max="11" width="9" style="199" customWidth="1"/>
    <col min="12" max="12" width="9.85546875" style="199" customWidth="1"/>
    <col min="13" max="26" width="9.140625" style="199" customWidth="1"/>
    <col min="27" max="27" width="9.28515625" style="199" customWidth="1"/>
    <col min="28" max="28" width="9.42578125" style="199" customWidth="1"/>
    <col min="29" max="29" width="10" style="199" customWidth="1"/>
    <col min="30" max="30" width="11.42578125" style="199" customWidth="1"/>
    <col min="31" max="31" width="9.42578125" style="199" bestFit="1" customWidth="1" collapsed="1"/>
    <col min="32" max="16384" width="9.140625" style="199"/>
  </cols>
  <sheetData>
    <row r="1" spans="1:32" s="198" customFormat="1" ht="15" customHeight="1">
      <c r="B1" s="18" t="s">
        <v>258</v>
      </c>
      <c r="C1" s="197"/>
      <c r="D1" s="197"/>
      <c r="E1" s="197"/>
      <c r="F1" s="197"/>
      <c r="G1" s="197"/>
      <c r="H1" s="197"/>
      <c r="I1" s="197"/>
      <c r="J1" s="197"/>
      <c r="K1" s="197"/>
      <c r="L1" s="197"/>
    </row>
    <row r="2" spans="1:32" ht="12" customHeight="1">
      <c r="C2" s="227"/>
    </row>
    <row r="3" spans="1:32" ht="12" customHeight="1">
      <c r="A3" s="201"/>
      <c r="B3" s="230" t="s">
        <v>285</v>
      </c>
      <c r="C3" s="270">
        <v>0.04</v>
      </c>
      <c r="F3" s="400" t="s">
        <v>289</v>
      </c>
      <c r="G3" s="400"/>
      <c r="H3" s="400"/>
      <c r="I3" s="400"/>
      <c r="J3" s="400"/>
      <c r="K3" s="400"/>
      <c r="L3" s="245"/>
      <c r="M3" s="245"/>
      <c r="N3" s="245"/>
      <c r="O3" s="245"/>
      <c r="P3" s="245"/>
      <c r="Q3" s="245"/>
    </row>
    <row r="4" spans="1:32" ht="12" customHeight="1">
      <c r="A4" s="206"/>
      <c r="B4" s="216" t="s">
        <v>286</v>
      </c>
      <c r="C4" s="96">
        <f>'Future Cashflows (10 Yrs)'!H28</f>
        <v>0.14875764996639693</v>
      </c>
      <c r="F4" s="114" t="s">
        <v>161</v>
      </c>
      <c r="G4" s="96">
        <f>'Risk Free Rate'!C4</f>
        <v>5.722E-2</v>
      </c>
      <c r="H4" s="212"/>
      <c r="I4" s="212"/>
      <c r="J4" s="212"/>
      <c r="K4" s="217"/>
      <c r="L4" s="329"/>
      <c r="M4" s="329"/>
      <c r="N4" s="329"/>
      <c r="O4" s="329"/>
      <c r="P4" s="329"/>
      <c r="Q4" s="200"/>
      <c r="S4" s="203"/>
      <c r="T4" s="203"/>
      <c r="U4" s="203"/>
      <c r="V4" s="203"/>
      <c r="AA4" s="203"/>
    </row>
    <row r="5" spans="1:32" ht="12" customHeight="1">
      <c r="A5" s="206"/>
      <c r="B5" s="220" t="s">
        <v>260</v>
      </c>
      <c r="C5" s="316">
        <f>C3/C4</f>
        <v>0.26889373426533464</v>
      </c>
      <c r="F5" s="114" t="s">
        <v>20</v>
      </c>
      <c r="G5" s="96">
        <f>'Equity Risk Premium'!F28</f>
        <v>3.6515277892807708E-2</v>
      </c>
      <c r="H5" s="212"/>
      <c r="I5" s="212"/>
      <c r="J5" s="212"/>
      <c r="K5" s="217"/>
      <c r="L5" s="50"/>
      <c r="M5" s="50"/>
      <c r="N5" s="50"/>
      <c r="O5" s="50"/>
      <c r="P5" s="50"/>
      <c r="Q5" s="50"/>
      <c r="S5" s="204"/>
      <c r="T5" s="204"/>
      <c r="U5" s="204"/>
      <c r="V5" s="204"/>
      <c r="W5" s="204"/>
      <c r="X5" s="204"/>
      <c r="Y5" s="204"/>
      <c r="Z5" s="204"/>
      <c r="AA5" s="204"/>
      <c r="AB5" s="204"/>
      <c r="AC5" s="204"/>
      <c r="AD5" s="204"/>
      <c r="AE5" s="204"/>
      <c r="AF5" s="204"/>
    </row>
    <row r="6" spans="1:32" ht="12" customHeight="1">
      <c r="A6" s="206"/>
      <c r="B6" s="212"/>
      <c r="C6" s="212"/>
      <c r="F6" s="114" t="s">
        <v>162</v>
      </c>
      <c r="G6" s="179">
        <v>0.91500000000000004</v>
      </c>
      <c r="H6" s="319" t="s">
        <v>291</v>
      </c>
      <c r="I6" s="212"/>
      <c r="J6" s="212"/>
      <c r="K6" s="217"/>
      <c r="L6" s="236"/>
      <c r="M6" s="236"/>
      <c r="N6" s="236"/>
      <c r="O6" s="236"/>
      <c r="P6" s="236"/>
      <c r="Q6" s="236"/>
      <c r="S6" s="204"/>
      <c r="T6" s="204"/>
      <c r="U6" s="204"/>
      <c r="V6" s="204"/>
      <c r="W6" s="204"/>
      <c r="X6" s="204"/>
      <c r="Y6" s="204"/>
      <c r="Z6" s="204"/>
      <c r="AA6" s="204"/>
      <c r="AB6" s="204"/>
      <c r="AC6" s="204"/>
      <c r="AD6" s="204"/>
      <c r="AE6" s="204"/>
      <c r="AF6" s="204"/>
    </row>
    <row r="7" spans="1:32" ht="12" customHeight="1">
      <c r="B7" s="216" t="s">
        <v>287</v>
      </c>
      <c r="C7" s="189">
        <f>('Future Cashflows (10 Yrs)'!$G$14*(1+'Future Cashflows (10 Yrs)'!$H$14))*'Future Cashflows (10 Yrs)'!$I$14</f>
        <v>1959.3356069893193</v>
      </c>
      <c r="F7" s="20"/>
      <c r="G7" s="20"/>
      <c r="H7" s="212"/>
      <c r="I7" s="212"/>
      <c r="J7" s="212"/>
      <c r="K7" s="212"/>
      <c r="N7" s="204"/>
      <c r="O7" s="204"/>
      <c r="P7" s="227"/>
      <c r="Q7" s="236"/>
      <c r="S7" s="204"/>
      <c r="T7" s="204"/>
      <c r="U7" s="204"/>
      <c r="V7" s="204"/>
      <c r="W7" s="204"/>
      <c r="X7" s="204"/>
      <c r="Y7" s="204"/>
      <c r="Z7" s="204"/>
      <c r="AA7" s="204"/>
      <c r="AB7" s="204"/>
      <c r="AC7" s="204"/>
      <c r="AD7" s="204"/>
      <c r="AE7" s="204"/>
      <c r="AF7" s="204"/>
    </row>
    <row r="8" spans="1:32" ht="12" customHeight="1">
      <c r="A8" s="206"/>
      <c r="B8" s="216" t="s">
        <v>288</v>
      </c>
      <c r="C8" s="96">
        <f>'Future Cashflows (10 Yrs)'!N28</f>
        <v>0.25169999999999998</v>
      </c>
      <c r="F8" s="114" t="s">
        <v>17</v>
      </c>
      <c r="G8" s="58">
        <f>G4+G6*G5</f>
        <v>9.0631479271919058E-2</v>
      </c>
      <c r="H8" s="212"/>
      <c r="I8" s="212"/>
      <c r="J8" s="212"/>
      <c r="K8" s="320"/>
      <c r="O8" s="204"/>
      <c r="P8" s="204"/>
      <c r="Q8" s="204"/>
      <c r="R8" s="204"/>
      <c r="S8" s="204"/>
      <c r="T8" s="204"/>
      <c r="U8" s="204"/>
      <c r="V8" s="204"/>
      <c r="W8" s="204"/>
      <c r="X8" s="204"/>
      <c r="Y8" s="204"/>
      <c r="Z8" s="204"/>
      <c r="AA8" s="204"/>
      <c r="AB8" s="204"/>
      <c r="AC8" s="204"/>
      <c r="AD8" s="204"/>
      <c r="AE8" s="204"/>
      <c r="AF8" s="204"/>
    </row>
    <row r="9" spans="1:32" ht="12" customHeight="1">
      <c r="A9" s="206"/>
      <c r="B9" s="220" t="s">
        <v>222</v>
      </c>
      <c r="C9" s="221">
        <f>C7*(1-C8)</f>
        <v>1466.1708347101076</v>
      </c>
      <c r="F9" s="212"/>
      <c r="G9" s="212"/>
      <c r="H9" s="212"/>
      <c r="I9" s="212"/>
      <c r="J9" s="212"/>
      <c r="K9" s="288"/>
      <c r="O9" s="204"/>
      <c r="P9" s="204"/>
      <c r="Q9" s="204"/>
      <c r="R9" s="204"/>
      <c r="S9" s="204"/>
      <c r="T9" s="204"/>
      <c r="U9" s="204"/>
      <c r="V9" s="204"/>
      <c r="W9" s="204"/>
      <c r="X9" s="204"/>
      <c r="Y9" s="204"/>
      <c r="Z9" s="204"/>
      <c r="AA9" s="204"/>
      <c r="AB9" s="204"/>
      <c r="AC9" s="204"/>
      <c r="AD9" s="204"/>
      <c r="AE9" s="204"/>
      <c r="AF9" s="204"/>
    </row>
    <row r="10" spans="1:32">
      <c r="A10" s="202"/>
      <c r="B10" s="216"/>
      <c r="C10" s="324"/>
      <c r="F10" s="114" t="s">
        <v>165</v>
      </c>
      <c r="G10" s="98">
        <v>3.2140000000000002E-2</v>
      </c>
      <c r="H10" s="212"/>
      <c r="I10" s="212"/>
      <c r="J10" s="234"/>
      <c r="K10" s="288"/>
      <c r="O10" s="204"/>
      <c r="P10" s="204"/>
      <c r="Q10" s="204"/>
      <c r="R10" s="204"/>
      <c r="S10" s="204"/>
      <c r="T10" s="204"/>
      <c r="U10" s="204"/>
      <c r="V10" s="204"/>
      <c r="W10" s="204"/>
      <c r="X10" s="204"/>
      <c r="Y10" s="204"/>
      <c r="Z10" s="204"/>
      <c r="AA10" s="204"/>
      <c r="AB10" s="204"/>
      <c r="AC10" s="204"/>
      <c r="AD10" s="204"/>
      <c r="AE10" s="204"/>
      <c r="AF10" s="204"/>
    </row>
    <row r="11" spans="1:32" ht="12.75" customHeight="1">
      <c r="A11" s="206"/>
      <c r="B11" s="216" t="s">
        <v>290</v>
      </c>
      <c r="C11" s="325">
        <f>C9*(1-C5)</f>
        <v>1071.9266838939841</v>
      </c>
      <c r="F11" s="114" t="s">
        <v>164</v>
      </c>
      <c r="G11" s="179">
        <f>17.31/10.75</f>
        <v>1.6102325581395347</v>
      </c>
      <c r="H11" s="212"/>
      <c r="I11" s="212"/>
      <c r="J11" s="237"/>
      <c r="K11" s="288"/>
      <c r="O11" s="204"/>
      <c r="P11" s="204"/>
      <c r="Q11" s="204"/>
      <c r="R11" s="204"/>
      <c r="S11" s="204"/>
      <c r="T11" s="204"/>
      <c r="U11" s="204"/>
      <c r="V11" s="204"/>
      <c r="W11" s="204"/>
      <c r="X11" s="204"/>
      <c r="Y11" s="204"/>
      <c r="Z11" s="204"/>
      <c r="AA11" s="204"/>
      <c r="AB11" s="204"/>
      <c r="AC11" s="204"/>
      <c r="AD11" s="204"/>
      <c r="AE11" s="204"/>
      <c r="AF11" s="204"/>
    </row>
    <row r="12" spans="1:32">
      <c r="B12" s="288"/>
      <c r="C12" s="212"/>
      <c r="F12" s="114" t="s">
        <v>23</v>
      </c>
      <c r="G12" s="96">
        <f>'Risk Free Rate'!C8</f>
        <v>1.8700000000000001E-2</v>
      </c>
      <c r="H12" s="319"/>
      <c r="I12" s="212"/>
      <c r="J12" s="237"/>
      <c r="K12" s="288"/>
      <c r="L12" s="245"/>
      <c r="M12" s="245"/>
      <c r="N12" s="245"/>
      <c r="O12" s="245"/>
      <c r="P12" s="245"/>
      <c r="Q12" s="245"/>
      <c r="R12" s="204"/>
      <c r="S12" s="204"/>
      <c r="T12" s="204"/>
      <c r="U12" s="204"/>
      <c r="V12" s="204"/>
      <c r="W12" s="204"/>
      <c r="X12" s="204"/>
      <c r="Y12" s="204"/>
      <c r="Z12" s="204"/>
      <c r="AA12" s="204"/>
      <c r="AB12" s="204"/>
      <c r="AC12" s="204"/>
      <c r="AD12" s="204"/>
      <c r="AE12" s="204"/>
      <c r="AF12" s="204"/>
    </row>
    <row r="13" spans="1:32" ht="12" customHeight="1">
      <c r="A13" s="206"/>
      <c r="B13" s="54" t="s">
        <v>258</v>
      </c>
      <c r="C13" s="326">
        <f>C11/(G19-C3)</f>
        <v>23141.237860605572</v>
      </c>
      <c r="D13" s="2"/>
      <c r="E13" s="6"/>
      <c r="F13" s="54" t="s">
        <v>166</v>
      </c>
      <c r="G13" s="96">
        <v>6.7000000000000002E-3</v>
      </c>
      <c r="H13" s="319" t="s">
        <v>296</v>
      </c>
      <c r="I13" s="212"/>
      <c r="J13" s="237"/>
      <c r="K13" s="288"/>
      <c r="O13" s="204"/>
      <c r="P13" s="204"/>
      <c r="Q13" s="204"/>
      <c r="R13" s="204"/>
      <c r="S13" s="204"/>
      <c r="T13" s="204"/>
      <c r="U13" s="204"/>
      <c r="V13" s="204"/>
      <c r="W13" s="204"/>
      <c r="X13" s="204"/>
      <c r="Y13" s="204"/>
      <c r="Z13" s="204"/>
      <c r="AA13" s="204"/>
      <c r="AB13" s="204"/>
      <c r="AC13" s="204"/>
      <c r="AD13" s="204"/>
      <c r="AE13" s="204"/>
      <c r="AF13" s="204"/>
    </row>
    <row r="14" spans="1:32">
      <c r="D14" s="2"/>
      <c r="E14" s="6"/>
      <c r="F14" s="32"/>
      <c r="G14" s="20"/>
      <c r="H14" s="212"/>
      <c r="I14" s="212"/>
      <c r="J14" s="237"/>
      <c r="K14" s="288"/>
      <c r="O14" s="204"/>
      <c r="P14" s="204"/>
      <c r="Q14" s="204"/>
      <c r="R14" s="204"/>
      <c r="S14" s="204"/>
      <c r="T14" s="204"/>
      <c r="U14" s="204"/>
      <c r="V14" s="204"/>
      <c r="W14" s="204"/>
      <c r="X14" s="204"/>
      <c r="Y14" s="204"/>
      <c r="Z14" s="204"/>
      <c r="AA14" s="204"/>
      <c r="AB14" s="204"/>
      <c r="AC14" s="204"/>
      <c r="AD14" s="204"/>
      <c r="AE14" s="204"/>
      <c r="AF14" s="204"/>
    </row>
    <row r="15" spans="1:32">
      <c r="D15" s="6"/>
      <c r="E15" s="6"/>
      <c r="F15" s="114" t="s">
        <v>18</v>
      </c>
      <c r="G15" s="58">
        <f>G10+(G11*G12)+G13</f>
        <v>6.8951348837209298E-2</v>
      </c>
      <c r="H15" s="212"/>
      <c r="I15" s="212"/>
      <c r="J15" s="237"/>
      <c r="K15" s="288"/>
      <c r="O15" s="204"/>
      <c r="P15" s="204"/>
      <c r="Q15" s="204"/>
      <c r="R15" s="204"/>
      <c r="S15" s="204"/>
      <c r="T15" s="204"/>
      <c r="U15" s="204"/>
      <c r="V15" s="204"/>
      <c r="W15" s="204"/>
      <c r="X15" s="204"/>
      <c r="Y15" s="204"/>
      <c r="Z15" s="204"/>
      <c r="AA15" s="204"/>
      <c r="AB15" s="204"/>
      <c r="AC15" s="204"/>
      <c r="AD15" s="204"/>
      <c r="AE15" s="204"/>
      <c r="AF15" s="204"/>
    </row>
    <row r="16" spans="1:32">
      <c r="B16" s="25"/>
      <c r="C16" s="80"/>
      <c r="D16" s="26"/>
      <c r="E16" s="6"/>
      <c r="F16" s="212"/>
      <c r="G16" s="212"/>
      <c r="H16" s="212"/>
      <c r="I16" s="212"/>
      <c r="J16" s="237"/>
      <c r="K16" s="288"/>
      <c r="O16" s="204"/>
      <c r="P16" s="204"/>
      <c r="Q16" s="204"/>
      <c r="R16" s="204"/>
      <c r="S16" s="204"/>
      <c r="T16" s="204"/>
      <c r="U16" s="204"/>
      <c r="V16" s="204"/>
      <c r="W16" s="204"/>
      <c r="X16" s="204"/>
      <c r="Y16" s="204"/>
      <c r="Z16" s="204"/>
      <c r="AA16" s="204"/>
      <c r="AB16" s="204"/>
      <c r="AC16" s="204"/>
      <c r="AD16" s="204"/>
      <c r="AE16" s="204"/>
      <c r="AF16" s="204"/>
    </row>
    <row r="17" spans="1:32">
      <c r="B17" s="25"/>
      <c r="C17" s="317"/>
      <c r="D17" s="6"/>
      <c r="E17" s="26"/>
      <c r="F17" s="216" t="s">
        <v>292</v>
      </c>
      <c r="G17" s="22">
        <f>WACC!$C$9/(WACC!$C$6+WACC!$C$9)</f>
        <v>0.11042393078920196</v>
      </c>
      <c r="H17" s="212"/>
      <c r="I17" s="212"/>
      <c r="J17" s="237"/>
      <c r="K17" s="288"/>
      <c r="L17" s="204"/>
      <c r="O17" s="204"/>
      <c r="P17" s="204"/>
      <c r="Q17" s="204"/>
      <c r="R17" s="204"/>
      <c r="S17" s="204"/>
      <c r="T17" s="204"/>
      <c r="U17" s="204"/>
      <c r="V17" s="204"/>
      <c r="W17" s="204"/>
      <c r="X17" s="204"/>
      <c r="Y17" s="204"/>
      <c r="Z17" s="204"/>
      <c r="AA17" s="204"/>
      <c r="AB17" s="204"/>
      <c r="AC17" s="204"/>
      <c r="AD17" s="204"/>
      <c r="AE17" s="204"/>
      <c r="AF17" s="204"/>
    </row>
    <row r="18" spans="1:32">
      <c r="A18" s="206"/>
      <c r="B18" s="3"/>
      <c r="C18" s="3"/>
      <c r="D18" s="6"/>
      <c r="E18" s="6"/>
      <c r="F18" s="216" t="s">
        <v>293</v>
      </c>
      <c r="G18" s="321">
        <f>1-G17</f>
        <v>0.88957606921079801</v>
      </c>
      <c r="H18" s="212"/>
      <c r="I18" s="212"/>
      <c r="J18" s="237"/>
      <c r="K18" s="288"/>
      <c r="L18" s="204"/>
      <c r="M18" s="204"/>
      <c r="N18" s="204"/>
      <c r="O18" s="204"/>
      <c r="P18" s="204"/>
      <c r="Q18" s="204"/>
      <c r="R18" s="204"/>
      <c r="S18" s="204"/>
      <c r="T18" s="204"/>
      <c r="U18" s="204"/>
      <c r="V18" s="204"/>
      <c r="W18" s="204"/>
      <c r="X18" s="204"/>
      <c r="Y18" s="204"/>
      <c r="Z18" s="204"/>
      <c r="AA18" s="204"/>
      <c r="AB18" s="204"/>
      <c r="AC18" s="204"/>
      <c r="AD18" s="204"/>
      <c r="AE18" s="204"/>
      <c r="AF18" s="204"/>
    </row>
    <row r="19" spans="1:32">
      <c r="B19" s="25"/>
      <c r="C19" s="61"/>
      <c r="D19" s="6"/>
      <c r="E19" s="6"/>
      <c r="F19" s="323" t="s">
        <v>294</v>
      </c>
      <c r="G19" s="322">
        <f>(G8*G18)+(G15*(1-C8)*G17)</f>
        <v>8.6321060712088171E-2</v>
      </c>
      <c r="J19" s="243"/>
      <c r="K19" s="204"/>
      <c r="L19" s="204"/>
      <c r="M19" s="204"/>
      <c r="N19" s="204"/>
      <c r="O19" s="204"/>
      <c r="P19" s="204"/>
      <c r="Q19" s="204"/>
      <c r="R19" s="204"/>
      <c r="S19" s="204"/>
      <c r="T19" s="204"/>
      <c r="U19" s="204"/>
      <c r="V19" s="204"/>
      <c r="W19" s="204"/>
      <c r="X19" s="204"/>
      <c r="Y19" s="204"/>
      <c r="Z19" s="204"/>
      <c r="AA19" s="204"/>
      <c r="AB19" s="204"/>
      <c r="AC19" s="204"/>
      <c r="AD19" s="204"/>
      <c r="AE19" s="204"/>
      <c r="AF19" s="204"/>
    </row>
    <row r="20" spans="1:32">
      <c r="A20" s="206"/>
      <c r="B20" s="3"/>
      <c r="C20" s="3"/>
      <c r="D20" s="6"/>
      <c r="E20" s="6"/>
      <c r="L20" s="204"/>
      <c r="M20" s="204"/>
      <c r="N20" s="204"/>
      <c r="O20" s="204"/>
      <c r="P20" s="204"/>
      <c r="Q20" s="204"/>
      <c r="R20" s="204"/>
      <c r="S20" s="204"/>
      <c r="T20" s="204"/>
      <c r="U20" s="204"/>
      <c r="V20" s="204"/>
      <c r="W20" s="204"/>
      <c r="X20" s="204"/>
      <c r="Y20" s="204"/>
      <c r="Z20" s="204"/>
      <c r="AA20" s="204"/>
      <c r="AB20" s="204"/>
      <c r="AC20" s="204"/>
      <c r="AD20" s="204"/>
      <c r="AE20" s="204"/>
      <c r="AF20" s="204"/>
    </row>
    <row r="21" spans="1:32">
      <c r="B21" s="56"/>
      <c r="C21" s="3"/>
      <c r="D21" s="6"/>
      <c r="E21" s="26"/>
      <c r="L21" s="204"/>
      <c r="M21" s="204"/>
      <c r="N21" s="204"/>
      <c r="O21" s="204"/>
      <c r="P21" s="204"/>
      <c r="Q21" s="204"/>
      <c r="R21" s="204"/>
      <c r="S21" s="204"/>
      <c r="T21" s="204"/>
      <c r="U21" s="204"/>
      <c r="V21" s="204"/>
      <c r="W21" s="204"/>
      <c r="X21" s="204"/>
      <c r="Y21" s="204"/>
      <c r="Z21" s="204"/>
      <c r="AA21" s="204"/>
      <c r="AB21" s="204"/>
      <c r="AC21" s="204"/>
      <c r="AD21" s="204"/>
      <c r="AE21" s="204"/>
      <c r="AF21" s="204"/>
    </row>
    <row r="22" spans="1:32">
      <c r="B22" s="2"/>
      <c r="C22" s="2"/>
      <c r="D22" s="2"/>
      <c r="E22" s="2"/>
      <c r="L22" s="204"/>
      <c r="M22" s="204"/>
      <c r="N22" s="204"/>
      <c r="O22" s="204"/>
      <c r="P22" s="204"/>
      <c r="Q22" s="204"/>
      <c r="R22" s="204"/>
      <c r="S22" s="204"/>
      <c r="T22" s="204"/>
      <c r="U22" s="204"/>
      <c r="V22" s="204"/>
      <c r="W22" s="204"/>
      <c r="X22" s="204"/>
      <c r="Y22" s="204"/>
      <c r="Z22" s="204"/>
      <c r="AA22" s="204"/>
      <c r="AB22" s="204"/>
      <c r="AC22" s="204"/>
      <c r="AD22" s="204"/>
      <c r="AE22" s="204"/>
      <c r="AF22" s="204"/>
    </row>
    <row r="23" spans="1:32" ht="12" customHeight="1">
      <c r="B23" s="18"/>
      <c r="C23" s="3"/>
      <c r="D23" s="6"/>
      <c r="E23" s="6"/>
      <c r="L23" s="204"/>
      <c r="M23" s="204"/>
      <c r="N23" s="204"/>
      <c r="O23" s="204"/>
      <c r="P23" s="204"/>
      <c r="Q23" s="204"/>
      <c r="R23" s="204"/>
      <c r="S23" s="204"/>
      <c r="T23" s="204"/>
      <c r="U23" s="204"/>
      <c r="V23" s="204"/>
      <c r="W23" s="204"/>
      <c r="X23" s="204"/>
      <c r="Y23" s="204"/>
      <c r="Z23" s="204"/>
      <c r="AA23" s="204"/>
      <c r="AB23" s="204"/>
      <c r="AC23" s="204"/>
      <c r="AD23" s="204"/>
      <c r="AE23" s="204"/>
      <c r="AF23" s="204"/>
    </row>
    <row r="24" spans="1:32">
      <c r="B24" s="3"/>
      <c r="C24" s="3"/>
      <c r="D24" s="6"/>
      <c r="E24" s="6"/>
      <c r="L24" s="204"/>
      <c r="M24" s="204"/>
      <c r="N24" s="204"/>
      <c r="O24" s="204"/>
      <c r="P24" s="204"/>
      <c r="Q24" s="204"/>
      <c r="R24" s="204"/>
      <c r="S24" s="204"/>
      <c r="T24" s="204"/>
      <c r="U24" s="204"/>
      <c r="V24" s="204"/>
      <c r="W24" s="204"/>
      <c r="X24" s="204"/>
      <c r="Y24" s="204"/>
      <c r="Z24" s="204"/>
      <c r="AA24" s="204"/>
      <c r="AB24" s="204"/>
      <c r="AC24" s="204"/>
      <c r="AD24" s="204"/>
      <c r="AE24" s="204"/>
      <c r="AF24" s="204"/>
    </row>
    <row r="25" spans="1:32">
      <c r="D25" s="6"/>
      <c r="E25" s="6"/>
      <c r="L25" s="204"/>
      <c r="M25" s="204"/>
      <c r="N25" s="204"/>
      <c r="O25" s="204"/>
      <c r="P25" s="204"/>
      <c r="Q25" s="204"/>
      <c r="R25" s="204"/>
      <c r="S25" s="204"/>
      <c r="T25" s="204"/>
      <c r="U25" s="204"/>
      <c r="V25" s="204"/>
      <c r="W25" s="204"/>
      <c r="X25" s="204"/>
      <c r="Y25" s="204"/>
      <c r="Z25" s="204"/>
      <c r="AA25" s="204"/>
      <c r="AB25" s="204"/>
      <c r="AC25" s="204"/>
      <c r="AD25" s="204"/>
      <c r="AE25" s="204"/>
      <c r="AF25" s="204"/>
    </row>
    <row r="26" spans="1:32">
      <c r="D26" s="6"/>
      <c r="E26" s="6"/>
      <c r="L26" s="204"/>
      <c r="M26" s="204"/>
      <c r="N26" s="204"/>
      <c r="O26" s="204"/>
      <c r="P26" s="204"/>
      <c r="Q26" s="204"/>
      <c r="R26" s="204"/>
      <c r="S26" s="204"/>
      <c r="T26" s="204"/>
      <c r="U26" s="204"/>
      <c r="V26" s="204"/>
      <c r="W26" s="204"/>
      <c r="X26" s="204"/>
      <c r="Y26" s="204"/>
      <c r="Z26" s="204"/>
      <c r="AA26" s="204"/>
      <c r="AB26" s="204"/>
      <c r="AC26" s="204"/>
      <c r="AD26" s="204"/>
      <c r="AE26" s="204"/>
      <c r="AF26" s="204"/>
    </row>
    <row r="27" spans="1:32">
      <c r="D27" s="26"/>
      <c r="E27" s="26"/>
      <c r="L27" s="204"/>
      <c r="M27" s="204"/>
      <c r="N27" s="204"/>
      <c r="O27" s="204"/>
      <c r="P27" s="204"/>
      <c r="Q27" s="204"/>
      <c r="R27" s="204"/>
      <c r="S27" s="204"/>
      <c r="T27" s="204"/>
      <c r="U27" s="204"/>
      <c r="V27" s="204"/>
      <c r="W27" s="204"/>
      <c r="X27" s="204"/>
      <c r="Y27" s="204"/>
      <c r="Z27" s="204"/>
      <c r="AA27" s="204"/>
      <c r="AB27" s="204"/>
      <c r="AC27" s="204"/>
      <c r="AD27" s="204"/>
      <c r="AE27" s="204"/>
      <c r="AF27" s="204"/>
    </row>
    <row r="28" spans="1:32">
      <c r="D28" s="6"/>
      <c r="E28" s="6"/>
      <c r="L28" s="204"/>
      <c r="M28" s="204"/>
      <c r="N28" s="204"/>
      <c r="O28" s="204"/>
      <c r="P28" s="204"/>
      <c r="Q28" s="204"/>
      <c r="R28" s="204"/>
      <c r="S28" s="204"/>
      <c r="T28" s="204"/>
      <c r="U28" s="204"/>
      <c r="V28" s="204"/>
      <c r="W28" s="204"/>
      <c r="X28" s="204"/>
      <c r="Y28" s="204"/>
      <c r="Z28" s="204"/>
      <c r="AA28" s="204"/>
      <c r="AB28" s="204"/>
      <c r="AC28" s="204"/>
      <c r="AD28" s="204"/>
      <c r="AE28" s="204"/>
      <c r="AF28" s="204"/>
    </row>
    <row r="29" spans="1:32">
      <c r="D29" s="6"/>
      <c r="E29" s="6"/>
      <c r="K29" s="204"/>
      <c r="L29" s="204"/>
      <c r="M29" s="204"/>
      <c r="N29" s="204"/>
      <c r="O29" s="204"/>
      <c r="P29" s="204"/>
      <c r="Q29" s="204"/>
      <c r="R29" s="204"/>
      <c r="S29" s="204"/>
      <c r="T29" s="204"/>
      <c r="U29" s="204"/>
      <c r="V29" s="204"/>
      <c r="W29" s="204"/>
      <c r="X29" s="204"/>
      <c r="Y29" s="204"/>
      <c r="Z29" s="204"/>
      <c r="AA29" s="204"/>
      <c r="AB29" s="204"/>
      <c r="AC29" s="204"/>
      <c r="AD29" s="204"/>
      <c r="AE29" s="204"/>
      <c r="AF29" s="204"/>
    </row>
    <row r="30" spans="1:32" ht="14.25" customHeight="1">
      <c r="D30" s="6"/>
      <c r="E30" s="6"/>
      <c r="K30" s="204"/>
      <c r="L30" s="204"/>
      <c r="M30" s="204"/>
      <c r="N30" s="204"/>
      <c r="O30" s="204"/>
      <c r="P30" s="204"/>
      <c r="Q30" s="204"/>
      <c r="R30" s="204"/>
      <c r="S30" s="204"/>
      <c r="T30" s="204"/>
      <c r="U30" s="204"/>
      <c r="V30" s="204"/>
      <c r="W30" s="204"/>
      <c r="X30" s="204"/>
      <c r="Y30" s="204"/>
      <c r="Z30" s="204"/>
      <c r="AA30" s="204"/>
      <c r="AB30" s="204"/>
      <c r="AC30" s="204"/>
      <c r="AD30" s="204"/>
      <c r="AE30" s="204"/>
      <c r="AF30" s="204"/>
    </row>
    <row r="31" spans="1:32">
      <c r="B31" s="114"/>
      <c r="C31" s="114"/>
      <c r="D31" s="26"/>
      <c r="E31" s="26"/>
      <c r="G31" s="204"/>
      <c r="H31" s="204"/>
      <c r="I31" s="204"/>
      <c r="J31" s="204"/>
      <c r="K31" s="204"/>
      <c r="L31" s="204"/>
      <c r="M31" s="204"/>
      <c r="N31" s="204"/>
      <c r="O31" s="204"/>
      <c r="P31" s="204"/>
      <c r="Q31" s="204"/>
      <c r="R31" s="204"/>
      <c r="S31" s="204"/>
      <c r="T31" s="204"/>
      <c r="U31" s="204"/>
      <c r="V31" s="204"/>
      <c r="W31" s="204"/>
      <c r="X31" s="204"/>
      <c r="Y31" s="204"/>
      <c r="Z31" s="204"/>
      <c r="AA31" s="204"/>
      <c r="AB31" s="204"/>
      <c r="AC31" s="204"/>
      <c r="AD31" s="204"/>
      <c r="AE31" s="204"/>
      <c r="AF31" s="204"/>
    </row>
    <row r="32" spans="1:32">
      <c r="B32" s="181"/>
      <c r="C32" s="20"/>
      <c r="D32" s="3"/>
      <c r="E32" s="3"/>
      <c r="G32" s="204"/>
      <c r="H32" s="204"/>
      <c r="I32" s="204"/>
      <c r="J32" s="204"/>
      <c r="K32" s="204"/>
      <c r="L32" s="204"/>
      <c r="M32" s="204"/>
      <c r="N32" s="204"/>
      <c r="O32" s="204"/>
      <c r="P32" s="204"/>
      <c r="Q32" s="204"/>
      <c r="R32" s="204"/>
      <c r="S32" s="204"/>
      <c r="T32" s="204"/>
      <c r="U32" s="204"/>
      <c r="V32" s="204"/>
      <c r="W32" s="204"/>
      <c r="X32" s="204"/>
      <c r="Y32" s="204"/>
      <c r="Z32" s="204"/>
      <c r="AA32" s="204"/>
      <c r="AB32" s="204"/>
      <c r="AC32" s="204"/>
      <c r="AD32" s="204"/>
      <c r="AE32" s="204"/>
      <c r="AF32" s="204"/>
    </row>
    <row r="33" spans="7:32">
      <c r="G33" s="204"/>
      <c r="H33" s="204"/>
      <c r="I33" s="204"/>
      <c r="J33" s="204"/>
      <c r="K33" s="204"/>
      <c r="L33" s="204"/>
      <c r="M33" s="204"/>
      <c r="N33" s="204"/>
      <c r="O33" s="204"/>
      <c r="P33" s="204"/>
      <c r="Q33" s="204"/>
      <c r="R33" s="204"/>
      <c r="S33" s="204"/>
      <c r="T33" s="204"/>
      <c r="U33" s="204"/>
      <c r="V33" s="204"/>
      <c r="W33" s="204"/>
      <c r="X33" s="204"/>
      <c r="Y33" s="204"/>
      <c r="Z33" s="204"/>
      <c r="AA33" s="204"/>
      <c r="AB33" s="204"/>
      <c r="AC33" s="204"/>
      <c r="AD33" s="204"/>
      <c r="AE33" s="204"/>
      <c r="AF33" s="204"/>
    </row>
    <row r="34" spans="7:32">
      <c r="G34" s="204"/>
      <c r="H34" s="204"/>
      <c r="I34" s="204"/>
      <c r="J34" s="204"/>
      <c r="K34" s="204"/>
      <c r="L34" s="204"/>
      <c r="M34" s="204"/>
      <c r="N34" s="204"/>
      <c r="O34" s="204"/>
      <c r="P34" s="204"/>
      <c r="Q34" s="204"/>
      <c r="R34" s="204"/>
      <c r="S34" s="204"/>
      <c r="T34" s="204"/>
      <c r="U34" s="204"/>
      <c r="V34" s="204"/>
      <c r="W34" s="204"/>
      <c r="X34" s="204"/>
      <c r="Y34" s="204"/>
      <c r="Z34" s="204"/>
      <c r="AA34" s="204"/>
      <c r="AB34" s="204"/>
      <c r="AC34" s="204"/>
      <c r="AD34" s="204"/>
      <c r="AE34" s="204"/>
      <c r="AF34" s="204"/>
    </row>
    <row r="35" spans="7:32">
      <c r="G35" s="204"/>
      <c r="H35" s="204"/>
      <c r="I35" s="204"/>
      <c r="J35" s="204"/>
      <c r="K35" s="204"/>
      <c r="L35" s="204"/>
      <c r="M35" s="204"/>
      <c r="N35" s="204"/>
      <c r="O35" s="204"/>
      <c r="P35" s="204"/>
      <c r="Q35" s="204"/>
      <c r="R35" s="204"/>
      <c r="S35" s="204"/>
      <c r="T35" s="204"/>
      <c r="U35" s="204"/>
      <c r="V35" s="204"/>
      <c r="W35" s="204"/>
      <c r="X35" s="204"/>
      <c r="Y35" s="204"/>
      <c r="Z35" s="204"/>
      <c r="AA35" s="204"/>
      <c r="AB35" s="204"/>
      <c r="AC35" s="204"/>
      <c r="AD35" s="204"/>
      <c r="AE35" s="204"/>
      <c r="AF35" s="204"/>
    </row>
    <row r="36" spans="7:32">
      <c r="G36" s="204"/>
      <c r="H36" s="204"/>
      <c r="I36" s="204"/>
      <c r="J36" s="204"/>
      <c r="K36" s="204"/>
      <c r="L36" s="204"/>
      <c r="M36" s="204"/>
      <c r="N36" s="204"/>
      <c r="O36" s="204"/>
      <c r="P36" s="204"/>
      <c r="Q36" s="204"/>
      <c r="R36" s="204"/>
      <c r="S36" s="204"/>
      <c r="T36" s="204"/>
      <c r="U36" s="204"/>
      <c r="V36" s="204"/>
      <c r="W36" s="204"/>
      <c r="X36" s="204"/>
      <c r="Y36" s="204"/>
      <c r="Z36" s="204"/>
      <c r="AA36" s="204"/>
      <c r="AB36" s="204"/>
      <c r="AC36" s="204"/>
      <c r="AD36" s="204"/>
      <c r="AE36" s="204"/>
      <c r="AF36" s="204"/>
    </row>
    <row r="37" spans="7:32">
      <c r="G37" s="204"/>
      <c r="H37" s="204"/>
      <c r="I37" s="204"/>
      <c r="J37" s="204"/>
      <c r="K37" s="204"/>
      <c r="L37" s="204"/>
      <c r="M37" s="204"/>
      <c r="N37" s="204"/>
      <c r="O37" s="204"/>
      <c r="P37" s="204"/>
      <c r="Q37" s="204"/>
      <c r="R37" s="204"/>
      <c r="S37" s="204"/>
      <c r="T37" s="204"/>
      <c r="U37" s="204"/>
      <c r="V37" s="204"/>
      <c r="W37" s="204"/>
      <c r="X37" s="204"/>
      <c r="Y37" s="204"/>
      <c r="Z37" s="204"/>
      <c r="AA37" s="204"/>
      <c r="AB37" s="204"/>
      <c r="AC37" s="204"/>
      <c r="AD37" s="204"/>
      <c r="AE37" s="204"/>
      <c r="AF37" s="204"/>
    </row>
    <row r="38" spans="7:32">
      <c r="G38" s="204"/>
      <c r="H38" s="204"/>
      <c r="I38" s="204"/>
      <c r="J38" s="204"/>
      <c r="K38" s="204"/>
      <c r="L38" s="204"/>
      <c r="M38" s="204"/>
      <c r="N38" s="204"/>
      <c r="O38" s="204"/>
      <c r="P38" s="204"/>
      <c r="Q38" s="204"/>
      <c r="R38" s="204"/>
      <c r="S38" s="204"/>
      <c r="T38" s="204"/>
      <c r="U38" s="204"/>
      <c r="V38" s="204"/>
      <c r="W38" s="204"/>
      <c r="X38" s="204"/>
      <c r="Y38" s="204"/>
      <c r="Z38" s="204"/>
      <c r="AA38" s="204"/>
      <c r="AB38" s="204"/>
      <c r="AC38" s="204"/>
      <c r="AD38" s="204"/>
      <c r="AE38" s="204"/>
      <c r="AF38" s="204"/>
    </row>
  </sheetData>
  <mergeCells count="1">
    <mergeCell ref="F3:K3"/>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9" t="s">
        <v>367</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9" customWidth="1"/>
    <col min="2" max="2" width="38.42578125" style="199" customWidth="1"/>
    <col min="3" max="3" width="13" style="199" customWidth="1"/>
    <col min="4" max="4" width="4.28515625" style="199" customWidth="1"/>
    <col min="5" max="5" width="10.7109375" style="199" customWidth="1"/>
    <col min="6" max="6" width="16.85546875" style="199" customWidth="1"/>
    <col min="7" max="7" width="10.140625" style="199" customWidth="1" collapsed="1"/>
    <col min="8" max="9" width="10.42578125" style="199" customWidth="1"/>
    <col min="10" max="10" width="9.140625" style="199" customWidth="1"/>
    <col min="11" max="11" width="9" style="199" customWidth="1"/>
    <col min="12" max="12" width="9.85546875" style="199" customWidth="1"/>
    <col min="13" max="26" width="9.140625" style="199" customWidth="1"/>
    <col min="27" max="27" width="9.28515625" style="199" customWidth="1"/>
    <col min="28" max="28" width="9.42578125" style="199" customWidth="1"/>
    <col min="29" max="29" width="10" style="199" customWidth="1"/>
    <col min="30" max="30" width="11.42578125" style="199" customWidth="1"/>
    <col min="31" max="31" width="9.42578125" style="199" bestFit="1" customWidth="1" collapsed="1"/>
    <col min="32" max="16384" width="9.140625" style="199"/>
  </cols>
  <sheetData>
    <row r="1" spans="1:32" s="198" customFormat="1" ht="15" customHeight="1">
      <c r="B1" s="18" t="s">
        <v>316</v>
      </c>
      <c r="C1" s="197"/>
      <c r="D1" s="197"/>
      <c r="E1" s="197"/>
      <c r="F1" s="197"/>
      <c r="G1" s="197"/>
      <c r="H1" s="197"/>
      <c r="I1" s="197"/>
      <c r="J1" s="197"/>
      <c r="K1" s="197"/>
      <c r="L1" s="197"/>
    </row>
    <row r="2" spans="1:32" ht="12" customHeight="1">
      <c r="C2" s="227"/>
    </row>
    <row r="3" spans="1:32" ht="12" customHeight="1">
      <c r="A3" s="201"/>
      <c r="B3" s="212"/>
      <c r="C3" s="340" t="s">
        <v>180</v>
      </c>
      <c r="D3" s="328"/>
      <c r="E3" s="208"/>
      <c r="F3" s="200"/>
      <c r="G3" s="245"/>
      <c r="H3" s="245"/>
      <c r="I3" s="245"/>
      <c r="J3" s="245"/>
      <c r="K3" s="245"/>
      <c r="L3" s="245"/>
      <c r="M3" s="245"/>
      <c r="N3" s="245"/>
      <c r="O3" s="245"/>
      <c r="P3" s="245"/>
      <c r="Q3" s="245"/>
    </row>
    <row r="4" spans="1:32" ht="12" customHeight="1">
      <c r="A4" s="206"/>
      <c r="B4" s="216" t="s">
        <v>320</v>
      </c>
      <c r="C4" s="338">
        <v>82.16</v>
      </c>
      <c r="D4" s="333"/>
      <c r="E4" s="335"/>
      <c r="F4" s="334"/>
      <c r="G4" s="329"/>
      <c r="H4" s="329"/>
      <c r="I4" s="329"/>
      <c r="J4" s="329"/>
      <c r="K4" s="329"/>
      <c r="L4" s="329"/>
      <c r="M4" s="329"/>
      <c r="N4" s="329"/>
      <c r="O4" s="329"/>
      <c r="P4" s="329"/>
      <c r="Q4" s="200"/>
      <c r="S4" s="203"/>
      <c r="T4" s="203"/>
      <c r="U4" s="203"/>
      <c r="V4" s="203"/>
      <c r="AA4" s="203"/>
    </row>
    <row r="5" spans="1:32" ht="12" customHeight="1">
      <c r="A5" s="206"/>
      <c r="B5" s="216" t="s">
        <v>321</v>
      </c>
      <c r="C5" s="338">
        <f>4.21</f>
        <v>4.21</v>
      </c>
      <c r="D5" s="333"/>
      <c r="E5" s="333"/>
      <c r="F5" s="333"/>
      <c r="G5" s="50"/>
      <c r="H5" s="50"/>
      <c r="I5" s="50"/>
      <c r="J5" s="236"/>
      <c r="K5" s="50"/>
      <c r="L5" s="50"/>
      <c r="M5" s="50"/>
      <c r="N5" s="50"/>
      <c r="O5" s="50"/>
      <c r="P5" s="50"/>
      <c r="Q5" s="50"/>
      <c r="S5" s="204"/>
      <c r="T5" s="204"/>
      <c r="U5" s="204"/>
      <c r="V5" s="204"/>
      <c r="W5" s="204"/>
      <c r="X5" s="204"/>
      <c r="Y5" s="204"/>
      <c r="Z5" s="204"/>
      <c r="AA5" s="204"/>
      <c r="AB5" s="204"/>
      <c r="AC5" s="204"/>
      <c r="AD5" s="204"/>
      <c r="AE5" s="204"/>
      <c r="AF5" s="204"/>
    </row>
    <row r="6" spans="1:32" ht="12" customHeight="1">
      <c r="A6" s="206"/>
      <c r="B6" s="220" t="s">
        <v>322</v>
      </c>
      <c r="C6" s="221">
        <f>C4+C5</f>
        <v>86.36999999999999</v>
      </c>
      <c r="D6" s="333"/>
      <c r="E6" s="333"/>
      <c r="F6" s="333"/>
      <c r="G6" s="236"/>
      <c r="H6" s="236"/>
      <c r="I6" s="236"/>
      <c r="J6" s="236"/>
      <c r="K6" s="236"/>
      <c r="L6" s="236"/>
      <c r="M6" s="236"/>
      <c r="N6" s="236"/>
      <c r="O6" s="236"/>
      <c r="P6" s="236"/>
      <c r="Q6" s="236"/>
      <c r="S6" s="204"/>
      <c r="T6" s="204"/>
      <c r="U6" s="204"/>
      <c r="V6" s="204"/>
      <c r="W6" s="204"/>
      <c r="X6" s="204"/>
      <c r="Y6" s="204"/>
      <c r="Z6" s="204"/>
      <c r="AA6" s="204"/>
      <c r="AB6" s="204"/>
      <c r="AC6" s="204"/>
      <c r="AD6" s="204"/>
      <c r="AE6" s="204"/>
      <c r="AF6" s="204"/>
    </row>
    <row r="7" spans="1:32" ht="12" customHeight="1">
      <c r="B7" s="216"/>
      <c r="C7" s="336"/>
      <c r="D7" s="333"/>
      <c r="E7" s="333"/>
      <c r="F7" s="333"/>
      <c r="G7" s="236"/>
      <c r="I7" s="202"/>
      <c r="J7" s="228"/>
      <c r="N7" s="204"/>
      <c r="O7" s="204"/>
      <c r="P7" s="227"/>
      <c r="Q7" s="236"/>
      <c r="S7" s="204"/>
      <c r="T7" s="204"/>
      <c r="U7" s="204"/>
      <c r="V7" s="204"/>
      <c r="W7" s="204"/>
      <c r="X7" s="204"/>
      <c r="Y7" s="204"/>
      <c r="Z7" s="204"/>
      <c r="AA7" s="204"/>
      <c r="AB7" s="204"/>
      <c r="AC7" s="204"/>
      <c r="AD7" s="204"/>
      <c r="AE7" s="204"/>
      <c r="AF7" s="204"/>
    </row>
    <row r="8" spans="1:32" ht="12" customHeight="1">
      <c r="A8" s="206"/>
      <c r="B8" s="315" t="s">
        <v>318</v>
      </c>
      <c r="C8" s="338">
        <v>478.09</v>
      </c>
      <c r="D8" s="333"/>
      <c r="E8" s="333"/>
      <c r="F8" s="333"/>
      <c r="G8" s="313"/>
      <c r="H8" s="236"/>
      <c r="J8" s="307"/>
      <c r="K8" s="308"/>
      <c r="O8" s="204"/>
      <c r="P8" s="204"/>
      <c r="Q8" s="204"/>
      <c r="R8" s="204"/>
      <c r="S8" s="204"/>
      <c r="T8" s="204"/>
      <c r="U8" s="204"/>
      <c r="V8" s="204"/>
      <c r="W8" s="204"/>
      <c r="X8" s="204"/>
      <c r="Y8" s="204"/>
      <c r="Z8" s="204"/>
      <c r="AA8" s="204"/>
      <c r="AB8" s="204"/>
      <c r="AC8" s="204"/>
      <c r="AD8" s="204"/>
      <c r="AE8" s="204"/>
      <c r="AF8" s="204"/>
    </row>
    <row r="9" spans="1:32" ht="12" customHeight="1">
      <c r="A9" s="206"/>
      <c r="B9" s="216" t="s">
        <v>319</v>
      </c>
      <c r="C9" s="338">
        <v>48.24</v>
      </c>
      <c r="D9" s="333"/>
      <c r="E9" s="333"/>
      <c r="F9" s="333"/>
      <c r="G9" s="313"/>
      <c r="H9" s="236"/>
      <c r="J9" s="202"/>
      <c r="K9" s="228"/>
      <c r="O9" s="204"/>
      <c r="P9" s="204"/>
      <c r="Q9" s="204"/>
      <c r="R9" s="204"/>
      <c r="S9" s="204"/>
      <c r="T9" s="204"/>
      <c r="U9" s="204"/>
      <c r="V9" s="204"/>
      <c r="W9" s="204"/>
      <c r="X9" s="204"/>
      <c r="Y9" s="204"/>
      <c r="Z9" s="204"/>
      <c r="AA9" s="204"/>
      <c r="AB9" s="204"/>
      <c r="AC9" s="204"/>
      <c r="AD9" s="204"/>
      <c r="AE9" s="204"/>
      <c r="AF9" s="204"/>
    </row>
    <row r="10" spans="1:32">
      <c r="A10" s="202"/>
      <c r="B10" s="337" t="s">
        <v>317</v>
      </c>
      <c r="C10" s="339">
        <f>C8+C9</f>
        <v>526.32999999999993</v>
      </c>
      <c r="D10" s="333"/>
      <c r="E10" s="333"/>
      <c r="F10" s="333"/>
      <c r="G10" s="245"/>
      <c r="H10" s="245"/>
      <c r="I10" s="245"/>
      <c r="J10" s="245"/>
      <c r="K10" s="245"/>
      <c r="O10" s="204"/>
      <c r="P10" s="204"/>
      <c r="Q10" s="204"/>
      <c r="R10" s="204"/>
      <c r="S10" s="204"/>
      <c r="T10" s="204"/>
      <c r="U10" s="204"/>
      <c r="V10" s="204"/>
      <c r="W10" s="204"/>
      <c r="X10" s="204"/>
      <c r="Y10" s="204"/>
      <c r="Z10" s="204"/>
      <c r="AA10" s="204"/>
      <c r="AB10" s="204"/>
      <c r="AC10" s="204"/>
      <c r="AD10" s="204"/>
      <c r="AE10" s="204"/>
      <c r="AF10" s="204"/>
    </row>
    <row r="11" spans="1:32" ht="12.75" customHeight="1">
      <c r="A11" s="206"/>
      <c r="D11" s="333"/>
      <c r="E11" s="333"/>
      <c r="F11" s="333"/>
      <c r="G11" s="80"/>
      <c r="K11" s="228"/>
      <c r="O11" s="204"/>
      <c r="P11" s="204"/>
      <c r="Q11" s="204"/>
      <c r="R11" s="204"/>
      <c r="S11" s="204"/>
      <c r="T11" s="204"/>
      <c r="U11" s="204"/>
      <c r="V11" s="204"/>
      <c r="W11" s="204"/>
      <c r="X11" s="204"/>
      <c r="Y11" s="204"/>
      <c r="Z11" s="204"/>
      <c r="AA11" s="204"/>
      <c r="AB11" s="204"/>
      <c r="AC11" s="204"/>
      <c r="AD11" s="204"/>
      <c r="AE11" s="204"/>
      <c r="AF11" s="204"/>
    </row>
    <row r="12" spans="1:32">
      <c r="B12" s="216" t="s">
        <v>323</v>
      </c>
      <c r="C12" s="265">
        <f>'Expected Growth Rate'!C4</f>
        <v>8.9392126313838249E-2</v>
      </c>
      <c r="D12" s="333"/>
      <c r="E12" s="333"/>
      <c r="F12" s="333"/>
      <c r="G12" s="80"/>
      <c r="K12" s="228"/>
      <c r="L12" s="245"/>
      <c r="M12" s="245"/>
      <c r="N12" s="245"/>
      <c r="O12" s="245"/>
      <c r="P12" s="245"/>
      <c r="Q12" s="245"/>
      <c r="R12" s="204"/>
      <c r="S12" s="204"/>
      <c r="T12" s="204"/>
      <c r="U12" s="204"/>
      <c r="V12" s="204"/>
      <c r="W12" s="204"/>
      <c r="X12" s="204"/>
      <c r="Y12" s="204"/>
      <c r="Z12" s="204"/>
      <c r="AA12" s="204"/>
      <c r="AB12" s="204"/>
      <c r="AC12" s="204"/>
      <c r="AD12" s="204"/>
      <c r="AE12" s="204"/>
      <c r="AF12" s="204"/>
    </row>
    <row r="13" spans="1:32" ht="12" customHeight="1">
      <c r="A13" s="206"/>
      <c r="B13" s="216" t="s">
        <v>16</v>
      </c>
      <c r="C13" s="265">
        <f>WACC!C14</f>
        <v>0.11076149116410908</v>
      </c>
      <c r="D13" s="333"/>
      <c r="E13" s="333"/>
      <c r="F13" s="333"/>
      <c r="G13" s="317"/>
      <c r="H13" s="207"/>
      <c r="K13" s="228"/>
      <c r="O13" s="204"/>
      <c r="P13" s="204"/>
      <c r="Q13" s="204"/>
      <c r="R13" s="204"/>
      <c r="S13" s="204"/>
      <c r="T13" s="204"/>
      <c r="U13" s="204"/>
      <c r="V13" s="204"/>
      <c r="W13" s="204"/>
      <c r="X13" s="204"/>
      <c r="Y13" s="204"/>
      <c r="Z13" s="204"/>
      <c r="AA13" s="204"/>
      <c r="AB13" s="204"/>
      <c r="AC13" s="204"/>
      <c r="AD13" s="204"/>
      <c r="AE13" s="204"/>
      <c r="AF13" s="204"/>
    </row>
    <row r="14" spans="1:32">
      <c r="B14" s="220" t="s">
        <v>325</v>
      </c>
      <c r="C14" s="341">
        <f>C13-C12</f>
        <v>2.1369364850270828E-2</v>
      </c>
      <c r="D14" s="333"/>
      <c r="E14" s="333"/>
      <c r="F14" s="333"/>
      <c r="G14" s="3"/>
      <c r="O14" s="204"/>
      <c r="P14" s="204"/>
      <c r="Q14" s="204"/>
      <c r="R14" s="204"/>
      <c r="S14" s="204"/>
      <c r="T14" s="204"/>
      <c r="U14" s="204"/>
      <c r="V14" s="204"/>
      <c r="W14" s="204"/>
      <c r="X14" s="204"/>
      <c r="Y14" s="204"/>
      <c r="Z14" s="204"/>
      <c r="AA14" s="204"/>
      <c r="AB14" s="204"/>
      <c r="AC14" s="204"/>
      <c r="AD14" s="204"/>
      <c r="AE14" s="204"/>
      <c r="AF14" s="204"/>
    </row>
    <row r="15" spans="1:32">
      <c r="D15" s="333"/>
      <c r="E15" s="333"/>
      <c r="F15" s="333"/>
      <c r="G15" s="61"/>
      <c r="K15" s="309"/>
      <c r="O15" s="204"/>
      <c r="P15" s="204"/>
      <c r="Q15" s="204"/>
      <c r="R15" s="204"/>
      <c r="S15" s="204"/>
      <c r="T15" s="204"/>
      <c r="U15" s="204"/>
      <c r="V15" s="204"/>
      <c r="W15" s="204"/>
      <c r="X15" s="204"/>
      <c r="Y15" s="204"/>
      <c r="Z15" s="204"/>
      <c r="AA15" s="204"/>
      <c r="AB15" s="204"/>
      <c r="AC15" s="204"/>
      <c r="AD15" s="204"/>
      <c r="AE15" s="204"/>
      <c r="AF15" s="204"/>
    </row>
    <row r="16" spans="1:32">
      <c r="B16" s="216" t="s">
        <v>324</v>
      </c>
      <c r="C16" s="225">
        <f>(C6+C10)*(1-C14)</f>
        <v>599.60699015623902</v>
      </c>
      <c r="D16" s="333"/>
      <c r="E16" s="333"/>
      <c r="F16" s="333"/>
      <c r="K16" s="204"/>
      <c r="O16" s="204"/>
      <c r="P16" s="204"/>
      <c r="Q16" s="204"/>
      <c r="R16" s="204"/>
      <c r="S16" s="204"/>
      <c r="T16" s="204"/>
      <c r="U16" s="204"/>
      <c r="V16" s="204"/>
      <c r="W16" s="204"/>
      <c r="X16" s="204"/>
      <c r="Y16" s="204"/>
      <c r="Z16" s="204"/>
      <c r="AA16" s="204"/>
      <c r="AB16" s="204"/>
      <c r="AC16" s="204"/>
      <c r="AD16" s="204"/>
      <c r="AE16" s="204"/>
      <c r="AF16" s="204"/>
    </row>
    <row r="17" spans="1:32">
      <c r="D17" s="333"/>
      <c r="E17" s="333"/>
      <c r="F17" s="333"/>
      <c r="G17" s="87"/>
      <c r="J17" s="208"/>
      <c r="K17" s="204"/>
      <c r="L17" s="204"/>
      <c r="O17" s="204"/>
      <c r="P17" s="204"/>
      <c r="Q17" s="204"/>
      <c r="R17" s="204"/>
      <c r="S17" s="204"/>
      <c r="T17" s="204"/>
      <c r="U17" s="204"/>
      <c r="V17" s="204"/>
      <c r="W17" s="204"/>
      <c r="X17" s="204"/>
      <c r="Y17" s="204"/>
      <c r="Z17" s="204"/>
      <c r="AA17" s="204"/>
      <c r="AB17" s="204"/>
      <c r="AC17" s="204"/>
      <c r="AD17" s="204"/>
      <c r="AE17" s="204"/>
      <c r="AF17" s="204"/>
    </row>
    <row r="18" spans="1:32">
      <c r="A18" s="206"/>
      <c r="B18" s="202"/>
      <c r="C18" s="333"/>
      <c r="D18" s="333"/>
      <c r="E18" s="333"/>
      <c r="F18" s="333"/>
      <c r="G18" s="317"/>
      <c r="J18" s="236"/>
      <c r="K18" s="204"/>
      <c r="L18" s="204"/>
      <c r="M18" s="204"/>
      <c r="N18" s="204"/>
      <c r="O18" s="204"/>
      <c r="P18" s="204"/>
      <c r="Q18" s="204"/>
      <c r="R18" s="204"/>
      <c r="S18" s="204"/>
      <c r="T18" s="204"/>
      <c r="U18" s="204"/>
      <c r="V18" s="204"/>
      <c r="W18" s="204"/>
      <c r="X18" s="204"/>
      <c r="Y18" s="204"/>
      <c r="Z18" s="204"/>
      <c r="AA18" s="204"/>
      <c r="AB18" s="204"/>
      <c r="AC18" s="204"/>
      <c r="AD18" s="204"/>
      <c r="AE18" s="204"/>
      <c r="AF18" s="204"/>
    </row>
    <row r="19" spans="1:32">
      <c r="C19" s="333"/>
      <c r="D19" s="333"/>
      <c r="E19" s="333"/>
      <c r="F19" s="333"/>
      <c r="G19" s="80"/>
      <c r="H19" s="207"/>
      <c r="J19" s="236"/>
      <c r="K19" s="204"/>
      <c r="L19" s="204"/>
      <c r="M19" s="204"/>
      <c r="N19" s="204"/>
      <c r="O19" s="204"/>
      <c r="P19" s="204"/>
      <c r="Q19" s="204"/>
      <c r="R19" s="204"/>
      <c r="S19" s="204"/>
      <c r="T19" s="204"/>
      <c r="U19" s="204"/>
      <c r="V19" s="204"/>
      <c r="W19" s="204"/>
      <c r="X19" s="204"/>
      <c r="Y19" s="204"/>
      <c r="Z19" s="204"/>
      <c r="AA19" s="204"/>
      <c r="AB19" s="204"/>
      <c r="AC19" s="204"/>
      <c r="AD19" s="204"/>
      <c r="AE19" s="204"/>
      <c r="AF19" s="204"/>
    </row>
    <row r="20" spans="1:32">
      <c r="A20" s="206"/>
      <c r="C20" s="333"/>
      <c r="D20" s="333"/>
      <c r="E20" s="333"/>
      <c r="F20" s="333"/>
      <c r="G20" s="80"/>
      <c r="H20" s="207"/>
      <c r="J20" s="236"/>
      <c r="K20" s="204"/>
      <c r="L20" s="204"/>
      <c r="M20" s="204"/>
      <c r="N20" s="204"/>
      <c r="O20" s="204"/>
      <c r="P20" s="204"/>
      <c r="Q20" s="204"/>
      <c r="R20" s="204"/>
      <c r="S20" s="204"/>
      <c r="T20" s="204"/>
      <c r="U20" s="204"/>
      <c r="V20" s="204"/>
      <c r="W20" s="204"/>
      <c r="X20" s="204"/>
      <c r="Y20" s="204"/>
      <c r="Z20" s="204"/>
      <c r="AA20" s="204"/>
      <c r="AB20" s="204"/>
      <c r="AC20" s="204"/>
      <c r="AD20" s="204"/>
      <c r="AE20" s="204"/>
      <c r="AF20" s="204"/>
    </row>
    <row r="21" spans="1:32">
      <c r="C21" s="333"/>
      <c r="D21" s="333"/>
      <c r="E21" s="333"/>
      <c r="F21" s="333"/>
      <c r="G21" s="3"/>
      <c r="J21" s="236"/>
      <c r="K21" s="204"/>
      <c r="L21" s="204"/>
      <c r="M21" s="204"/>
      <c r="N21" s="204"/>
      <c r="O21" s="204"/>
      <c r="P21" s="204"/>
      <c r="Q21" s="204"/>
      <c r="R21" s="204"/>
      <c r="S21" s="204"/>
      <c r="T21" s="204"/>
      <c r="U21" s="204"/>
      <c r="V21" s="204"/>
      <c r="W21" s="204"/>
      <c r="X21" s="204"/>
      <c r="Y21" s="204"/>
      <c r="Z21" s="204"/>
      <c r="AA21" s="204"/>
      <c r="AB21" s="204"/>
      <c r="AC21" s="204"/>
      <c r="AD21" s="204"/>
      <c r="AE21" s="204"/>
      <c r="AF21" s="204"/>
    </row>
    <row r="22" spans="1:32">
      <c r="E22" s="3"/>
      <c r="F22" s="25"/>
      <c r="G22" s="61"/>
      <c r="J22" s="236"/>
      <c r="K22" s="204"/>
      <c r="L22" s="204"/>
      <c r="M22" s="204"/>
      <c r="N22" s="204"/>
      <c r="O22" s="204"/>
      <c r="P22" s="204"/>
      <c r="Q22" s="204"/>
      <c r="R22" s="204"/>
      <c r="S22" s="204"/>
      <c r="T22" s="204"/>
      <c r="U22" s="204"/>
      <c r="V22" s="204"/>
      <c r="W22" s="204"/>
      <c r="X22" s="204"/>
      <c r="Y22" s="204"/>
      <c r="Z22" s="204"/>
      <c r="AA22" s="204"/>
      <c r="AB22" s="204"/>
      <c r="AC22" s="204"/>
      <c r="AD22" s="204"/>
      <c r="AE22" s="204"/>
      <c r="AF22" s="204"/>
    </row>
    <row r="23" spans="1:32" ht="12" customHeight="1">
      <c r="E23" s="6"/>
      <c r="J23" s="236"/>
      <c r="K23" s="204"/>
      <c r="L23" s="204"/>
      <c r="M23" s="204"/>
      <c r="N23" s="204"/>
      <c r="O23" s="204"/>
      <c r="P23" s="204"/>
      <c r="Q23" s="204"/>
      <c r="R23" s="204"/>
      <c r="S23" s="204"/>
      <c r="T23" s="204"/>
      <c r="U23" s="204"/>
      <c r="V23" s="204"/>
      <c r="W23" s="204"/>
      <c r="X23" s="204"/>
      <c r="Y23" s="204"/>
      <c r="Z23" s="204"/>
      <c r="AA23" s="204"/>
      <c r="AB23" s="204"/>
      <c r="AC23" s="204"/>
      <c r="AD23" s="204"/>
      <c r="AE23" s="204"/>
      <c r="AF23" s="204"/>
    </row>
    <row r="24" spans="1:32">
      <c r="E24" s="6"/>
      <c r="F24" s="202"/>
      <c r="G24" s="21"/>
      <c r="J24" s="236"/>
      <c r="K24" s="204"/>
      <c r="L24" s="204"/>
      <c r="M24" s="204"/>
      <c r="N24" s="204"/>
      <c r="O24" s="204"/>
      <c r="P24" s="204"/>
      <c r="Q24" s="204"/>
      <c r="R24" s="204"/>
      <c r="S24" s="204"/>
      <c r="T24" s="204"/>
      <c r="U24" s="204"/>
      <c r="V24" s="204"/>
      <c r="W24" s="204"/>
      <c r="X24" s="204"/>
      <c r="Y24" s="204"/>
      <c r="Z24" s="204"/>
      <c r="AA24" s="204"/>
      <c r="AB24" s="204"/>
      <c r="AC24" s="204"/>
      <c r="AD24" s="204"/>
      <c r="AE24" s="204"/>
      <c r="AF24" s="204"/>
    </row>
    <row r="25" spans="1:32">
      <c r="E25" s="6"/>
      <c r="F25" s="202"/>
      <c r="G25" s="330"/>
      <c r="J25" s="236"/>
      <c r="K25" s="204"/>
      <c r="L25" s="204"/>
      <c r="M25" s="204"/>
      <c r="N25" s="204"/>
      <c r="O25" s="204"/>
      <c r="P25" s="204"/>
      <c r="Q25" s="204"/>
      <c r="R25" s="204"/>
      <c r="S25" s="204"/>
      <c r="T25" s="204"/>
      <c r="U25" s="204"/>
      <c r="V25" s="204"/>
      <c r="W25" s="204"/>
      <c r="X25" s="204"/>
      <c r="Y25" s="204"/>
      <c r="Z25" s="204"/>
      <c r="AA25" s="204"/>
      <c r="AB25" s="204"/>
      <c r="AC25" s="204"/>
      <c r="AD25" s="204"/>
      <c r="AE25" s="204"/>
      <c r="AF25" s="204"/>
    </row>
    <row r="26" spans="1:32">
      <c r="D26" s="6"/>
      <c r="E26" s="6"/>
      <c r="F26" s="202"/>
      <c r="G26" s="80"/>
      <c r="J26" s="243"/>
      <c r="K26" s="204"/>
      <c r="L26" s="204"/>
      <c r="M26" s="204"/>
      <c r="N26" s="204"/>
      <c r="O26" s="204"/>
      <c r="P26" s="204"/>
      <c r="Q26" s="204"/>
      <c r="R26" s="204"/>
      <c r="S26" s="204"/>
      <c r="T26" s="204"/>
      <c r="U26" s="204"/>
      <c r="V26" s="204"/>
      <c r="W26" s="204"/>
      <c r="X26" s="204"/>
      <c r="Y26" s="204"/>
      <c r="Z26" s="204"/>
      <c r="AA26" s="204"/>
      <c r="AB26" s="204"/>
      <c r="AC26" s="204"/>
      <c r="AD26" s="204"/>
      <c r="AE26" s="204"/>
      <c r="AF26" s="204"/>
    </row>
    <row r="27" spans="1:32">
      <c r="D27" s="26"/>
      <c r="E27" s="26"/>
      <c r="L27" s="204"/>
      <c r="M27" s="204"/>
      <c r="N27" s="204"/>
      <c r="O27" s="204"/>
      <c r="P27" s="204"/>
      <c r="Q27" s="204"/>
      <c r="R27" s="204"/>
      <c r="S27" s="204"/>
      <c r="T27" s="204"/>
      <c r="U27" s="204"/>
      <c r="V27" s="204"/>
      <c r="W27" s="204"/>
      <c r="X27" s="204"/>
      <c r="Y27" s="204"/>
      <c r="Z27" s="204"/>
      <c r="AA27" s="204"/>
      <c r="AB27" s="204"/>
      <c r="AC27" s="204"/>
      <c r="AD27" s="204"/>
      <c r="AE27" s="204"/>
      <c r="AF27" s="204"/>
    </row>
    <row r="28" spans="1:32">
      <c r="D28" s="6"/>
      <c r="E28" s="6"/>
      <c r="L28" s="204"/>
      <c r="M28" s="204"/>
      <c r="N28" s="204"/>
      <c r="O28" s="204"/>
      <c r="P28" s="204"/>
      <c r="Q28" s="204"/>
      <c r="R28" s="204"/>
      <c r="S28" s="204"/>
      <c r="T28" s="204"/>
      <c r="U28" s="204"/>
      <c r="V28" s="204"/>
      <c r="W28" s="204"/>
      <c r="X28" s="204"/>
      <c r="Y28" s="204"/>
      <c r="Z28" s="204"/>
      <c r="AA28" s="204"/>
      <c r="AB28" s="204"/>
      <c r="AC28" s="204"/>
      <c r="AD28" s="204"/>
      <c r="AE28" s="204"/>
      <c r="AF28" s="204"/>
    </row>
    <row r="29" spans="1:32">
      <c r="D29" s="6"/>
      <c r="E29" s="6"/>
      <c r="K29" s="204"/>
      <c r="L29" s="204"/>
      <c r="M29" s="204"/>
      <c r="N29" s="204"/>
      <c r="O29" s="204"/>
      <c r="P29" s="204"/>
      <c r="Q29" s="204"/>
      <c r="R29" s="204"/>
      <c r="S29" s="204"/>
      <c r="T29" s="204"/>
      <c r="U29" s="204"/>
      <c r="V29" s="204"/>
      <c r="W29" s="204"/>
      <c r="X29" s="204"/>
      <c r="Y29" s="204"/>
      <c r="Z29" s="204"/>
      <c r="AA29" s="204"/>
      <c r="AB29" s="204"/>
      <c r="AC29" s="204"/>
      <c r="AD29" s="204"/>
      <c r="AE29" s="204"/>
      <c r="AF29" s="204"/>
    </row>
    <row r="30" spans="1:32" ht="14.25" customHeight="1">
      <c r="D30" s="6"/>
      <c r="E30" s="6"/>
      <c r="K30" s="204"/>
      <c r="L30" s="204"/>
      <c r="M30" s="204"/>
      <c r="N30" s="204"/>
      <c r="O30" s="204"/>
      <c r="P30" s="204"/>
      <c r="Q30" s="204"/>
      <c r="R30" s="204"/>
      <c r="S30" s="204"/>
      <c r="T30" s="204"/>
      <c r="U30" s="204"/>
      <c r="V30" s="204"/>
      <c r="W30" s="204"/>
      <c r="X30" s="204"/>
      <c r="Y30" s="204"/>
      <c r="Z30" s="204"/>
      <c r="AA30" s="204"/>
      <c r="AB30" s="204"/>
      <c r="AC30" s="204"/>
      <c r="AD30" s="204"/>
      <c r="AE30" s="204"/>
      <c r="AF30" s="204"/>
    </row>
    <row r="31" spans="1:32">
      <c r="D31" s="26"/>
      <c r="E31" s="26"/>
      <c r="G31" s="204"/>
      <c r="H31" s="204"/>
      <c r="I31" s="204"/>
      <c r="J31" s="204"/>
      <c r="K31" s="204"/>
      <c r="L31" s="204"/>
      <c r="M31" s="204"/>
      <c r="N31" s="204"/>
      <c r="O31" s="204"/>
      <c r="P31" s="204"/>
      <c r="Q31" s="204"/>
      <c r="R31" s="204"/>
      <c r="S31" s="204"/>
      <c r="T31" s="204"/>
      <c r="U31" s="204"/>
      <c r="V31" s="204"/>
      <c r="W31" s="204"/>
      <c r="X31" s="204"/>
      <c r="Y31" s="204"/>
      <c r="Z31" s="204"/>
      <c r="AA31" s="204"/>
      <c r="AB31" s="204"/>
      <c r="AC31" s="204"/>
      <c r="AD31" s="204"/>
      <c r="AE31" s="204"/>
      <c r="AF31" s="204"/>
    </row>
    <row r="32" spans="1:32">
      <c r="D32" s="3"/>
      <c r="E32" s="3"/>
      <c r="G32" s="204"/>
      <c r="H32" s="204"/>
      <c r="I32" s="204"/>
      <c r="J32" s="204"/>
      <c r="K32" s="204"/>
      <c r="L32" s="204"/>
      <c r="M32" s="204"/>
      <c r="N32" s="204"/>
      <c r="O32" s="204"/>
      <c r="P32" s="204"/>
      <c r="Q32" s="204"/>
      <c r="R32" s="204"/>
      <c r="S32" s="204"/>
      <c r="T32" s="204"/>
      <c r="U32" s="204"/>
      <c r="V32" s="204"/>
      <c r="W32" s="204"/>
      <c r="X32" s="204"/>
      <c r="Y32" s="204"/>
      <c r="Z32" s="204"/>
      <c r="AA32" s="204"/>
      <c r="AB32" s="204"/>
      <c r="AC32" s="204"/>
      <c r="AD32" s="204"/>
      <c r="AE32" s="204"/>
      <c r="AF32" s="204"/>
    </row>
    <row r="33" spans="4:32">
      <c r="G33" s="204"/>
      <c r="H33" s="204"/>
      <c r="I33" s="204"/>
      <c r="J33" s="204"/>
      <c r="K33" s="204"/>
      <c r="L33" s="204"/>
      <c r="M33" s="204"/>
      <c r="N33" s="204"/>
      <c r="O33" s="204"/>
      <c r="P33" s="204"/>
      <c r="Q33" s="204"/>
      <c r="R33" s="204"/>
      <c r="S33" s="204"/>
      <c r="T33" s="204"/>
      <c r="U33" s="204"/>
      <c r="V33" s="204"/>
      <c r="W33" s="204"/>
      <c r="X33" s="204"/>
      <c r="Y33" s="204"/>
      <c r="Z33" s="204"/>
      <c r="AA33" s="204"/>
      <c r="AB33" s="204"/>
      <c r="AC33" s="204"/>
      <c r="AD33" s="204"/>
      <c r="AE33" s="204"/>
      <c r="AF33" s="204"/>
    </row>
    <row r="34" spans="4:32">
      <c r="D34" s="25"/>
      <c r="E34" s="25"/>
      <c r="G34" s="204"/>
      <c r="H34" s="204"/>
      <c r="I34" s="204"/>
      <c r="J34" s="204"/>
      <c r="K34" s="204"/>
      <c r="L34" s="204"/>
      <c r="M34" s="204"/>
      <c r="N34" s="204"/>
      <c r="O34" s="204"/>
      <c r="P34" s="204"/>
      <c r="Q34" s="204"/>
      <c r="R34" s="204"/>
      <c r="S34" s="204"/>
      <c r="T34" s="204"/>
      <c r="U34" s="204"/>
      <c r="V34" s="204"/>
      <c r="W34" s="204"/>
      <c r="X34" s="204"/>
      <c r="Y34" s="204"/>
      <c r="Z34" s="204"/>
      <c r="AA34" s="204"/>
      <c r="AB34" s="204"/>
      <c r="AC34" s="204"/>
      <c r="AD34" s="204"/>
      <c r="AE34" s="204"/>
      <c r="AF34" s="204"/>
    </row>
    <row r="35" spans="4:32">
      <c r="D35" s="56"/>
      <c r="E35" s="3"/>
      <c r="G35" s="204"/>
      <c r="H35" s="204"/>
      <c r="I35" s="204"/>
      <c r="J35" s="204"/>
      <c r="K35" s="204"/>
      <c r="L35" s="204"/>
      <c r="M35" s="204"/>
      <c r="N35" s="204"/>
      <c r="O35" s="204"/>
      <c r="P35" s="204"/>
      <c r="Q35" s="204"/>
      <c r="R35" s="204"/>
      <c r="S35" s="204"/>
      <c r="T35" s="204"/>
      <c r="U35" s="204"/>
      <c r="V35" s="204"/>
      <c r="W35" s="204"/>
      <c r="X35" s="204"/>
      <c r="Y35" s="204"/>
      <c r="Z35" s="204"/>
      <c r="AA35" s="204"/>
      <c r="AB35" s="204"/>
      <c r="AC35" s="204"/>
      <c r="AD35" s="204"/>
      <c r="AE35" s="204"/>
      <c r="AF35" s="204"/>
    </row>
    <row r="36" spans="4:32">
      <c r="G36" s="204"/>
      <c r="H36" s="204"/>
      <c r="I36" s="204"/>
      <c r="J36" s="204"/>
      <c r="K36" s="204"/>
      <c r="L36" s="204"/>
      <c r="M36" s="204"/>
      <c r="N36" s="204"/>
      <c r="O36" s="204"/>
      <c r="P36" s="204"/>
      <c r="Q36" s="204"/>
      <c r="R36" s="204"/>
      <c r="S36" s="204"/>
      <c r="T36" s="204"/>
      <c r="U36" s="204"/>
      <c r="V36" s="204"/>
      <c r="W36" s="204"/>
      <c r="X36" s="204"/>
      <c r="Y36" s="204"/>
      <c r="Z36" s="204"/>
      <c r="AA36" s="204"/>
      <c r="AB36" s="204"/>
      <c r="AC36" s="204"/>
      <c r="AD36" s="204"/>
      <c r="AE36" s="204"/>
      <c r="AF36" s="204"/>
    </row>
    <row r="37" spans="4:32">
      <c r="G37" s="204"/>
      <c r="H37" s="204"/>
      <c r="I37" s="204"/>
      <c r="J37" s="204"/>
      <c r="K37" s="204"/>
      <c r="L37" s="204"/>
      <c r="M37" s="204"/>
      <c r="N37" s="204"/>
      <c r="O37" s="204"/>
      <c r="P37" s="204"/>
      <c r="Q37" s="204"/>
      <c r="R37" s="204"/>
      <c r="S37" s="204"/>
      <c r="T37" s="204"/>
      <c r="U37" s="204"/>
      <c r="V37" s="204"/>
      <c r="W37" s="204"/>
      <c r="X37" s="204"/>
      <c r="Y37" s="204"/>
      <c r="Z37" s="204"/>
      <c r="AA37" s="204"/>
      <c r="AB37" s="204"/>
      <c r="AC37" s="204"/>
      <c r="AD37" s="204"/>
      <c r="AE37" s="204"/>
      <c r="AF37" s="204"/>
    </row>
    <row r="38" spans="4:32">
      <c r="G38" s="204"/>
      <c r="H38" s="204"/>
      <c r="I38" s="204"/>
      <c r="J38" s="204"/>
      <c r="K38" s="204"/>
      <c r="L38" s="204"/>
      <c r="M38" s="204"/>
      <c r="N38" s="204"/>
      <c r="O38" s="204"/>
      <c r="P38" s="204"/>
      <c r="Q38" s="204"/>
      <c r="R38" s="204"/>
      <c r="S38" s="204"/>
      <c r="T38" s="204"/>
      <c r="U38" s="204"/>
      <c r="V38" s="204"/>
      <c r="W38" s="204"/>
      <c r="X38" s="204"/>
      <c r="Y38" s="204"/>
      <c r="Z38" s="204"/>
      <c r="AA38" s="204"/>
      <c r="AB38" s="204"/>
      <c r="AC38" s="204"/>
      <c r="AD38" s="204"/>
      <c r="AE38" s="204"/>
      <c r="AF38" s="204"/>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9" customWidth="1"/>
    <col min="2" max="2" width="36.85546875" style="199" customWidth="1"/>
    <col min="3" max="3" width="14.28515625" style="199" customWidth="1"/>
    <col min="4" max="4" width="12.140625" style="199" customWidth="1"/>
    <col min="5" max="5" width="24.85546875" style="199" customWidth="1"/>
    <col min="6" max="6" width="13.7109375" style="199" customWidth="1"/>
    <col min="7" max="7" width="10.140625" style="199" customWidth="1" collapsed="1"/>
    <col min="8" max="9" width="10.42578125" style="199" customWidth="1"/>
    <col min="10" max="10" width="9.140625" style="199" customWidth="1"/>
    <col min="11" max="11" width="9" style="199" customWidth="1"/>
    <col min="12" max="12" width="9.85546875" style="199" customWidth="1"/>
    <col min="13" max="26" width="9.140625" style="199" customWidth="1"/>
    <col min="27" max="27" width="9.28515625" style="199" customWidth="1"/>
    <col min="28" max="28" width="9.42578125" style="199" customWidth="1"/>
    <col min="29" max="29" width="10" style="199" customWidth="1"/>
    <col min="30" max="30" width="11.42578125" style="199" customWidth="1"/>
    <col min="31" max="31" width="9.42578125" style="199" bestFit="1" customWidth="1" collapsed="1"/>
    <col min="32" max="16384" width="9.140625" style="199"/>
  </cols>
  <sheetData>
    <row r="1" spans="1:32" s="198" customFormat="1" ht="15" customHeight="1">
      <c r="B1" s="18" t="s">
        <v>347</v>
      </c>
      <c r="C1" s="197"/>
      <c r="D1" s="197"/>
      <c r="E1" s="197"/>
      <c r="F1" s="197"/>
      <c r="G1" s="197"/>
      <c r="H1" s="197"/>
      <c r="I1" s="197"/>
      <c r="J1" s="197"/>
      <c r="K1" s="197"/>
      <c r="L1" s="197"/>
    </row>
    <row r="2" spans="1:32" ht="12" customHeight="1">
      <c r="C2" s="227"/>
    </row>
    <row r="3" spans="1:32" ht="12" customHeight="1">
      <c r="A3" s="201"/>
      <c r="B3" s="307"/>
      <c r="C3" s="328"/>
      <c r="F3" s="245"/>
      <c r="G3" s="245"/>
      <c r="H3" s="245"/>
      <c r="I3" s="245"/>
      <c r="J3" s="245"/>
      <c r="K3" s="245"/>
      <c r="L3" s="245"/>
      <c r="M3" s="245"/>
      <c r="N3" s="245"/>
      <c r="O3" s="245"/>
      <c r="P3" s="245"/>
      <c r="Q3" s="245"/>
    </row>
    <row r="4" spans="1:32" ht="12" customHeight="1">
      <c r="A4" s="206"/>
      <c r="B4" s="262" t="s">
        <v>305</v>
      </c>
      <c r="C4" s="332" t="s">
        <v>306</v>
      </c>
      <c r="D4" s="261" t="s">
        <v>307</v>
      </c>
      <c r="E4" s="261" t="s">
        <v>313</v>
      </c>
      <c r="F4" s="261" t="s">
        <v>345</v>
      </c>
      <c r="G4" s="329"/>
      <c r="H4" s="329"/>
      <c r="I4" s="329"/>
      <c r="J4" s="329"/>
      <c r="K4" s="329"/>
      <c r="L4" s="329"/>
      <c r="M4" s="329"/>
      <c r="N4" s="329"/>
      <c r="O4" s="329"/>
      <c r="P4" s="329"/>
      <c r="Q4" s="200"/>
      <c r="S4" s="203"/>
      <c r="T4" s="203"/>
      <c r="U4" s="203"/>
      <c r="V4" s="203"/>
      <c r="AA4" s="203"/>
    </row>
    <row r="5" spans="1:32" ht="12" customHeight="1">
      <c r="A5" s="206"/>
      <c r="B5" s="216" t="s">
        <v>299</v>
      </c>
      <c r="C5" s="98" t="s">
        <v>311</v>
      </c>
      <c r="D5" s="331">
        <v>1</v>
      </c>
      <c r="E5" s="213"/>
      <c r="F5" s="361">
        <v>0</v>
      </c>
      <c r="G5" s="50"/>
      <c r="H5" s="50"/>
      <c r="I5" s="50"/>
      <c r="J5" s="236"/>
      <c r="K5" s="50"/>
      <c r="L5" s="50"/>
      <c r="M5" s="50"/>
      <c r="N5" s="50"/>
      <c r="O5" s="50"/>
      <c r="P5" s="50"/>
      <c r="Q5" s="50"/>
      <c r="S5" s="204"/>
      <c r="T5" s="204"/>
      <c r="U5" s="204"/>
      <c r="V5" s="204"/>
      <c r="W5" s="204"/>
      <c r="X5" s="204"/>
      <c r="Y5" s="204"/>
      <c r="Z5" s="204"/>
      <c r="AA5" s="204"/>
      <c r="AB5" s="204"/>
      <c r="AC5" s="204"/>
      <c r="AD5" s="204"/>
      <c r="AE5" s="204"/>
      <c r="AF5" s="204"/>
    </row>
    <row r="6" spans="1:32" ht="12" customHeight="1">
      <c r="A6" s="206"/>
      <c r="B6" s="216" t="s">
        <v>302</v>
      </c>
      <c r="C6" s="98" t="s">
        <v>311</v>
      </c>
      <c r="D6" s="331">
        <v>1</v>
      </c>
      <c r="E6" s="213"/>
      <c r="F6" s="361">
        <v>0</v>
      </c>
      <c r="G6" s="236"/>
      <c r="H6" s="236"/>
      <c r="I6" s="236"/>
      <c r="J6" s="236"/>
      <c r="K6" s="236"/>
      <c r="L6" s="236"/>
      <c r="M6" s="236"/>
      <c r="N6" s="236"/>
      <c r="O6" s="236"/>
      <c r="P6" s="236"/>
      <c r="Q6" s="236"/>
      <c r="S6" s="204"/>
      <c r="T6" s="204"/>
      <c r="U6" s="204"/>
      <c r="V6" s="204"/>
      <c r="W6" s="204"/>
      <c r="X6" s="204"/>
      <c r="Y6" s="204"/>
      <c r="Z6" s="204"/>
      <c r="AA6" s="204"/>
      <c r="AB6" s="204"/>
      <c r="AC6" s="204"/>
      <c r="AD6" s="204"/>
      <c r="AE6" s="204"/>
      <c r="AF6" s="204"/>
    </row>
    <row r="7" spans="1:32" ht="12" customHeight="1">
      <c r="B7" s="216" t="s">
        <v>310</v>
      </c>
      <c r="C7" s="98" t="s">
        <v>311</v>
      </c>
      <c r="D7" s="331">
        <v>1</v>
      </c>
      <c r="E7" s="213"/>
      <c r="F7" s="361">
        <v>0</v>
      </c>
      <c r="G7" s="236"/>
      <c r="I7" s="202"/>
      <c r="J7" s="228"/>
      <c r="N7" s="204"/>
      <c r="O7" s="204"/>
      <c r="P7" s="227"/>
      <c r="Q7" s="236"/>
      <c r="S7" s="204"/>
      <c r="T7" s="204"/>
      <c r="U7" s="204"/>
      <c r="V7" s="204"/>
      <c r="W7" s="204"/>
      <c r="X7" s="204"/>
      <c r="Y7" s="204"/>
      <c r="Z7" s="204"/>
      <c r="AA7" s="204"/>
      <c r="AB7" s="204"/>
      <c r="AC7" s="204"/>
      <c r="AD7" s="204"/>
      <c r="AE7" s="204"/>
      <c r="AF7" s="204"/>
    </row>
    <row r="8" spans="1:32" ht="12" customHeight="1">
      <c r="A8" s="206"/>
      <c r="B8" s="216" t="s">
        <v>304</v>
      </c>
      <c r="C8" s="98" t="s">
        <v>311</v>
      </c>
      <c r="D8" s="331">
        <v>1</v>
      </c>
      <c r="E8" s="213"/>
      <c r="F8" s="361">
        <v>0</v>
      </c>
      <c r="G8" s="313"/>
      <c r="H8" s="236"/>
      <c r="J8" s="307"/>
      <c r="K8" s="308"/>
      <c r="O8" s="204"/>
      <c r="P8" s="204"/>
      <c r="Q8" s="204"/>
      <c r="R8" s="204"/>
      <c r="S8" s="204"/>
      <c r="T8" s="204"/>
      <c r="U8" s="204"/>
      <c r="V8" s="204"/>
      <c r="W8" s="204"/>
      <c r="X8" s="204"/>
      <c r="Y8" s="204"/>
      <c r="Z8" s="204"/>
      <c r="AA8" s="204"/>
      <c r="AB8" s="204"/>
      <c r="AC8" s="204"/>
      <c r="AD8" s="204"/>
      <c r="AE8" s="204"/>
      <c r="AF8" s="204"/>
    </row>
    <row r="9" spans="1:32" ht="12" customHeight="1">
      <c r="A9" s="206"/>
      <c r="B9" s="212"/>
      <c r="C9" s="212"/>
      <c r="D9" s="212"/>
      <c r="E9" s="212"/>
      <c r="F9" s="361"/>
      <c r="G9" s="313"/>
      <c r="H9" s="236"/>
      <c r="J9" s="202"/>
      <c r="K9" s="228"/>
      <c r="O9" s="204"/>
      <c r="P9" s="204"/>
      <c r="Q9" s="204"/>
      <c r="R9" s="204"/>
      <c r="S9" s="204"/>
      <c r="T9" s="204"/>
      <c r="U9" s="204"/>
      <c r="V9" s="204"/>
      <c r="W9" s="204"/>
      <c r="X9" s="204"/>
      <c r="Y9" s="204"/>
      <c r="Z9" s="204"/>
      <c r="AA9" s="204"/>
      <c r="AB9" s="204"/>
      <c r="AC9" s="204"/>
      <c r="AD9" s="204"/>
      <c r="AE9" s="204"/>
      <c r="AF9" s="204"/>
    </row>
    <row r="10" spans="1:32">
      <c r="A10" s="202"/>
      <c r="B10" s="388" t="s">
        <v>297</v>
      </c>
      <c r="C10" s="389" t="s">
        <v>308</v>
      </c>
      <c r="D10" s="390">
        <v>0.5</v>
      </c>
      <c r="E10" s="391"/>
      <c r="F10" s="392">
        <f>-'Trent HyperMarket Pvt Ltd'!C30*(1-'Value of Cross Holdings'!D10)</f>
        <v>-324.12955797819023</v>
      </c>
      <c r="G10" s="245"/>
      <c r="H10" s="245"/>
      <c r="I10" s="245"/>
      <c r="J10" s="245"/>
      <c r="K10" s="245"/>
      <c r="O10" s="204"/>
      <c r="P10" s="204"/>
      <c r="Q10" s="204"/>
      <c r="R10" s="204"/>
      <c r="S10" s="204"/>
      <c r="T10" s="204"/>
      <c r="U10" s="204"/>
      <c r="V10" s="204"/>
      <c r="W10" s="204"/>
      <c r="X10" s="204"/>
      <c r="Y10" s="204"/>
      <c r="Z10" s="204"/>
      <c r="AA10" s="204"/>
      <c r="AB10" s="204"/>
      <c r="AC10" s="204"/>
      <c r="AD10" s="204"/>
      <c r="AE10" s="204"/>
      <c r="AF10" s="204"/>
    </row>
    <row r="11" spans="1:32" ht="12.75" customHeight="1">
      <c r="A11" s="206"/>
      <c r="B11" s="393"/>
      <c r="C11" s="393"/>
      <c r="D11" s="393"/>
      <c r="E11" s="391"/>
      <c r="F11" s="393"/>
      <c r="G11" s="80"/>
      <c r="H11" s="362"/>
      <c r="K11" s="228"/>
      <c r="O11" s="204"/>
      <c r="P11" s="204"/>
      <c r="Q11" s="204"/>
      <c r="R11" s="204"/>
      <c r="S11" s="204"/>
      <c r="T11" s="204"/>
      <c r="U11" s="204"/>
      <c r="V11" s="204"/>
      <c r="W11" s="204"/>
      <c r="X11" s="204"/>
      <c r="Y11" s="204"/>
      <c r="Z11" s="204"/>
      <c r="AA11" s="204"/>
      <c r="AB11" s="204"/>
      <c r="AC11" s="204"/>
      <c r="AD11" s="204"/>
      <c r="AE11" s="204"/>
      <c r="AF11" s="204"/>
    </row>
    <row r="12" spans="1:32">
      <c r="B12" s="393"/>
      <c r="C12" s="393"/>
      <c r="D12" s="393"/>
      <c r="E12" s="391"/>
      <c r="F12" s="393"/>
      <c r="G12" s="80"/>
      <c r="K12" s="228"/>
      <c r="L12" s="245"/>
      <c r="M12" s="245"/>
      <c r="N12" s="245"/>
      <c r="O12" s="245"/>
      <c r="P12" s="245"/>
      <c r="Q12" s="245"/>
      <c r="R12" s="204"/>
      <c r="S12" s="204"/>
      <c r="T12" s="204"/>
      <c r="U12" s="204"/>
      <c r="V12" s="204"/>
      <c r="W12" s="204"/>
      <c r="X12" s="204"/>
      <c r="Y12" s="204"/>
      <c r="Z12" s="204"/>
      <c r="AA12" s="204"/>
      <c r="AB12" s="204"/>
      <c r="AC12" s="204"/>
      <c r="AD12" s="204"/>
      <c r="AE12" s="204"/>
      <c r="AF12" s="204"/>
    </row>
    <row r="13" spans="1:32" ht="12" customHeight="1">
      <c r="A13" s="206"/>
      <c r="B13" s="212"/>
      <c r="C13" s="212"/>
      <c r="D13" s="212"/>
      <c r="E13" s="19"/>
      <c r="F13" s="361"/>
      <c r="G13" s="317"/>
      <c r="H13" s="207"/>
      <c r="K13" s="228"/>
      <c r="O13" s="204"/>
      <c r="P13" s="204"/>
      <c r="Q13" s="204"/>
      <c r="R13" s="204"/>
      <c r="S13" s="204"/>
      <c r="T13" s="204"/>
      <c r="U13" s="204"/>
      <c r="V13" s="204"/>
      <c r="W13" s="204"/>
      <c r="X13" s="204"/>
      <c r="Y13" s="204"/>
      <c r="Z13" s="204"/>
      <c r="AA13" s="204"/>
      <c r="AB13" s="204"/>
      <c r="AC13" s="204"/>
      <c r="AD13" s="204"/>
      <c r="AE13" s="204"/>
      <c r="AF13" s="204"/>
    </row>
    <row r="14" spans="1:32">
      <c r="B14" s="216" t="s">
        <v>309</v>
      </c>
      <c r="C14" s="98" t="s">
        <v>312</v>
      </c>
      <c r="D14" s="331">
        <v>0.49</v>
      </c>
      <c r="E14" s="19"/>
      <c r="F14" s="361">
        <f>'Massimo Dutti Pvt Ltd'!C30*'Value of Cross Holdings'!D14</f>
        <v>162.48642551217603</v>
      </c>
      <c r="G14" s="3"/>
      <c r="O14" s="204"/>
      <c r="P14" s="204"/>
      <c r="Q14" s="204"/>
      <c r="R14" s="204"/>
      <c r="S14" s="204"/>
      <c r="T14" s="204"/>
      <c r="U14" s="204"/>
      <c r="V14" s="204"/>
      <c r="W14" s="204"/>
      <c r="X14" s="204"/>
      <c r="Y14" s="204"/>
      <c r="Z14" s="204"/>
      <c r="AA14" s="204"/>
      <c r="AB14" s="204"/>
      <c r="AC14" s="204"/>
      <c r="AD14" s="204"/>
      <c r="AE14" s="204"/>
      <c r="AF14" s="204"/>
    </row>
    <row r="15" spans="1:32">
      <c r="B15" s="216" t="s">
        <v>303</v>
      </c>
      <c r="C15" s="98" t="s">
        <v>312</v>
      </c>
      <c r="D15" s="331">
        <v>0.49</v>
      </c>
      <c r="E15" s="19"/>
      <c r="F15" s="361">
        <f ca="1">'Inditex Retail Pvt Ltd'!C30*'Value of Cross Holdings'!D15</f>
        <v>9045.9683283484828</v>
      </c>
      <c r="G15" s="61"/>
      <c r="K15" s="309"/>
      <c r="O15" s="204"/>
      <c r="P15" s="204"/>
      <c r="Q15" s="204"/>
      <c r="R15" s="204"/>
      <c r="S15" s="204"/>
      <c r="T15" s="204"/>
      <c r="U15" s="204"/>
      <c r="V15" s="204"/>
      <c r="W15" s="204"/>
      <c r="X15" s="204"/>
      <c r="Y15" s="204"/>
      <c r="Z15" s="204"/>
      <c r="AA15" s="204"/>
      <c r="AB15" s="204"/>
      <c r="AC15" s="204"/>
      <c r="AD15" s="204"/>
      <c r="AE15" s="204"/>
      <c r="AF15" s="204"/>
    </row>
    <row r="16" spans="1:32">
      <c r="B16" s="216" t="s">
        <v>298</v>
      </c>
      <c r="C16" s="98" t="s">
        <v>312</v>
      </c>
      <c r="D16" s="331">
        <v>0.49</v>
      </c>
      <c r="E16" s="46"/>
      <c r="F16" s="361">
        <f>186.43*10.1</f>
        <v>1882.943</v>
      </c>
      <c r="K16" s="204"/>
      <c r="O16" s="204"/>
      <c r="P16" s="204"/>
      <c r="Q16" s="204"/>
      <c r="R16" s="204"/>
      <c r="S16" s="204"/>
      <c r="T16" s="204"/>
      <c r="U16" s="204"/>
      <c r="V16" s="204"/>
      <c r="W16" s="204"/>
      <c r="X16" s="204"/>
      <c r="Y16" s="204"/>
      <c r="Z16" s="204"/>
      <c r="AA16" s="204"/>
      <c r="AB16" s="204"/>
      <c r="AC16" s="204"/>
      <c r="AD16" s="204"/>
      <c r="AE16" s="204"/>
      <c r="AF16" s="204"/>
    </row>
    <row r="17" spans="1:32">
      <c r="B17" s="216" t="s">
        <v>300</v>
      </c>
      <c r="C17" s="98" t="s">
        <v>314</v>
      </c>
      <c r="D17" s="294">
        <v>0.49</v>
      </c>
      <c r="E17" s="19"/>
      <c r="F17" s="361">
        <v>0</v>
      </c>
      <c r="G17" s="87"/>
      <c r="J17" s="208"/>
      <c r="K17" s="204"/>
      <c r="L17" s="204"/>
      <c r="O17" s="204"/>
      <c r="P17" s="204"/>
      <c r="Q17" s="204"/>
      <c r="R17" s="204"/>
      <c r="S17" s="204"/>
      <c r="T17" s="204"/>
      <c r="U17" s="204"/>
      <c r="V17" s="204"/>
      <c r="W17" s="204"/>
      <c r="X17" s="204"/>
      <c r="Y17" s="204"/>
      <c r="Z17" s="204"/>
      <c r="AA17" s="204"/>
      <c r="AB17" s="204"/>
      <c r="AC17" s="204"/>
      <c r="AD17" s="204"/>
      <c r="AE17" s="204"/>
      <c r="AF17" s="204"/>
    </row>
    <row r="18" spans="1:32">
      <c r="A18" s="206"/>
      <c r="B18" s="216" t="s">
        <v>301</v>
      </c>
      <c r="C18" s="98" t="s">
        <v>314</v>
      </c>
      <c r="D18" s="294">
        <v>0.57999999999999996</v>
      </c>
      <c r="E18" s="19"/>
      <c r="F18" s="361">
        <v>0</v>
      </c>
      <c r="G18" s="317"/>
      <c r="J18" s="236"/>
      <c r="K18" s="204"/>
      <c r="L18" s="204"/>
      <c r="M18" s="204"/>
      <c r="N18" s="204"/>
      <c r="O18" s="204"/>
      <c r="P18" s="204"/>
      <c r="Q18" s="204"/>
      <c r="R18" s="204"/>
      <c r="S18" s="204"/>
      <c r="T18" s="204"/>
      <c r="U18" s="204"/>
      <c r="V18" s="204"/>
      <c r="W18" s="204"/>
      <c r="X18" s="204"/>
      <c r="Y18" s="204"/>
      <c r="Z18" s="204"/>
      <c r="AA18" s="204"/>
      <c r="AB18" s="204"/>
      <c r="AC18" s="204"/>
      <c r="AD18" s="204"/>
      <c r="AE18" s="204"/>
      <c r="AF18" s="204"/>
    </row>
    <row r="19" spans="1:32">
      <c r="B19" s="216" t="s">
        <v>315</v>
      </c>
      <c r="C19" s="98" t="s">
        <v>314</v>
      </c>
      <c r="D19" s="294">
        <v>0.49</v>
      </c>
      <c r="E19" s="19"/>
      <c r="F19" s="394">
        <f ca="1">SUM(F5:F18)</f>
        <v>10767.268195882469</v>
      </c>
      <c r="G19" s="80"/>
      <c r="H19" s="207"/>
      <c r="J19" s="236"/>
      <c r="K19" s="204"/>
      <c r="L19" s="204"/>
      <c r="M19" s="204"/>
      <c r="N19" s="204"/>
      <c r="O19" s="204"/>
      <c r="P19" s="204"/>
      <c r="Q19" s="204"/>
      <c r="R19" s="204"/>
      <c r="S19" s="204"/>
      <c r="T19" s="204"/>
      <c r="U19" s="204"/>
      <c r="V19" s="204"/>
      <c r="W19" s="204"/>
      <c r="X19" s="204"/>
      <c r="Y19" s="204"/>
      <c r="Z19" s="204"/>
      <c r="AA19" s="204"/>
      <c r="AB19" s="204"/>
      <c r="AC19" s="204"/>
      <c r="AD19" s="204"/>
      <c r="AE19" s="204"/>
      <c r="AF19" s="204"/>
    </row>
    <row r="20" spans="1:32">
      <c r="A20" s="206"/>
      <c r="E20" s="26"/>
      <c r="F20" s="3"/>
      <c r="G20" s="80"/>
      <c r="H20" s="207"/>
      <c r="J20" s="236"/>
      <c r="K20" s="204"/>
      <c r="L20" s="204"/>
      <c r="M20" s="204"/>
      <c r="N20" s="204"/>
      <c r="O20" s="204"/>
      <c r="P20" s="204"/>
      <c r="Q20" s="204"/>
      <c r="R20" s="204"/>
      <c r="S20" s="204"/>
      <c r="T20" s="204"/>
      <c r="U20" s="204"/>
      <c r="V20" s="204"/>
      <c r="W20" s="204"/>
      <c r="X20" s="204"/>
      <c r="Y20" s="204"/>
      <c r="Z20" s="204"/>
      <c r="AA20" s="204"/>
      <c r="AB20" s="204"/>
      <c r="AC20" s="204"/>
      <c r="AD20" s="204"/>
      <c r="AE20" s="204"/>
      <c r="AF20" s="204"/>
    </row>
    <row r="21" spans="1:32">
      <c r="E21" s="3"/>
      <c r="F21" s="25"/>
      <c r="G21" s="3"/>
      <c r="H21" s="387"/>
      <c r="J21" s="236"/>
      <c r="K21" s="204"/>
      <c r="L21" s="204"/>
      <c r="M21" s="204"/>
      <c r="N21" s="204"/>
      <c r="O21" s="204"/>
      <c r="P21" s="204"/>
      <c r="Q21" s="204"/>
      <c r="R21" s="204"/>
      <c r="S21" s="204"/>
      <c r="T21" s="204"/>
      <c r="U21" s="204"/>
      <c r="V21" s="204"/>
      <c r="W21" s="204"/>
      <c r="X21" s="204"/>
      <c r="Y21" s="204"/>
      <c r="Z21" s="204"/>
      <c r="AA21" s="204"/>
      <c r="AB21" s="204"/>
      <c r="AC21" s="204"/>
      <c r="AD21" s="204"/>
      <c r="AE21" s="204"/>
      <c r="AF21" s="204"/>
    </row>
    <row r="22" spans="1:32">
      <c r="E22" s="6"/>
      <c r="G22" s="61"/>
      <c r="J22" s="236"/>
      <c r="K22" s="204"/>
      <c r="L22" s="204"/>
      <c r="M22" s="204"/>
      <c r="N22" s="204"/>
      <c r="O22" s="204"/>
      <c r="P22" s="204"/>
      <c r="Q22" s="204"/>
      <c r="R22" s="204"/>
      <c r="S22" s="204"/>
      <c r="T22" s="204"/>
      <c r="U22" s="204"/>
      <c r="V22" s="204"/>
      <c r="W22" s="204"/>
      <c r="X22" s="204"/>
      <c r="Y22" s="204"/>
      <c r="Z22" s="204"/>
      <c r="AA22" s="204"/>
      <c r="AB22" s="204"/>
      <c r="AC22" s="204"/>
      <c r="AD22" s="204"/>
      <c r="AE22" s="204"/>
      <c r="AF22" s="204"/>
    </row>
    <row r="23" spans="1:32" ht="12" customHeight="1">
      <c r="E23" s="6"/>
      <c r="F23" s="202"/>
      <c r="J23" s="236"/>
      <c r="K23" s="204"/>
      <c r="L23" s="204"/>
      <c r="M23" s="204"/>
      <c r="N23" s="204"/>
      <c r="O23" s="204"/>
      <c r="P23" s="204"/>
      <c r="Q23" s="204"/>
      <c r="R23" s="204"/>
      <c r="S23" s="204"/>
      <c r="T23" s="204"/>
      <c r="U23" s="204"/>
      <c r="V23" s="204"/>
      <c r="W23" s="204"/>
      <c r="X23" s="204"/>
      <c r="Y23" s="204"/>
      <c r="Z23" s="204"/>
      <c r="AA23" s="204"/>
      <c r="AB23" s="204"/>
      <c r="AC23" s="204"/>
      <c r="AD23" s="204"/>
      <c r="AE23" s="204"/>
      <c r="AF23" s="204"/>
    </row>
    <row r="24" spans="1:32">
      <c r="E24" s="6"/>
      <c r="F24" s="202"/>
      <c r="G24" s="21"/>
      <c r="J24" s="236"/>
      <c r="K24" s="204"/>
      <c r="L24" s="204"/>
      <c r="M24" s="204"/>
      <c r="N24" s="204"/>
      <c r="O24" s="204"/>
      <c r="P24" s="204"/>
      <c r="Q24" s="204"/>
      <c r="R24" s="204"/>
      <c r="S24" s="204"/>
      <c r="T24" s="204"/>
      <c r="U24" s="204"/>
      <c r="V24" s="204"/>
      <c r="W24" s="204"/>
      <c r="X24" s="204"/>
      <c r="Y24" s="204"/>
      <c r="Z24" s="204"/>
      <c r="AA24" s="204"/>
      <c r="AB24" s="204"/>
      <c r="AC24" s="204"/>
      <c r="AD24" s="204"/>
      <c r="AE24" s="204"/>
      <c r="AF24" s="204"/>
    </row>
    <row r="25" spans="1:32">
      <c r="D25" s="6"/>
      <c r="E25" s="6"/>
      <c r="F25" s="202"/>
      <c r="G25" s="330"/>
      <c r="J25" s="236"/>
      <c r="K25" s="204"/>
      <c r="L25" s="204"/>
      <c r="M25" s="204"/>
      <c r="N25" s="204"/>
      <c r="O25" s="204"/>
      <c r="P25" s="204"/>
      <c r="Q25" s="204"/>
      <c r="R25" s="204"/>
      <c r="S25" s="204"/>
      <c r="T25" s="204"/>
      <c r="U25" s="204"/>
      <c r="V25" s="204"/>
      <c r="W25" s="204"/>
      <c r="X25" s="204"/>
      <c r="Y25" s="204"/>
      <c r="Z25" s="204"/>
      <c r="AA25" s="204"/>
      <c r="AB25" s="204"/>
      <c r="AC25" s="204"/>
      <c r="AD25" s="204"/>
      <c r="AE25" s="204"/>
      <c r="AF25" s="204"/>
    </row>
    <row r="26" spans="1:32">
      <c r="D26" s="26"/>
      <c r="E26" s="26"/>
      <c r="G26" s="80"/>
      <c r="J26" s="243"/>
      <c r="K26" s="204"/>
      <c r="L26" s="204"/>
      <c r="M26" s="204"/>
      <c r="N26" s="204"/>
      <c r="O26" s="204"/>
      <c r="P26" s="204"/>
      <c r="Q26" s="204"/>
      <c r="R26" s="204"/>
      <c r="S26" s="204"/>
      <c r="T26" s="204"/>
      <c r="U26" s="204"/>
      <c r="V26" s="204"/>
      <c r="W26" s="204"/>
      <c r="X26" s="204"/>
      <c r="Y26" s="204"/>
      <c r="Z26" s="204"/>
      <c r="AA26" s="204"/>
      <c r="AB26" s="204"/>
      <c r="AC26" s="204"/>
      <c r="AD26" s="204"/>
      <c r="AE26" s="204"/>
      <c r="AF26" s="204"/>
    </row>
    <row r="27" spans="1:32">
      <c r="D27" s="6"/>
      <c r="E27" s="6"/>
      <c r="L27" s="204"/>
      <c r="M27" s="204"/>
      <c r="N27" s="204"/>
      <c r="O27" s="204"/>
      <c r="P27" s="204"/>
      <c r="Q27" s="204"/>
      <c r="R27" s="204"/>
      <c r="S27" s="204"/>
      <c r="T27" s="204"/>
      <c r="U27" s="204"/>
      <c r="V27" s="204"/>
      <c r="W27" s="204"/>
      <c r="X27" s="204"/>
      <c r="Y27" s="204"/>
      <c r="Z27" s="204"/>
      <c r="AA27" s="204"/>
      <c r="AB27" s="204"/>
      <c r="AC27" s="204"/>
      <c r="AD27" s="204"/>
      <c r="AE27" s="204"/>
      <c r="AF27" s="204"/>
    </row>
    <row r="28" spans="1:32">
      <c r="D28" s="6"/>
      <c r="E28" s="6"/>
      <c r="L28" s="204"/>
      <c r="M28" s="204"/>
      <c r="N28" s="204"/>
      <c r="O28" s="204"/>
      <c r="P28" s="204"/>
      <c r="Q28" s="204"/>
      <c r="R28" s="204"/>
      <c r="S28" s="204"/>
      <c r="T28" s="204"/>
      <c r="U28" s="204"/>
      <c r="V28" s="204"/>
      <c r="W28" s="204"/>
      <c r="X28" s="204"/>
      <c r="Y28" s="204"/>
      <c r="Z28" s="204"/>
      <c r="AA28" s="204"/>
      <c r="AB28" s="204"/>
      <c r="AC28" s="204"/>
      <c r="AD28" s="204"/>
      <c r="AE28" s="204"/>
      <c r="AF28" s="204"/>
    </row>
    <row r="29" spans="1:32">
      <c r="D29" s="6"/>
      <c r="E29" s="6"/>
      <c r="K29" s="204"/>
      <c r="L29" s="204"/>
      <c r="M29" s="204"/>
      <c r="N29" s="204"/>
      <c r="O29" s="204"/>
      <c r="P29" s="204"/>
      <c r="Q29" s="204"/>
      <c r="R29" s="204"/>
      <c r="S29" s="204"/>
      <c r="T29" s="204"/>
      <c r="U29" s="204"/>
      <c r="V29" s="204"/>
      <c r="W29" s="204"/>
      <c r="X29" s="204"/>
      <c r="Y29" s="204"/>
      <c r="Z29" s="204"/>
      <c r="AA29" s="204"/>
      <c r="AB29" s="204"/>
      <c r="AC29" s="204"/>
      <c r="AD29" s="204"/>
      <c r="AE29" s="204"/>
      <c r="AF29" s="204"/>
    </row>
    <row r="30" spans="1:32" ht="14.25" customHeight="1">
      <c r="D30" s="26"/>
      <c r="E30" s="26"/>
      <c r="K30" s="204"/>
      <c r="L30" s="204"/>
      <c r="M30" s="204"/>
      <c r="N30" s="204"/>
      <c r="O30" s="204"/>
      <c r="P30" s="204"/>
      <c r="Q30" s="204"/>
      <c r="R30" s="204"/>
      <c r="S30" s="204"/>
      <c r="T30" s="204"/>
      <c r="U30" s="204"/>
      <c r="V30" s="204"/>
      <c r="W30" s="204"/>
      <c r="X30" s="204"/>
      <c r="Y30" s="204"/>
      <c r="Z30" s="204"/>
      <c r="AA30" s="204"/>
      <c r="AB30" s="204"/>
      <c r="AC30" s="204"/>
      <c r="AD30" s="204"/>
      <c r="AE30" s="204"/>
      <c r="AF30" s="204"/>
    </row>
    <row r="31" spans="1:32">
      <c r="D31" s="3"/>
      <c r="E31" s="3"/>
      <c r="G31" s="204"/>
      <c r="H31" s="204"/>
      <c r="I31" s="204"/>
      <c r="J31" s="204"/>
      <c r="K31" s="204"/>
      <c r="L31" s="204"/>
      <c r="M31" s="204"/>
      <c r="N31" s="204"/>
      <c r="O31" s="204"/>
      <c r="P31" s="204"/>
      <c r="Q31" s="204"/>
      <c r="R31" s="204"/>
      <c r="S31" s="204"/>
      <c r="T31" s="204"/>
      <c r="U31" s="204"/>
      <c r="V31" s="204"/>
      <c r="W31" s="204"/>
      <c r="X31" s="204"/>
      <c r="Y31" s="204"/>
      <c r="Z31" s="204"/>
      <c r="AA31" s="204"/>
      <c r="AB31" s="204"/>
      <c r="AC31" s="204"/>
      <c r="AD31" s="204"/>
      <c r="AE31" s="204"/>
      <c r="AF31" s="204"/>
    </row>
    <row r="32" spans="1:32">
      <c r="G32" s="204"/>
      <c r="H32" s="204"/>
      <c r="I32" s="204"/>
      <c r="J32" s="204"/>
      <c r="K32" s="204"/>
      <c r="L32" s="204"/>
      <c r="M32" s="204"/>
      <c r="N32" s="204"/>
      <c r="O32" s="204"/>
      <c r="P32" s="204"/>
      <c r="Q32" s="204"/>
      <c r="R32" s="204"/>
      <c r="S32" s="204"/>
      <c r="T32" s="204"/>
      <c r="U32" s="204"/>
      <c r="V32" s="204"/>
      <c r="W32" s="204"/>
      <c r="X32" s="204"/>
      <c r="Y32" s="204"/>
      <c r="Z32" s="204"/>
      <c r="AA32" s="204"/>
      <c r="AB32" s="204"/>
      <c r="AC32" s="204"/>
      <c r="AD32" s="204"/>
      <c r="AE32" s="204"/>
      <c r="AF32" s="204"/>
    </row>
    <row r="33" spans="4:32">
      <c r="D33" s="25"/>
      <c r="E33" s="25"/>
      <c r="G33" s="204"/>
      <c r="H33" s="204"/>
      <c r="I33" s="204"/>
      <c r="J33" s="204"/>
      <c r="K33" s="204"/>
      <c r="L33" s="204"/>
      <c r="M33" s="204"/>
      <c r="N33" s="204"/>
      <c r="O33" s="204"/>
      <c r="P33" s="204"/>
      <c r="Q33" s="204"/>
      <c r="R33" s="204"/>
      <c r="S33" s="204"/>
      <c r="T33" s="204"/>
      <c r="U33" s="204"/>
      <c r="V33" s="204"/>
      <c r="W33" s="204"/>
      <c r="X33" s="204"/>
      <c r="Y33" s="204"/>
      <c r="Z33" s="204"/>
      <c r="AA33" s="204"/>
      <c r="AB33" s="204"/>
      <c r="AC33" s="204"/>
      <c r="AD33" s="204"/>
      <c r="AE33" s="204"/>
      <c r="AF33" s="204"/>
    </row>
    <row r="34" spans="4:32">
      <c r="D34" s="56"/>
      <c r="E34" s="3"/>
      <c r="G34" s="204"/>
      <c r="H34" s="204"/>
      <c r="I34" s="204"/>
      <c r="J34" s="204"/>
      <c r="K34" s="204"/>
      <c r="L34" s="204"/>
      <c r="M34" s="204"/>
      <c r="N34" s="204"/>
      <c r="O34" s="204"/>
      <c r="P34" s="204"/>
      <c r="Q34" s="204"/>
      <c r="R34" s="204"/>
      <c r="S34" s="204"/>
      <c r="T34" s="204"/>
      <c r="U34" s="204"/>
      <c r="V34" s="204"/>
      <c r="W34" s="204"/>
      <c r="X34" s="204"/>
      <c r="Y34" s="204"/>
      <c r="Z34" s="204"/>
      <c r="AA34" s="204"/>
      <c r="AB34" s="204"/>
      <c r="AC34" s="204"/>
      <c r="AD34" s="204"/>
      <c r="AE34" s="204"/>
      <c r="AF34" s="204"/>
    </row>
    <row r="35" spans="4:32">
      <c r="G35" s="204"/>
      <c r="H35" s="204"/>
      <c r="I35" s="204"/>
      <c r="J35" s="204"/>
      <c r="K35" s="204"/>
      <c r="L35" s="204"/>
      <c r="M35" s="204"/>
      <c r="N35" s="204"/>
      <c r="O35" s="204"/>
      <c r="P35" s="204"/>
      <c r="Q35" s="204"/>
      <c r="R35" s="204"/>
      <c r="S35" s="204"/>
      <c r="T35" s="204"/>
      <c r="U35" s="204"/>
      <c r="V35" s="204"/>
      <c r="W35" s="204"/>
      <c r="X35" s="204"/>
      <c r="Y35" s="204"/>
      <c r="Z35" s="204"/>
      <c r="AA35" s="204"/>
      <c r="AB35" s="204"/>
      <c r="AC35" s="204"/>
      <c r="AD35" s="204"/>
      <c r="AE35" s="204"/>
      <c r="AF35" s="204"/>
    </row>
    <row r="36" spans="4:32">
      <c r="G36" s="204"/>
      <c r="H36" s="204"/>
      <c r="I36" s="204"/>
      <c r="J36" s="204"/>
      <c r="K36" s="204"/>
      <c r="L36" s="204"/>
      <c r="M36" s="204"/>
      <c r="N36" s="204"/>
      <c r="O36" s="204"/>
      <c r="P36" s="204"/>
      <c r="Q36" s="204"/>
      <c r="R36" s="204"/>
      <c r="S36" s="204"/>
      <c r="T36" s="204"/>
      <c r="U36" s="204"/>
      <c r="V36" s="204"/>
      <c r="W36" s="204"/>
      <c r="X36" s="204"/>
      <c r="Y36" s="204"/>
      <c r="Z36" s="204"/>
      <c r="AA36" s="204"/>
      <c r="AB36" s="204"/>
      <c r="AC36" s="204"/>
      <c r="AD36" s="204"/>
      <c r="AE36" s="204"/>
      <c r="AF36" s="204"/>
    </row>
    <row r="37" spans="4:32">
      <c r="G37" s="204"/>
      <c r="H37" s="204"/>
      <c r="I37" s="204"/>
      <c r="J37" s="204"/>
      <c r="K37" s="204"/>
      <c r="L37" s="204"/>
      <c r="M37" s="204"/>
      <c r="N37" s="204"/>
      <c r="O37" s="204"/>
      <c r="P37" s="204"/>
      <c r="Q37" s="204"/>
      <c r="R37" s="204"/>
      <c r="S37" s="204"/>
      <c r="T37" s="204"/>
      <c r="U37" s="204"/>
      <c r="V37" s="204"/>
      <c r="W37" s="204"/>
      <c r="X37" s="204"/>
      <c r="Y37" s="204"/>
      <c r="Z37" s="204"/>
      <c r="AA37" s="204"/>
      <c r="AB37" s="204"/>
      <c r="AC37" s="204"/>
      <c r="AD37" s="204"/>
      <c r="AE37" s="204"/>
      <c r="AF37" s="204"/>
    </row>
    <row r="38" spans="4:32">
      <c r="G38" s="204"/>
      <c r="H38" s="204"/>
      <c r="I38" s="204"/>
      <c r="J38" s="204"/>
      <c r="K38" s="204"/>
      <c r="L38" s="204"/>
      <c r="M38" s="204"/>
      <c r="N38" s="204"/>
      <c r="O38" s="204"/>
      <c r="P38" s="204"/>
      <c r="Q38" s="204"/>
      <c r="R38" s="204"/>
      <c r="S38" s="204"/>
      <c r="T38" s="204"/>
      <c r="U38" s="204"/>
      <c r="V38" s="204"/>
      <c r="W38" s="204"/>
      <c r="X38" s="204"/>
      <c r="Y38" s="204"/>
      <c r="Z38" s="204"/>
      <c r="AA38" s="204"/>
      <c r="AB38" s="204"/>
      <c r="AC38" s="204"/>
      <c r="AD38" s="204"/>
      <c r="AE38" s="204"/>
      <c r="AF38" s="204"/>
    </row>
  </sheetData>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9"/>
  <sheetViews>
    <sheetView workbookViewId="0"/>
  </sheetViews>
  <sheetFormatPr defaultRowHeight="12"/>
  <cols>
    <col min="1" max="1" width="2" style="199" customWidth="1"/>
    <col min="2" max="2" width="31.42578125" style="199" customWidth="1"/>
    <col min="3" max="3" width="14.28515625" style="199" customWidth="1"/>
    <col min="4" max="4" width="12.85546875" style="199" customWidth="1"/>
    <col min="5" max="5" width="8.42578125" style="199" bestFit="1" customWidth="1"/>
    <col min="6" max="6" width="12.85546875" style="199" customWidth="1" collapsed="1"/>
    <col min="7" max="7" width="12.42578125" style="199" customWidth="1"/>
    <col min="8" max="8" width="11.7109375" style="199" customWidth="1"/>
    <col min="9" max="9" width="12.42578125" style="199" customWidth="1"/>
    <col min="10" max="10" width="9.140625" style="199" customWidth="1"/>
    <col min="11" max="11" width="10.85546875" style="199" customWidth="1"/>
    <col min="12" max="12" width="15.85546875" style="199" customWidth="1"/>
    <col min="13" max="13" width="12.5703125" style="199" customWidth="1"/>
    <col min="14" max="14" width="13.28515625" style="199" customWidth="1"/>
    <col min="15" max="25" width="9.140625" style="199" customWidth="1"/>
    <col min="26" max="26" width="9.28515625" style="199" customWidth="1"/>
    <col min="27" max="27" width="9.42578125" style="199" customWidth="1"/>
    <col min="28" max="28" width="10" style="199" customWidth="1"/>
    <col min="29" max="29" width="11.42578125" style="199" customWidth="1"/>
    <col min="30" max="30" width="9.42578125" style="199" bestFit="1" customWidth="1" collapsed="1"/>
    <col min="31" max="16384" width="9.140625" style="199"/>
  </cols>
  <sheetData>
    <row r="1" spans="1:31" s="198" customFormat="1" ht="15" customHeight="1">
      <c r="B1" s="18" t="s">
        <v>346</v>
      </c>
      <c r="C1" s="197"/>
      <c r="D1" s="197"/>
      <c r="E1" s="197"/>
      <c r="F1" s="197"/>
      <c r="G1" s="197"/>
      <c r="H1" s="197"/>
      <c r="I1" s="197"/>
      <c r="J1" s="197"/>
      <c r="K1" s="197"/>
    </row>
    <row r="2" spans="1:31" ht="12" customHeight="1">
      <c r="C2" s="227"/>
    </row>
    <row r="3" spans="1:31" ht="12" customHeight="1">
      <c r="A3" s="201"/>
      <c r="B3" s="216" t="s">
        <v>19</v>
      </c>
      <c r="C3" s="98">
        <f>'Risk Free Rate'!C4</f>
        <v>5.722E-2</v>
      </c>
      <c r="D3" s="342"/>
      <c r="E3" s="103"/>
      <c r="F3" s="103" t="s">
        <v>281</v>
      </c>
      <c r="G3" s="103" t="s">
        <v>7</v>
      </c>
      <c r="H3" s="103" t="s">
        <v>270</v>
      </c>
      <c r="I3" s="261" t="s">
        <v>271</v>
      </c>
      <c r="J3" s="261" t="s">
        <v>3</v>
      </c>
      <c r="K3" s="261" t="s">
        <v>272</v>
      </c>
      <c r="L3" s="261" t="s">
        <v>330</v>
      </c>
      <c r="M3" s="261" t="s">
        <v>225</v>
      </c>
      <c r="N3" s="103" t="s">
        <v>275</v>
      </c>
      <c r="O3" s="245"/>
    </row>
    <row r="4" spans="1:31" ht="12" customHeight="1">
      <c r="A4" s="206"/>
      <c r="B4" s="216" t="s">
        <v>20</v>
      </c>
      <c r="C4" s="345">
        <f>'Equity Risk Premium'!F28</f>
        <v>3.6515277892807708E-2</v>
      </c>
      <c r="D4" s="342"/>
      <c r="E4" s="293" t="s">
        <v>265</v>
      </c>
      <c r="F4" s="289">
        <v>50390.700000000004</v>
      </c>
      <c r="G4" s="289">
        <v>1338.44</v>
      </c>
      <c r="H4" s="289"/>
      <c r="I4" s="348">
        <f>C17/G4</f>
        <v>-7.2689100744149859E-2</v>
      </c>
      <c r="J4" s="289">
        <f>G4*I4</f>
        <v>-97.289999999999935</v>
      </c>
      <c r="K4" s="289">
        <f>J4</f>
        <v>-97.289999999999935</v>
      </c>
      <c r="L4" s="298">
        <f>$G$4/$F$17</f>
        <v>1.4579003550966172</v>
      </c>
      <c r="M4" s="289"/>
      <c r="N4" s="289"/>
      <c r="O4" s="200"/>
      <c r="Q4" s="203"/>
      <c r="R4" s="203"/>
      <c r="S4" s="203"/>
      <c r="T4" s="203"/>
      <c r="Y4" s="203"/>
    </row>
    <row r="5" spans="1:31" ht="12" customHeight="1">
      <c r="A5" s="206"/>
      <c r="B5" s="216" t="s">
        <v>14</v>
      </c>
      <c r="C5" s="266">
        <f>Beta!C17*(1+(1-Beta!C13)*((396.63+32.69)/(186.7+345.88)))</f>
        <v>0.9388985980383574</v>
      </c>
      <c r="D5" s="342"/>
      <c r="E5" s="287">
        <v>1</v>
      </c>
      <c r="F5" s="291">
        <v>53901.12675000001</v>
      </c>
      <c r="G5" s="291">
        <f>G4*(1+H5)</f>
        <v>1873.816</v>
      </c>
      <c r="H5" s="237">
        <v>0.4</v>
      </c>
      <c r="I5" s="96">
        <v>-0.05</v>
      </c>
      <c r="J5" s="291">
        <f>G5*I5</f>
        <v>-93.69080000000001</v>
      </c>
      <c r="K5" s="290">
        <f t="shared" ref="K5:K9" si="0">J5</f>
        <v>-93.69080000000001</v>
      </c>
      <c r="L5" s="266">
        <f t="shared" ref="L5:L13" si="1">$G$4/$F$17</f>
        <v>1.4579003550966172</v>
      </c>
      <c r="M5" s="349">
        <f t="shared" ref="M5:M14" si="2">(G5-G4)/L5</f>
        <v>367.22399999999988</v>
      </c>
      <c r="N5" s="349">
        <f t="shared" ref="N5:N14" si="3">K5-M5</f>
        <v>-460.9147999999999</v>
      </c>
      <c r="O5" s="50"/>
      <c r="Q5" s="204"/>
      <c r="R5" s="204"/>
      <c r="S5" s="204"/>
      <c r="T5" s="204"/>
      <c r="U5" s="204"/>
      <c r="V5" s="204"/>
      <c r="W5" s="204"/>
      <c r="X5" s="204"/>
      <c r="Y5" s="204"/>
      <c r="Z5" s="204"/>
      <c r="AA5" s="204"/>
      <c r="AB5" s="204"/>
      <c r="AC5" s="204"/>
      <c r="AD5" s="204"/>
    </row>
    <row r="6" spans="1:31" ht="12" customHeight="1">
      <c r="A6" s="206"/>
      <c r="B6" s="220" t="s">
        <v>17</v>
      </c>
      <c r="C6" s="357">
        <f>C3+(C5*C4)</f>
        <v>9.1504143220538181E-2</v>
      </c>
      <c r="D6" s="342"/>
      <c r="E6" s="287">
        <v>2</v>
      </c>
      <c r="F6" s="291">
        <v>57635.265645000014</v>
      </c>
      <c r="G6" s="291">
        <f t="shared" ref="G6:G13" si="4">G5*(1+H6)</f>
        <v>2435.9608000000003</v>
      </c>
      <c r="H6" s="237">
        <v>0.3</v>
      </c>
      <c r="I6" s="96">
        <v>-0.03</v>
      </c>
      <c r="J6" s="291">
        <f t="shared" ref="J6:J13" si="5">G6*I6</f>
        <v>-73.078824000000012</v>
      </c>
      <c r="K6" s="290">
        <f t="shared" si="0"/>
        <v>-73.078824000000012</v>
      </c>
      <c r="L6" s="266">
        <f t="shared" si="1"/>
        <v>1.4579003550966172</v>
      </c>
      <c r="M6" s="349">
        <f t="shared" si="2"/>
        <v>385.58520000000004</v>
      </c>
      <c r="N6" s="349">
        <f t="shared" si="3"/>
        <v>-458.66402400000004</v>
      </c>
      <c r="O6" s="236"/>
      <c r="Q6" s="204"/>
      <c r="R6" s="204"/>
      <c r="S6" s="204"/>
      <c r="T6" s="204"/>
      <c r="U6" s="204"/>
      <c r="V6" s="204"/>
      <c r="W6" s="204"/>
      <c r="X6" s="204"/>
      <c r="Y6" s="204"/>
      <c r="Z6" s="204"/>
      <c r="AA6" s="204"/>
      <c r="AB6" s="204"/>
      <c r="AC6" s="204"/>
      <c r="AD6" s="204"/>
    </row>
    <row r="7" spans="1:31" ht="12" customHeight="1">
      <c r="B7" s="114" t="s">
        <v>165</v>
      </c>
      <c r="C7" s="345">
        <f>'Cost of Equity &amp; Debt'!C15</f>
        <v>3.2140000000000002E-2</v>
      </c>
      <c r="D7" s="342"/>
      <c r="E7" s="287">
        <v>3</v>
      </c>
      <c r="F7" s="291">
        <v>61604.950414425024</v>
      </c>
      <c r="G7" s="291">
        <f t="shared" si="4"/>
        <v>3044.9510000000005</v>
      </c>
      <c r="H7" s="237">
        <v>0.25</v>
      </c>
      <c r="I7" s="96">
        <v>-0.01</v>
      </c>
      <c r="J7" s="291">
        <f t="shared" si="5"/>
        <v>-30.449510000000004</v>
      </c>
      <c r="K7" s="290">
        <f t="shared" si="0"/>
        <v>-30.449510000000004</v>
      </c>
      <c r="L7" s="266">
        <f t="shared" si="1"/>
        <v>1.4579003550966172</v>
      </c>
      <c r="M7" s="349">
        <f t="shared" si="2"/>
        <v>417.71730000000002</v>
      </c>
      <c r="N7" s="349">
        <f t="shared" si="3"/>
        <v>-448.16681000000005</v>
      </c>
      <c r="O7" s="236"/>
      <c r="Q7" s="204"/>
      <c r="R7" s="204"/>
      <c r="S7" s="204"/>
      <c r="T7" s="204"/>
      <c r="U7" s="204"/>
      <c r="V7" s="204"/>
      <c r="W7" s="204"/>
      <c r="X7" s="204"/>
      <c r="Y7" s="204"/>
      <c r="Z7" s="204"/>
      <c r="AA7" s="204"/>
      <c r="AB7" s="204"/>
      <c r="AC7" s="204"/>
      <c r="AD7" s="204"/>
    </row>
    <row r="8" spans="1:31" ht="12" customHeight="1">
      <c r="A8" s="206"/>
      <c r="B8" s="114" t="s">
        <v>164</v>
      </c>
      <c r="C8" s="346">
        <f>'Cost of Equity &amp; Debt'!C16</f>
        <v>1.6102325581395347</v>
      </c>
      <c r="E8" s="287">
        <v>4</v>
      </c>
      <c r="F8" s="291">
        <v>65822.332790622022</v>
      </c>
      <c r="G8" s="291">
        <f t="shared" si="4"/>
        <v>3806.1887500000007</v>
      </c>
      <c r="H8" s="237">
        <v>0.25</v>
      </c>
      <c r="I8" s="96">
        <v>0.02</v>
      </c>
      <c r="J8" s="291">
        <f t="shared" si="5"/>
        <v>76.123775000000009</v>
      </c>
      <c r="K8" s="290">
        <f>J8</f>
        <v>76.123775000000009</v>
      </c>
      <c r="L8" s="266">
        <f t="shared" si="1"/>
        <v>1.4579003550966172</v>
      </c>
      <c r="M8" s="349">
        <f t="shared" si="2"/>
        <v>522.14662499999997</v>
      </c>
      <c r="N8" s="349">
        <f t="shared" si="3"/>
        <v>-446.02284999999995</v>
      </c>
      <c r="O8" s="204"/>
      <c r="P8" s="204"/>
      <c r="Q8" s="204"/>
      <c r="R8" s="204"/>
      <c r="S8" s="204"/>
      <c r="T8" s="204"/>
      <c r="U8" s="204"/>
      <c r="V8" s="204"/>
      <c r="W8" s="204"/>
      <c r="X8" s="204"/>
      <c r="Y8" s="204"/>
      <c r="Z8" s="204"/>
      <c r="AA8" s="204"/>
      <c r="AB8" s="204"/>
      <c r="AC8" s="204"/>
      <c r="AD8" s="204"/>
    </row>
    <row r="9" spans="1:31" ht="12" customHeight="1">
      <c r="A9" s="206"/>
      <c r="B9" s="114" t="s">
        <v>23</v>
      </c>
      <c r="C9" s="345">
        <f>'Cost of Equity &amp; Debt'!C17</f>
        <v>1.8700000000000001E-2</v>
      </c>
      <c r="E9" s="287">
        <v>5</v>
      </c>
      <c r="F9" s="291">
        <v>70589.143665297728</v>
      </c>
      <c r="G9" s="291">
        <f t="shared" si="4"/>
        <v>4567.4265000000005</v>
      </c>
      <c r="H9" s="237">
        <v>0.2</v>
      </c>
      <c r="I9" s="96">
        <v>0.03</v>
      </c>
      <c r="J9" s="291">
        <f t="shared" si="5"/>
        <v>137.022795</v>
      </c>
      <c r="K9" s="290">
        <f t="shared" si="0"/>
        <v>137.022795</v>
      </c>
      <c r="L9" s="266">
        <f t="shared" si="1"/>
        <v>1.4579003550966172</v>
      </c>
      <c r="M9" s="349">
        <f t="shared" si="2"/>
        <v>522.14662499999974</v>
      </c>
      <c r="N9" s="349">
        <f t="shared" si="3"/>
        <v>-385.12382999999977</v>
      </c>
      <c r="O9" s="204"/>
      <c r="P9" s="204"/>
      <c r="Q9" s="204"/>
      <c r="R9" s="204"/>
      <c r="S9" s="204"/>
      <c r="T9" s="204"/>
      <c r="U9" s="204"/>
      <c r="V9" s="204"/>
      <c r="W9" s="204"/>
      <c r="X9" s="204"/>
      <c r="Y9" s="204"/>
      <c r="Z9" s="204"/>
      <c r="AA9" s="204"/>
      <c r="AB9" s="204"/>
      <c r="AC9" s="204"/>
      <c r="AD9" s="204"/>
    </row>
    <row r="10" spans="1:31">
      <c r="A10" s="202"/>
      <c r="B10" s="54" t="s">
        <v>326</v>
      </c>
      <c r="C10" s="98">
        <v>0.1434</v>
      </c>
      <c r="D10" s="342"/>
      <c r="E10" s="287">
        <v>6</v>
      </c>
      <c r="F10" s="291">
        <v>75680.819601811017</v>
      </c>
      <c r="G10" s="291">
        <f t="shared" si="4"/>
        <v>5480.9118000000008</v>
      </c>
      <c r="H10" s="237">
        <v>0.2</v>
      </c>
      <c r="I10" s="96">
        <v>0.05</v>
      </c>
      <c r="J10" s="291">
        <f>G10*I10</f>
        <v>274.04559000000006</v>
      </c>
      <c r="K10" s="290">
        <f>J10</f>
        <v>274.04559000000006</v>
      </c>
      <c r="L10" s="266">
        <f t="shared" si="1"/>
        <v>1.4579003550966172</v>
      </c>
      <c r="M10" s="349">
        <f t="shared" si="2"/>
        <v>626.57595000000003</v>
      </c>
      <c r="N10" s="349">
        <f t="shared" si="3"/>
        <v>-352.53035999999997</v>
      </c>
      <c r="O10" s="204"/>
      <c r="P10" s="204"/>
      <c r="Q10" s="204"/>
      <c r="R10" s="204"/>
      <c r="S10" s="204"/>
      <c r="T10" s="204"/>
      <c r="U10" s="204"/>
      <c r="V10" s="204"/>
      <c r="W10" s="204"/>
      <c r="X10" s="204"/>
      <c r="Y10" s="204"/>
      <c r="Z10" s="204"/>
      <c r="AA10" s="204"/>
      <c r="AB10" s="204"/>
      <c r="AC10" s="204"/>
      <c r="AD10" s="204"/>
    </row>
    <row r="11" spans="1:31" ht="12.75" customHeight="1">
      <c r="A11" s="206"/>
      <c r="B11" s="316" t="s">
        <v>18</v>
      </c>
      <c r="C11" s="316">
        <f>C7+(C8*C9)+C10</f>
        <v>0.20565134883720931</v>
      </c>
      <c r="D11" s="342"/>
      <c r="E11" s="287">
        <v>7</v>
      </c>
      <c r="F11" s="291">
        <v>81804.659254590893</v>
      </c>
      <c r="G11" s="291">
        <f t="shared" si="4"/>
        <v>6303.0485700000008</v>
      </c>
      <c r="H11" s="237">
        <v>0.15</v>
      </c>
      <c r="I11" s="96">
        <v>0.05</v>
      </c>
      <c r="J11" s="291">
        <f t="shared" si="5"/>
        <v>315.15242850000004</v>
      </c>
      <c r="K11" s="290">
        <f>J11-(81.31*(1-WACC!$C$11))</f>
        <v>254.30815550000005</v>
      </c>
      <c r="L11" s="266">
        <f t="shared" si="1"/>
        <v>1.4579003550966172</v>
      </c>
      <c r="M11" s="349">
        <f t="shared" si="2"/>
        <v>563.91835499999991</v>
      </c>
      <c r="N11" s="349">
        <f t="shared" si="3"/>
        <v>-309.61019949999985</v>
      </c>
      <c r="O11" s="204"/>
      <c r="P11" s="204"/>
      <c r="Q11" s="204"/>
      <c r="R11" s="204"/>
      <c r="S11" s="204"/>
      <c r="T11" s="204"/>
      <c r="U11" s="204"/>
      <c r="V11" s="204"/>
      <c r="W11" s="204"/>
      <c r="X11" s="204"/>
      <c r="Y11" s="204"/>
      <c r="Z11" s="204"/>
      <c r="AA11" s="204"/>
      <c r="AB11" s="204"/>
      <c r="AC11" s="204"/>
      <c r="AD11" s="204"/>
    </row>
    <row r="12" spans="1:31">
      <c r="B12" s="114" t="s">
        <v>178</v>
      </c>
      <c r="C12" s="189">
        <f>396.63+32.69</f>
        <v>429.32</v>
      </c>
      <c r="E12" s="287">
        <v>8</v>
      </c>
      <c r="F12" s="291">
        <v>88417.775406096494</v>
      </c>
      <c r="G12" s="291">
        <f t="shared" si="4"/>
        <v>7059.414398400002</v>
      </c>
      <c r="H12" s="237">
        <v>0.12</v>
      </c>
      <c r="I12" s="96">
        <v>7.0000000000000007E-2</v>
      </c>
      <c r="J12" s="291">
        <f t="shared" si="5"/>
        <v>494.15900788800019</v>
      </c>
      <c r="K12" s="290">
        <f>J12*(1-$M$22)</f>
        <v>369.77918560259053</v>
      </c>
      <c r="L12" s="266">
        <f t="shared" si="1"/>
        <v>1.4579003550966172</v>
      </c>
      <c r="M12" s="349">
        <f t="shared" si="2"/>
        <v>518.80488660000071</v>
      </c>
      <c r="N12" s="349">
        <f t="shared" si="3"/>
        <v>-149.02570099741018</v>
      </c>
      <c r="O12" s="245"/>
      <c r="P12" s="204"/>
      <c r="Q12" s="204"/>
      <c r="R12" s="204"/>
      <c r="S12" s="204"/>
      <c r="T12" s="204"/>
      <c r="U12" s="204"/>
      <c r="V12" s="204"/>
      <c r="W12" s="204"/>
      <c r="X12" s="204"/>
      <c r="Y12" s="204"/>
      <c r="Z12" s="204"/>
      <c r="AA12" s="204"/>
      <c r="AB12" s="204"/>
      <c r="AC12" s="204"/>
      <c r="AD12" s="204"/>
    </row>
    <row r="13" spans="1:31" ht="12" customHeight="1">
      <c r="A13" s="206"/>
      <c r="B13" s="114" t="s">
        <v>328</v>
      </c>
      <c r="C13" s="189">
        <f>186.7+345.88</f>
        <v>532.57999999999993</v>
      </c>
      <c r="D13" s="342"/>
      <c r="E13" s="287">
        <v>9</v>
      </c>
      <c r="F13" s="291">
        <v>96375.375192645181</v>
      </c>
      <c r="G13" s="291">
        <f t="shared" si="4"/>
        <v>7553.5734062880028</v>
      </c>
      <c r="H13" s="237">
        <v>7.0000000000000007E-2</v>
      </c>
      <c r="I13" s="96">
        <v>0.08</v>
      </c>
      <c r="J13" s="291">
        <f t="shared" si="5"/>
        <v>604.2858725030402</v>
      </c>
      <c r="K13" s="290">
        <f>J13*(1-$M$22)</f>
        <v>452.18711839402494</v>
      </c>
      <c r="L13" s="266">
        <f t="shared" si="1"/>
        <v>1.4579003550966172</v>
      </c>
      <c r="M13" s="349">
        <f t="shared" si="2"/>
        <v>338.95252591200045</v>
      </c>
      <c r="N13" s="349">
        <f t="shared" si="3"/>
        <v>113.23459248202448</v>
      </c>
      <c r="O13" s="204"/>
      <c r="P13" s="204"/>
      <c r="Q13" s="204"/>
      <c r="R13" s="204"/>
      <c r="S13" s="204"/>
      <c r="T13" s="204"/>
      <c r="U13" s="204"/>
      <c r="V13" s="204"/>
      <c r="W13" s="204"/>
      <c r="X13" s="204"/>
      <c r="Y13" s="204"/>
      <c r="Z13" s="204"/>
      <c r="AA13" s="204"/>
      <c r="AB13" s="204"/>
      <c r="AC13" s="204"/>
      <c r="AD13" s="204"/>
    </row>
    <row r="14" spans="1:31">
      <c r="B14" s="114" t="s">
        <v>8</v>
      </c>
      <c r="C14" s="95">
        <f>(C6*(C13/(C12+C13))+(C11*(C12/(C12+C13)*(1-WACC!C11))))</f>
        <v>0.11934802058992255</v>
      </c>
      <c r="E14" s="287">
        <v>10</v>
      </c>
      <c r="F14" s="291">
        <v>105049.15895998327</v>
      </c>
      <c r="G14" s="291">
        <f>F14*7.5%</f>
        <v>7878.6869219987448</v>
      </c>
      <c r="H14" s="237">
        <v>4.3041429032960203E-2</v>
      </c>
      <c r="I14" s="96">
        <v>0.08</v>
      </c>
      <c r="J14" s="291">
        <f>G14*I14</f>
        <v>630.29495375989961</v>
      </c>
      <c r="K14" s="290">
        <f>J14*(1-$M$22)</f>
        <v>471.64971389853287</v>
      </c>
      <c r="L14" s="266">
        <f>$G$4/$F$17</f>
        <v>1.4579003550966172</v>
      </c>
      <c r="M14" s="349">
        <f t="shared" si="2"/>
        <v>223.00119111308959</v>
      </c>
      <c r="N14" s="349">
        <f t="shared" si="3"/>
        <v>248.64852278544328</v>
      </c>
      <c r="O14" s="204"/>
      <c r="P14" s="204"/>
      <c r="Q14" s="204"/>
      <c r="R14" s="204"/>
      <c r="S14" s="204"/>
      <c r="T14" s="204"/>
      <c r="U14" s="204"/>
      <c r="V14" s="204"/>
      <c r="W14" s="204"/>
      <c r="X14" s="204"/>
      <c r="Y14" s="204"/>
      <c r="Z14" s="204"/>
      <c r="AA14" s="204"/>
      <c r="AB14" s="204"/>
      <c r="AC14" s="204"/>
      <c r="AD14" s="204"/>
    </row>
    <row r="15" spans="1:31">
      <c r="B15" s="54" t="s">
        <v>329</v>
      </c>
      <c r="C15" s="217">
        <f>SUM(J4:J7)+(-91.46+0.12+0.4)+(-66.32-0.08+1.9)+(-155.14+0.08+1+41)+(-91.83+1.56+42.03)</f>
        <v>-611.24913399999991</v>
      </c>
      <c r="D15" s="343"/>
      <c r="J15" s="204"/>
      <c r="N15" s="204"/>
      <c r="O15" s="204"/>
      <c r="P15" s="204"/>
      <c r="Q15" s="204"/>
      <c r="R15" s="204"/>
      <c r="S15" s="204"/>
      <c r="T15" s="204"/>
      <c r="U15" s="204"/>
      <c r="V15" s="204"/>
      <c r="W15" s="204"/>
      <c r="X15" s="204"/>
      <c r="Y15" s="204"/>
      <c r="Z15" s="204"/>
      <c r="AA15" s="204"/>
      <c r="AB15" s="204"/>
      <c r="AC15" s="204"/>
      <c r="AD15" s="204"/>
      <c r="AE15" s="204"/>
    </row>
    <row r="16" spans="1:31">
      <c r="B16" s="216" t="s">
        <v>167</v>
      </c>
      <c r="C16" s="359">
        <f>AVERAGE(40.35, 42.03)</f>
        <v>41.19</v>
      </c>
      <c r="E16" s="103"/>
      <c r="F16" s="103" t="s">
        <v>331</v>
      </c>
      <c r="G16" s="103" t="s">
        <v>277</v>
      </c>
      <c r="I16" s="400" t="s">
        <v>294</v>
      </c>
      <c r="J16" s="400"/>
      <c r="L16" s="400" t="s">
        <v>332</v>
      </c>
      <c r="M16" s="400"/>
      <c r="O16" s="204"/>
      <c r="P16" s="204"/>
      <c r="Q16" s="204"/>
      <c r="R16" s="204"/>
      <c r="S16" s="204"/>
      <c r="T16" s="204"/>
      <c r="U16" s="204"/>
      <c r="V16" s="204"/>
      <c r="W16" s="204"/>
      <c r="X16" s="204"/>
      <c r="Y16" s="204"/>
      <c r="Z16" s="204"/>
      <c r="AA16" s="204"/>
      <c r="AB16" s="204"/>
      <c r="AC16" s="204"/>
      <c r="AD16" s="204"/>
      <c r="AE16" s="204"/>
    </row>
    <row r="17" spans="1:31">
      <c r="B17" s="216" t="s">
        <v>3</v>
      </c>
      <c r="C17" s="359">
        <f>1338.44+25.02-1122.06+14-94.04-189.02-69.63</f>
        <v>-97.289999999999935</v>
      </c>
      <c r="E17" s="293" t="s">
        <v>265</v>
      </c>
      <c r="F17" s="289">
        <f>C12+C13-(8.09+0.33+35.42)</f>
        <v>918.05999999999983</v>
      </c>
      <c r="G17" s="348">
        <f t="shared" ref="G17:G27" si="6">K4/F17</f>
        <v>-0.10597346578654984</v>
      </c>
      <c r="I17" s="288" t="s">
        <v>17</v>
      </c>
      <c r="J17" s="237">
        <f>C3 + (0.73*C4)</f>
        <v>8.3876152861749625E-2</v>
      </c>
      <c r="K17" s="354"/>
      <c r="L17" s="230" t="s">
        <v>15</v>
      </c>
      <c r="M17" s="270">
        <v>0.04</v>
      </c>
      <c r="O17" s="204"/>
      <c r="P17" s="204"/>
      <c r="Q17" s="204"/>
      <c r="R17" s="204"/>
      <c r="S17" s="204"/>
      <c r="T17" s="204"/>
      <c r="U17" s="204"/>
      <c r="V17" s="204"/>
      <c r="W17" s="204"/>
      <c r="X17" s="204"/>
      <c r="Y17" s="204"/>
      <c r="Z17" s="204"/>
      <c r="AA17" s="204"/>
      <c r="AB17" s="204"/>
      <c r="AC17" s="204"/>
      <c r="AD17" s="204"/>
      <c r="AE17" s="204"/>
    </row>
    <row r="18" spans="1:31">
      <c r="A18" s="206"/>
      <c r="B18" s="220" t="s">
        <v>327</v>
      </c>
      <c r="C18" s="350">
        <f>C17/C16</f>
        <v>-2.361981063364893</v>
      </c>
      <c r="E18" s="287">
        <v>1</v>
      </c>
      <c r="F18" s="349">
        <f t="shared" ref="F18:F27" si="7">F17+M5</f>
        <v>1285.2839999999997</v>
      </c>
      <c r="G18" s="96">
        <f t="shared" si="6"/>
        <v>-7.2895017754830871E-2</v>
      </c>
      <c r="I18" s="288" t="s">
        <v>18</v>
      </c>
      <c r="J18" s="237">
        <f>C7+(C8*C9)+3.15%</f>
        <v>9.37513488372093E-2</v>
      </c>
      <c r="K18" s="354"/>
      <c r="L18" s="216" t="s">
        <v>277</v>
      </c>
      <c r="M18" s="96">
        <f>G27</f>
        <v>8.7275746857503902E-2</v>
      </c>
      <c r="O18" s="204"/>
      <c r="P18" s="204"/>
      <c r="Q18" s="204"/>
      <c r="R18" s="204"/>
      <c r="S18" s="204"/>
      <c r="T18" s="204"/>
      <c r="U18" s="204"/>
      <c r="V18" s="204"/>
      <c r="W18" s="204"/>
      <c r="X18" s="204"/>
      <c r="Y18" s="204"/>
      <c r="Z18" s="204"/>
      <c r="AA18" s="204"/>
      <c r="AB18" s="204"/>
      <c r="AC18" s="204"/>
      <c r="AD18" s="204"/>
      <c r="AE18" s="204"/>
    </row>
    <row r="19" spans="1:31">
      <c r="B19" s="114" t="s">
        <v>178</v>
      </c>
      <c r="C19" s="189">
        <f>C12</f>
        <v>429.32</v>
      </c>
      <c r="E19" s="287">
        <v>2</v>
      </c>
      <c r="F19" s="349">
        <f t="shared" si="7"/>
        <v>1670.8691999999996</v>
      </c>
      <c r="G19" s="96">
        <f t="shared" si="6"/>
        <v>-4.373701065289852E-2</v>
      </c>
      <c r="I19" s="288"/>
      <c r="J19" s="288"/>
      <c r="K19" s="354"/>
      <c r="L19" s="220" t="s">
        <v>335</v>
      </c>
      <c r="M19" s="316">
        <f>M17/M18</f>
        <v>0.45831747581958193</v>
      </c>
      <c r="O19" s="204"/>
      <c r="P19" s="204"/>
      <c r="Q19" s="204"/>
      <c r="R19" s="204"/>
      <c r="S19" s="204"/>
      <c r="T19" s="204"/>
      <c r="U19" s="204"/>
      <c r="V19" s="204"/>
      <c r="W19" s="204"/>
      <c r="X19" s="204"/>
      <c r="Y19" s="204"/>
      <c r="Z19" s="204"/>
      <c r="AA19" s="204"/>
      <c r="AB19" s="204"/>
      <c r="AC19" s="204"/>
      <c r="AD19" s="204"/>
      <c r="AE19" s="204"/>
    </row>
    <row r="20" spans="1:31">
      <c r="A20" s="206"/>
      <c r="B20" s="114" t="s">
        <v>182</v>
      </c>
      <c r="C20" s="189">
        <f>C16</f>
        <v>41.19</v>
      </c>
      <c r="E20" s="287">
        <v>3</v>
      </c>
      <c r="F20" s="349">
        <f t="shared" si="7"/>
        <v>2088.5864999999994</v>
      </c>
      <c r="G20" s="96">
        <f t="shared" si="6"/>
        <v>-1.4579003550966174E-2</v>
      </c>
      <c r="I20" s="288" t="s">
        <v>337</v>
      </c>
      <c r="J20" s="351">
        <v>0.1</v>
      </c>
      <c r="K20" s="354"/>
      <c r="L20" s="212"/>
      <c r="M20" s="212"/>
      <c r="O20" s="204"/>
      <c r="P20" s="204"/>
      <c r="Q20" s="204"/>
      <c r="R20" s="204"/>
      <c r="S20" s="204"/>
      <c r="T20" s="204"/>
      <c r="U20" s="204"/>
      <c r="V20" s="204"/>
      <c r="W20" s="204"/>
      <c r="X20" s="204"/>
      <c r="Y20" s="204"/>
      <c r="Z20" s="204"/>
      <c r="AA20" s="204"/>
      <c r="AB20" s="204"/>
      <c r="AC20" s="204"/>
      <c r="AD20" s="204"/>
      <c r="AE20" s="204"/>
    </row>
    <row r="21" spans="1:31">
      <c r="B21" s="114" t="s">
        <v>18</v>
      </c>
      <c r="C21" s="96">
        <f>C11</f>
        <v>0.20565134883720931</v>
      </c>
      <c r="E21" s="287">
        <v>4</v>
      </c>
      <c r="F21" s="349">
        <f t="shared" si="7"/>
        <v>2610.7331249999993</v>
      </c>
      <c r="G21" s="96">
        <f t="shared" si="6"/>
        <v>2.9158007101932348E-2</v>
      </c>
      <c r="I21" s="288" t="s">
        <v>338</v>
      </c>
      <c r="J21" s="331">
        <v>0.9</v>
      </c>
      <c r="K21" s="354"/>
      <c r="L21" s="216" t="s">
        <v>287</v>
      </c>
      <c r="M21" s="189">
        <f>($G$14*(1+$M$17))*$I$14</f>
        <v>655.50675191029563</v>
      </c>
      <c r="O21" s="204"/>
      <c r="P21" s="204"/>
      <c r="Q21" s="204"/>
      <c r="R21" s="204"/>
      <c r="S21" s="204"/>
      <c r="T21" s="204"/>
      <c r="U21" s="204"/>
      <c r="V21" s="204"/>
      <c r="W21" s="204"/>
      <c r="X21" s="204"/>
      <c r="Y21" s="204"/>
      <c r="Z21" s="204"/>
      <c r="AA21" s="204"/>
      <c r="AB21" s="204"/>
      <c r="AC21" s="204"/>
      <c r="AD21" s="204"/>
      <c r="AE21" s="204"/>
    </row>
    <row r="22" spans="1:31">
      <c r="B22" s="54" t="s">
        <v>185</v>
      </c>
      <c r="C22" s="192">
        <v>5</v>
      </c>
      <c r="E22" s="287">
        <v>5</v>
      </c>
      <c r="F22" s="349">
        <f t="shared" si="7"/>
        <v>3132.8797499999991</v>
      </c>
      <c r="G22" s="96">
        <f t="shared" si="6"/>
        <v>4.3737010652898513E-2</v>
      </c>
      <c r="I22" s="288"/>
      <c r="J22" s="288"/>
      <c r="K22" s="354"/>
      <c r="L22" s="216" t="s">
        <v>333</v>
      </c>
      <c r="M22" s="96">
        <f>WACC!$C$11</f>
        <v>0.25169999999999998</v>
      </c>
      <c r="O22" s="204"/>
      <c r="P22" s="204"/>
      <c r="Q22" s="204"/>
      <c r="R22" s="204"/>
      <c r="S22" s="204"/>
      <c r="T22" s="204"/>
      <c r="U22" s="204"/>
      <c r="V22" s="204"/>
      <c r="W22" s="204"/>
      <c r="X22" s="204"/>
      <c r="Y22" s="204"/>
      <c r="Z22" s="204"/>
      <c r="AA22" s="204"/>
      <c r="AB22" s="204"/>
      <c r="AC22" s="204"/>
      <c r="AD22" s="204"/>
      <c r="AE22" s="204"/>
    </row>
    <row r="23" spans="1:31" ht="12" customHeight="1">
      <c r="B23" s="114" t="s">
        <v>184</v>
      </c>
      <c r="C23" s="338">
        <f>C20*((1-(1+C21)^(-C22))/C21)+C19/(1+C21)^5</f>
        <v>290.19523791191779</v>
      </c>
      <c r="E23" s="287">
        <v>6</v>
      </c>
      <c r="F23" s="349">
        <f t="shared" si="7"/>
        <v>3759.4556999999991</v>
      </c>
      <c r="G23" s="96">
        <f t="shared" si="6"/>
        <v>7.2895017754830871E-2</v>
      </c>
      <c r="I23" s="288" t="s">
        <v>336</v>
      </c>
      <c r="J23" s="216">
        <f>0.73</f>
        <v>0.73</v>
      </c>
      <c r="K23" s="354"/>
      <c r="L23" s="220" t="s">
        <v>334</v>
      </c>
      <c r="M23" s="221">
        <f>M21*(1-M22)</f>
        <v>490.51570245447419</v>
      </c>
      <c r="O23" s="204"/>
      <c r="P23" s="204"/>
      <c r="Q23" s="204"/>
      <c r="R23" s="204"/>
      <c r="S23" s="204"/>
      <c r="T23" s="204"/>
      <c r="U23" s="204"/>
      <c r="V23" s="204"/>
      <c r="W23" s="204"/>
      <c r="X23" s="204"/>
      <c r="Y23" s="204"/>
      <c r="Z23" s="204"/>
      <c r="AA23" s="204"/>
      <c r="AB23" s="204"/>
      <c r="AC23" s="204"/>
      <c r="AD23" s="204"/>
      <c r="AE23" s="204"/>
    </row>
    <row r="24" spans="1:31">
      <c r="A24" s="206"/>
      <c r="B24" s="216" t="s">
        <v>340</v>
      </c>
      <c r="C24" s="217">
        <f>(N5/(1+$C$14)^E5)+(N6/(1+($C$14-0.2%))^E6)+(N7/(1+($C$14-0.5%))^E7)+(N8/(1+($C$14-0.5%))^E8)+(N9/(1+($C$14-1%))^E9)+(N10/(1+($C$14-1.5%))^E10)+(N11/(1+($C$14-2%))^E11)+(N12/(1+($C$14-2.5%))^E12)+(N13/(1+($C$14-3%))^E13)+(N14/(1+($C$14-3.68%))^E14)</f>
        <v>-1882.9200485988808</v>
      </c>
      <c r="E24" s="287">
        <v>7</v>
      </c>
      <c r="F24" s="349">
        <f t="shared" si="7"/>
        <v>4323.3740549999993</v>
      </c>
      <c r="G24" s="96">
        <f t="shared" si="6"/>
        <v>5.8821687012228716E-2</v>
      </c>
      <c r="I24" s="288" t="s">
        <v>339</v>
      </c>
      <c r="J24" s="96">
        <v>3.15E-2</v>
      </c>
      <c r="K24" s="354"/>
      <c r="L24" s="216"/>
      <c r="M24" s="324"/>
      <c r="O24" s="204"/>
      <c r="P24" s="204"/>
      <c r="Q24" s="204"/>
      <c r="R24" s="204"/>
      <c r="S24" s="204"/>
      <c r="T24" s="204"/>
      <c r="U24" s="204"/>
      <c r="V24" s="204"/>
      <c r="W24" s="204"/>
      <c r="X24" s="204"/>
      <c r="Y24" s="204"/>
      <c r="Z24" s="204"/>
      <c r="AA24" s="204"/>
      <c r="AB24" s="204"/>
      <c r="AC24" s="204"/>
      <c r="AD24" s="204"/>
      <c r="AE24" s="204"/>
    </row>
    <row r="25" spans="1:31">
      <c r="A25" s="206" t="s">
        <v>199</v>
      </c>
      <c r="B25" s="216" t="s">
        <v>341</v>
      </c>
      <c r="C25" s="217">
        <f>M27/(1+$J$26)^10</f>
        <v>2829.264402467179</v>
      </c>
      <c r="E25" s="287">
        <v>8</v>
      </c>
      <c r="F25" s="349">
        <f t="shared" si="7"/>
        <v>4842.1789416000001</v>
      </c>
      <c r="G25" s="96">
        <f t="shared" si="6"/>
        <v>7.6366278500315909E-2</v>
      </c>
      <c r="I25" s="212"/>
      <c r="J25" s="212"/>
      <c r="K25" s="354"/>
      <c r="L25" s="216" t="s">
        <v>290</v>
      </c>
      <c r="M25" s="325">
        <f>M23*(1-M19)</f>
        <v>265.70378385567045</v>
      </c>
      <c r="O25" s="204"/>
      <c r="P25" s="204"/>
      <c r="Q25" s="204"/>
      <c r="R25" s="204"/>
      <c r="S25" s="204"/>
      <c r="T25" s="204"/>
      <c r="U25" s="204"/>
      <c r="V25" s="204"/>
      <c r="W25" s="204"/>
      <c r="X25" s="204"/>
      <c r="Y25" s="204"/>
      <c r="Z25" s="204"/>
      <c r="AA25" s="204"/>
      <c r="AB25" s="204"/>
      <c r="AC25" s="204"/>
      <c r="AD25" s="204"/>
      <c r="AE25" s="204"/>
    </row>
    <row r="26" spans="1:31">
      <c r="A26" s="206" t="s">
        <v>199</v>
      </c>
      <c r="B26" s="216" t="s">
        <v>316</v>
      </c>
      <c r="C26" s="217">
        <f>8.09+0.33+35.42</f>
        <v>43.84</v>
      </c>
      <c r="E26" s="287">
        <v>9</v>
      </c>
      <c r="F26" s="349">
        <f t="shared" si="7"/>
        <v>5181.1314675120002</v>
      </c>
      <c r="G26" s="96">
        <f t="shared" si="6"/>
        <v>8.7275746857503889E-2</v>
      </c>
      <c r="I26" s="352" t="s">
        <v>294</v>
      </c>
      <c r="J26" s="353">
        <f>(J17*J21)+(J18*J20*(1-M22))</f>
        <v>8.2503951009063034E-2</v>
      </c>
      <c r="K26" s="354"/>
      <c r="L26" s="288"/>
      <c r="M26" s="212"/>
      <c r="O26" s="204"/>
      <c r="P26" s="204"/>
      <c r="Q26" s="204"/>
      <c r="R26" s="204"/>
      <c r="S26" s="204"/>
      <c r="T26" s="204"/>
      <c r="U26" s="204"/>
      <c r="V26" s="204"/>
      <c r="W26" s="204"/>
      <c r="X26" s="204"/>
      <c r="Y26" s="204"/>
      <c r="Z26" s="204"/>
      <c r="AA26" s="204"/>
      <c r="AB26" s="204"/>
      <c r="AC26" s="204"/>
      <c r="AD26" s="204"/>
      <c r="AE26" s="204"/>
    </row>
    <row r="27" spans="1:31">
      <c r="A27" s="206" t="s">
        <v>199</v>
      </c>
      <c r="B27" s="216" t="s">
        <v>10</v>
      </c>
      <c r="C27" s="217">
        <v>0</v>
      </c>
      <c r="E27" s="287">
        <v>10</v>
      </c>
      <c r="F27" s="349">
        <f t="shared" si="7"/>
        <v>5404.1326586250898</v>
      </c>
      <c r="G27" s="96">
        <f t="shared" si="6"/>
        <v>8.7275746857503902E-2</v>
      </c>
      <c r="K27" s="354"/>
      <c r="L27" s="54" t="s">
        <v>258</v>
      </c>
      <c r="M27" s="326">
        <f>M25/(J26-M17)</f>
        <v>6251.2725887298093</v>
      </c>
      <c r="O27" s="204"/>
      <c r="P27" s="204"/>
      <c r="Q27" s="204"/>
      <c r="R27" s="204"/>
      <c r="S27" s="204"/>
      <c r="T27" s="204"/>
      <c r="U27" s="204"/>
      <c r="V27" s="204"/>
      <c r="W27" s="204"/>
      <c r="X27" s="204"/>
      <c r="Y27" s="204"/>
      <c r="Z27" s="204"/>
      <c r="AA27" s="204"/>
      <c r="AB27" s="204"/>
      <c r="AC27" s="204"/>
      <c r="AD27" s="204"/>
      <c r="AE27" s="204"/>
    </row>
    <row r="28" spans="1:31">
      <c r="B28" s="218" t="s">
        <v>344</v>
      </c>
      <c r="C28" s="219">
        <f>SUM(C24:C27)</f>
        <v>990.18435386829822</v>
      </c>
      <c r="O28" s="204"/>
      <c r="P28" s="204"/>
      <c r="Q28" s="204"/>
      <c r="R28" s="204"/>
      <c r="S28" s="204"/>
      <c r="T28" s="204"/>
      <c r="U28" s="204"/>
      <c r="V28" s="204"/>
      <c r="W28" s="204"/>
      <c r="X28" s="204"/>
      <c r="Y28" s="204"/>
      <c r="Z28" s="204"/>
      <c r="AA28" s="204"/>
      <c r="AB28" s="204"/>
      <c r="AC28" s="204"/>
      <c r="AD28" s="204"/>
      <c r="AE28" s="204"/>
    </row>
    <row r="29" spans="1:31">
      <c r="A29" s="206" t="s">
        <v>98</v>
      </c>
      <c r="B29" s="216" t="s">
        <v>13</v>
      </c>
      <c r="C29" s="217">
        <f>C23+1.89+3.03+46.81</f>
        <v>341.92523791191775</v>
      </c>
      <c r="E29" s="356"/>
      <c r="O29" s="204"/>
      <c r="P29" s="204"/>
      <c r="Q29" s="204"/>
      <c r="R29" s="204"/>
      <c r="S29" s="204"/>
      <c r="T29" s="204"/>
      <c r="U29" s="204"/>
      <c r="V29" s="204"/>
      <c r="W29" s="204"/>
      <c r="X29" s="204"/>
      <c r="Y29" s="204"/>
      <c r="Z29" s="204"/>
      <c r="AA29" s="204"/>
      <c r="AB29" s="204"/>
      <c r="AC29" s="204"/>
      <c r="AD29" s="204"/>
      <c r="AE29" s="204"/>
    </row>
    <row r="30" spans="1:31" ht="12" customHeight="1">
      <c r="B30" s="216" t="s">
        <v>345</v>
      </c>
      <c r="C30" s="360">
        <f>C28-C29</f>
        <v>648.25911595638047</v>
      </c>
      <c r="E30" s="356"/>
      <c r="F30" s="355"/>
      <c r="G30" s="355"/>
      <c r="H30" s="355"/>
      <c r="I30" s="355"/>
      <c r="J30" s="355"/>
      <c r="K30" s="355"/>
      <c r="L30" s="355"/>
      <c r="M30" s="355"/>
      <c r="N30" s="355"/>
      <c r="P30" s="204"/>
      <c r="Q30" s="204"/>
      <c r="R30" s="204"/>
      <c r="S30" s="204"/>
      <c r="T30" s="204"/>
      <c r="U30" s="204"/>
      <c r="V30" s="204"/>
      <c r="W30" s="204"/>
      <c r="X30" s="204"/>
      <c r="Y30" s="204"/>
      <c r="Z30" s="204"/>
      <c r="AA30" s="204"/>
      <c r="AB30" s="204"/>
      <c r="AC30" s="204"/>
      <c r="AD30" s="204"/>
      <c r="AE30" s="204"/>
    </row>
    <row r="31" spans="1:31">
      <c r="E31" s="356"/>
      <c r="F31" s="347"/>
      <c r="G31" s="347"/>
      <c r="H31" s="347"/>
      <c r="I31" s="354"/>
      <c r="J31" s="354"/>
      <c r="K31" s="347"/>
      <c r="L31" s="347"/>
      <c r="M31" s="347"/>
      <c r="N31" s="347"/>
      <c r="P31" s="204"/>
      <c r="Q31" s="204"/>
      <c r="R31" s="204"/>
      <c r="S31" s="204"/>
      <c r="T31" s="204"/>
      <c r="U31" s="204"/>
      <c r="V31" s="204"/>
      <c r="W31" s="204"/>
      <c r="X31" s="204"/>
      <c r="Y31" s="204"/>
      <c r="Z31" s="204"/>
      <c r="AA31" s="204"/>
      <c r="AB31" s="204"/>
      <c r="AC31" s="204"/>
      <c r="AD31" s="204"/>
      <c r="AE31" s="204"/>
    </row>
    <row r="32" spans="1:31">
      <c r="E32" s="356"/>
      <c r="F32" s="204"/>
      <c r="G32" s="204"/>
      <c r="H32" s="204"/>
      <c r="I32" s="204"/>
      <c r="L32" s="204"/>
      <c r="M32" s="204"/>
      <c r="N32" s="204"/>
      <c r="O32" s="204"/>
      <c r="P32" s="204"/>
      <c r="Q32" s="204"/>
      <c r="R32" s="204"/>
      <c r="S32" s="204"/>
      <c r="T32" s="204"/>
      <c r="U32" s="204"/>
      <c r="V32" s="204"/>
      <c r="W32" s="204"/>
      <c r="X32" s="204"/>
      <c r="Y32" s="204"/>
      <c r="Z32" s="204"/>
      <c r="AA32" s="204"/>
      <c r="AB32" s="204"/>
      <c r="AC32" s="204"/>
      <c r="AD32" s="204"/>
      <c r="AE32" s="204"/>
    </row>
    <row r="33" spans="5:31">
      <c r="E33" s="356"/>
      <c r="F33" s="204"/>
      <c r="G33" s="204"/>
      <c r="H33" s="204"/>
      <c r="I33" s="204"/>
      <c r="L33" s="204"/>
      <c r="M33" s="204"/>
      <c r="N33" s="204"/>
      <c r="O33" s="204"/>
      <c r="P33" s="204"/>
      <c r="Q33" s="204"/>
      <c r="R33" s="204"/>
      <c r="S33" s="204"/>
      <c r="T33" s="204"/>
      <c r="U33" s="204"/>
      <c r="V33" s="204"/>
      <c r="W33" s="204"/>
      <c r="X33" s="204"/>
      <c r="Y33" s="204"/>
      <c r="Z33" s="204"/>
      <c r="AA33" s="204"/>
      <c r="AB33" s="204"/>
      <c r="AC33" s="204"/>
      <c r="AD33" s="204"/>
      <c r="AE33" s="204"/>
    </row>
    <row r="34" spans="5:31">
      <c r="E34" s="356"/>
      <c r="F34" s="204"/>
      <c r="G34" s="204"/>
      <c r="H34" s="204"/>
      <c r="I34" s="204"/>
      <c r="L34" s="204"/>
      <c r="M34" s="204"/>
      <c r="N34" s="204"/>
      <c r="O34" s="204"/>
      <c r="P34" s="204"/>
      <c r="Q34" s="204"/>
      <c r="R34" s="204"/>
      <c r="S34" s="204"/>
      <c r="T34" s="204"/>
      <c r="U34" s="204"/>
      <c r="V34" s="204"/>
      <c r="W34" s="204"/>
      <c r="X34" s="204"/>
      <c r="Y34" s="204"/>
      <c r="Z34" s="204"/>
      <c r="AA34" s="204"/>
      <c r="AB34" s="204"/>
      <c r="AC34" s="204"/>
      <c r="AD34" s="204"/>
      <c r="AE34" s="204"/>
    </row>
    <row r="35" spans="5:31">
      <c r="E35" s="356"/>
      <c r="F35" s="204"/>
      <c r="G35" s="204"/>
      <c r="H35" s="204"/>
      <c r="I35" s="204"/>
      <c r="L35" s="204"/>
      <c r="M35" s="204"/>
      <c r="N35" s="204"/>
      <c r="O35" s="204"/>
      <c r="P35" s="204"/>
      <c r="Q35" s="204"/>
      <c r="R35" s="204"/>
      <c r="S35" s="204"/>
      <c r="T35" s="204"/>
      <c r="U35" s="204"/>
      <c r="V35" s="204"/>
      <c r="W35" s="204"/>
      <c r="X35" s="204"/>
      <c r="Y35" s="204"/>
      <c r="Z35" s="204"/>
      <c r="AA35" s="204"/>
      <c r="AB35" s="204"/>
      <c r="AC35" s="204"/>
      <c r="AD35" s="204"/>
      <c r="AE35" s="204"/>
    </row>
    <row r="36" spans="5:31">
      <c r="E36" s="356"/>
      <c r="F36" s="204"/>
      <c r="G36" s="204"/>
      <c r="H36" s="204"/>
      <c r="I36" s="204"/>
      <c r="L36" s="204"/>
      <c r="M36" s="204"/>
      <c r="N36" s="204"/>
      <c r="O36" s="204"/>
      <c r="P36" s="204"/>
      <c r="Q36" s="204"/>
      <c r="R36" s="204"/>
      <c r="S36" s="204"/>
      <c r="T36" s="204"/>
      <c r="U36" s="204"/>
      <c r="V36" s="204"/>
      <c r="W36" s="204"/>
      <c r="X36" s="204"/>
      <c r="Y36" s="204"/>
      <c r="Z36" s="204"/>
      <c r="AA36" s="204"/>
      <c r="AB36" s="204"/>
      <c r="AC36" s="204"/>
      <c r="AD36" s="204"/>
      <c r="AE36" s="204"/>
    </row>
    <row r="37" spans="5:31">
      <c r="E37" s="356"/>
      <c r="F37" s="204"/>
      <c r="G37" s="204"/>
      <c r="H37" s="204"/>
      <c r="I37" s="204"/>
      <c r="L37" s="204"/>
      <c r="M37" s="204"/>
      <c r="N37" s="204"/>
      <c r="O37" s="204"/>
      <c r="P37" s="204"/>
      <c r="Q37" s="204"/>
      <c r="R37" s="204"/>
      <c r="S37" s="204"/>
      <c r="T37" s="204"/>
      <c r="U37" s="204"/>
      <c r="V37" s="204"/>
      <c r="W37" s="204"/>
      <c r="X37" s="204"/>
      <c r="Y37" s="204"/>
      <c r="Z37" s="204"/>
      <c r="AA37" s="204"/>
      <c r="AB37" s="204"/>
      <c r="AC37" s="204"/>
      <c r="AD37" s="204"/>
      <c r="AE37" s="204"/>
    </row>
    <row r="38" spans="5:31">
      <c r="E38" s="356"/>
      <c r="F38" s="204"/>
      <c r="G38" s="204"/>
      <c r="H38" s="204"/>
      <c r="I38" s="204"/>
      <c r="L38" s="204"/>
      <c r="M38" s="204"/>
      <c r="N38" s="204"/>
      <c r="O38" s="204"/>
      <c r="P38" s="204"/>
      <c r="Q38" s="204"/>
      <c r="R38" s="204"/>
      <c r="S38" s="204"/>
      <c r="T38" s="204"/>
      <c r="U38" s="204"/>
      <c r="V38" s="204"/>
      <c r="W38" s="204"/>
      <c r="X38" s="204"/>
      <c r="Y38" s="204"/>
      <c r="Z38" s="204"/>
      <c r="AA38" s="204"/>
      <c r="AB38" s="204"/>
      <c r="AC38" s="204"/>
      <c r="AD38" s="204"/>
      <c r="AE38" s="204"/>
    </row>
    <row r="39" spans="5:31">
      <c r="E39" s="344"/>
    </row>
  </sheetData>
  <mergeCells count="2">
    <mergeCell ref="I16:J16"/>
    <mergeCell ref="L16:M16"/>
  </mergeCell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45"/>
  <sheetViews>
    <sheetView workbookViewId="0"/>
  </sheetViews>
  <sheetFormatPr defaultRowHeight="12"/>
  <cols>
    <col min="1" max="1" width="2" style="199" customWidth="1"/>
    <col min="2" max="2" width="31.42578125" style="199" customWidth="1"/>
    <col min="3" max="3" width="14.28515625" style="199" customWidth="1"/>
    <col min="4" max="4" width="12.85546875" style="199" customWidth="1"/>
    <col min="5" max="5" width="8.42578125" style="199" bestFit="1" customWidth="1"/>
    <col min="6" max="6" width="12.85546875" style="199" customWidth="1" collapsed="1"/>
    <col min="7" max="7" width="12.42578125" style="199" customWidth="1"/>
    <col min="8" max="8" width="11.7109375" style="199" customWidth="1"/>
    <col min="9" max="9" width="12.42578125" style="199" customWidth="1"/>
    <col min="10" max="10" width="9.140625" style="199" customWidth="1"/>
    <col min="11" max="11" width="10.85546875" style="199" customWidth="1"/>
    <col min="12" max="12" width="15.85546875" style="199" customWidth="1"/>
    <col min="13" max="13" width="12.5703125" style="199" customWidth="1"/>
    <col min="14" max="14" width="13.28515625" style="199" customWidth="1"/>
    <col min="15" max="25" width="9.140625" style="199" customWidth="1"/>
    <col min="26" max="26" width="9.28515625" style="199" customWidth="1"/>
    <col min="27" max="27" width="9.42578125" style="199" customWidth="1"/>
    <col min="28" max="28" width="10" style="199" customWidth="1"/>
    <col min="29" max="29" width="11.42578125" style="199" customWidth="1"/>
    <col min="30" max="30" width="9.42578125" style="199" bestFit="1" customWidth="1" collapsed="1"/>
    <col min="31" max="16384" width="9.140625" style="199"/>
  </cols>
  <sheetData>
    <row r="1" spans="1:31" s="198" customFormat="1" ht="15" customHeight="1">
      <c r="B1" s="18" t="s">
        <v>348</v>
      </c>
      <c r="C1" s="197"/>
      <c r="D1" s="197"/>
      <c r="E1" s="197"/>
      <c r="F1" s="197"/>
      <c r="G1" s="197"/>
      <c r="H1" s="197"/>
      <c r="I1" s="197"/>
      <c r="J1" s="197"/>
      <c r="K1" s="197"/>
    </row>
    <row r="2" spans="1:31" ht="12" customHeight="1">
      <c r="C2" s="227"/>
    </row>
    <row r="3" spans="1:31" ht="12" customHeight="1">
      <c r="A3" s="201"/>
      <c r="B3" s="216" t="s">
        <v>19</v>
      </c>
      <c r="C3" s="98">
        <f>'Risk Free Rate'!C4</f>
        <v>5.722E-2</v>
      </c>
      <c r="D3" s="342"/>
      <c r="E3" s="103"/>
      <c r="F3" s="103" t="s">
        <v>7</v>
      </c>
      <c r="G3" s="103" t="s">
        <v>270</v>
      </c>
      <c r="H3" s="261" t="s">
        <v>271</v>
      </c>
      <c r="I3" s="261" t="s">
        <v>3</v>
      </c>
      <c r="J3" s="261" t="s">
        <v>272</v>
      </c>
      <c r="K3" s="261" t="s">
        <v>330</v>
      </c>
      <c r="L3" s="261" t="s">
        <v>225</v>
      </c>
      <c r="M3" s="103" t="s">
        <v>275</v>
      </c>
      <c r="N3" s="245"/>
    </row>
    <row r="4" spans="1:31" ht="12" customHeight="1">
      <c r="A4" s="206"/>
      <c r="B4" s="216" t="s">
        <v>20</v>
      </c>
      <c r="C4" s="345">
        <f>'Equity Risk Premium'!F28</f>
        <v>3.6515277892807708E-2</v>
      </c>
      <c r="D4" s="342"/>
      <c r="E4" s="293" t="s">
        <v>265</v>
      </c>
      <c r="F4" s="289">
        <v>58.96</v>
      </c>
      <c r="G4" s="289"/>
      <c r="H4" s="348">
        <f>C17/F4</f>
        <v>7.6831750339212954E-2</v>
      </c>
      <c r="I4" s="289">
        <f>F4*H4</f>
        <v>4.5299999999999958</v>
      </c>
      <c r="J4" s="289">
        <f>I4</f>
        <v>4.5299999999999958</v>
      </c>
      <c r="K4" s="298">
        <f>$F$4/$F$17</f>
        <v>0.85514340621487361</v>
      </c>
      <c r="L4" s="289"/>
      <c r="M4" s="289"/>
      <c r="N4" s="200"/>
      <c r="P4" s="203"/>
      <c r="Q4" s="203"/>
      <c r="R4" s="203"/>
      <c r="S4" s="203"/>
      <c r="X4" s="203"/>
    </row>
    <row r="5" spans="1:31" ht="12" customHeight="1">
      <c r="A5" s="206"/>
      <c r="B5" s="216" t="s">
        <v>14</v>
      </c>
      <c r="C5" s="266">
        <f>Beta!$C$17*(1+(1-Beta!$C$13)*((26+6.79)/(60.5-20.77)))</f>
        <v>0.94731581644232365</v>
      </c>
      <c r="D5" s="342"/>
      <c r="E5" s="287">
        <v>1</v>
      </c>
      <c r="F5" s="291">
        <f>F4*(1+G5)</f>
        <v>100.232</v>
      </c>
      <c r="G5" s="237">
        <v>0.7</v>
      </c>
      <c r="H5" s="96">
        <v>0.08</v>
      </c>
      <c r="I5" s="291">
        <f>F5*H5</f>
        <v>8.0185600000000008</v>
      </c>
      <c r="J5" s="290">
        <f>I5-(2.6*(1-WACC!$C$11))</f>
        <v>6.0729800000000012</v>
      </c>
      <c r="K5" s="266">
        <f>$F$4/$F$17</f>
        <v>0.85514340621487361</v>
      </c>
      <c r="L5" s="349">
        <f t="shared" ref="L5:L14" si="0">(F5-F4)/K5</f>
        <v>48.263249999999999</v>
      </c>
      <c r="M5" s="349">
        <f t="shared" ref="M5:M14" si="1">J5-L5</f>
        <v>-42.190269999999998</v>
      </c>
      <c r="N5" s="50"/>
      <c r="P5" s="204"/>
      <c r="Q5" s="204"/>
      <c r="R5" s="204"/>
      <c r="S5" s="204"/>
      <c r="T5" s="204"/>
      <c r="U5" s="204"/>
      <c r="V5" s="204"/>
      <c r="W5" s="204"/>
      <c r="X5" s="204"/>
      <c r="Y5" s="204"/>
      <c r="Z5" s="204"/>
      <c r="AA5" s="204"/>
      <c r="AB5" s="204"/>
      <c r="AC5" s="204"/>
    </row>
    <row r="6" spans="1:31" ht="12" customHeight="1">
      <c r="A6" s="206"/>
      <c r="B6" s="220" t="s">
        <v>17</v>
      </c>
      <c r="C6" s="357">
        <f>C3+(C5*C4)</f>
        <v>9.1811500289643466E-2</v>
      </c>
      <c r="D6" s="342"/>
      <c r="E6" s="287">
        <v>2</v>
      </c>
      <c r="F6" s="291">
        <f t="shared" ref="F6:F14" si="2">F5*(1+G6)</f>
        <v>150.34800000000001</v>
      </c>
      <c r="G6" s="237">
        <v>0.5</v>
      </c>
      <c r="H6" s="96">
        <v>0.08</v>
      </c>
      <c r="I6" s="291">
        <f t="shared" ref="I6:I13" si="3">F6*H6</f>
        <v>12.027840000000001</v>
      </c>
      <c r="J6" s="290">
        <f>I6*(1-$M$22)</f>
        <v>9.0004326720000005</v>
      </c>
      <c r="K6" s="266">
        <f t="shared" ref="K6:K14" si="4">$F$4/$F$17</f>
        <v>0.85514340621487361</v>
      </c>
      <c r="L6" s="349">
        <f t="shared" si="0"/>
        <v>58.605375000000016</v>
      </c>
      <c r="M6" s="349">
        <f t="shared" si="1"/>
        <v>-49.604942328000014</v>
      </c>
      <c r="N6" s="236"/>
      <c r="P6" s="204"/>
      <c r="Q6" s="204"/>
      <c r="R6" s="204"/>
      <c r="S6" s="204"/>
      <c r="T6" s="204"/>
      <c r="U6" s="204"/>
      <c r="V6" s="204"/>
      <c r="W6" s="204"/>
      <c r="X6" s="204"/>
      <c r="Y6" s="204"/>
      <c r="Z6" s="204"/>
      <c r="AA6" s="204"/>
      <c r="AB6" s="204"/>
      <c r="AC6" s="204"/>
    </row>
    <row r="7" spans="1:31" ht="12" customHeight="1">
      <c r="B7" s="114" t="s">
        <v>165</v>
      </c>
      <c r="C7" s="345">
        <f>'Cost of Equity &amp; Debt'!C15</f>
        <v>3.2140000000000002E-2</v>
      </c>
      <c r="D7" s="342"/>
      <c r="E7" s="287">
        <v>3</v>
      </c>
      <c r="F7" s="291">
        <f t="shared" si="2"/>
        <v>225.52200000000002</v>
      </c>
      <c r="G7" s="237">
        <v>0.5</v>
      </c>
      <c r="H7" s="96">
        <v>0.09</v>
      </c>
      <c r="I7" s="291">
        <f t="shared" si="3"/>
        <v>20.296980000000001</v>
      </c>
      <c r="J7" s="290">
        <f t="shared" ref="J7:J11" si="5">I7*(1-$M$22)</f>
        <v>15.188230133999999</v>
      </c>
      <c r="K7" s="266">
        <f t="shared" si="4"/>
        <v>0.85514340621487361</v>
      </c>
      <c r="L7" s="349">
        <f t="shared" si="0"/>
        <v>87.908062500000014</v>
      </c>
      <c r="M7" s="349">
        <f t="shared" si="1"/>
        <v>-72.71983236600002</v>
      </c>
      <c r="N7" s="236"/>
      <c r="P7" s="204"/>
      <c r="Q7" s="204"/>
      <c r="R7" s="204"/>
      <c r="S7" s="204"/>
      <c r="T7" s="204"/>
      <c r="U7" s="204"/>
      <c r="V7" s="204"/>
      <c r="W7" s="204"/>
      <c r="X7" s="204"/>
      <c r="Y7" s="204"/>
      <c r="Z7" s="204"/>
      <c r="AA7" s="204"/>
      <c r="AB7" s="204"/>
      <c r="AC7" s="204"/>
    </row>
    <row r="8" spans="1:31" ht="12" customHeight="1">
      <c r="A8" s="206"/>
      <c r="B8" s="114" t="s">
        <v>164</v>
      </c>
      <c r="C8" s="346">
        <f>'Cost of Equity &amp; Debt'!C16</f>
        <v>1.6102325581395347</v>
      </c>
      <c r="E8" s="287">
        <v>4</v>
      </c>
      <c r="F8" s="291">
        <f t="shared" si="2"/>
        <v>315.73079999999999</v>
      </c>
      <c r="G8" s="237">
        <v>0.4</v>
      </c>
      <c r="H8" s="96">
        <v>0.1</v>
      </c>
      <c r="I8" s="291">
        <f t="shared" si="3"/>
        <v>31.573080000000001</v>
      </c>
      <c r="J8" s="290">
        <f t="shared" si="5"/>
        <v>23.626135764000001</v>
      </c>
      <c r="K8" s="266">
        <f t="shared" si="4"/>
        <v>0.85514340621487361</v>
      </c>
      <c r="L8" s="349">
        <f t="shared" si="0"/>
        <v>105.48967499999996</v>
      </c>
      <c r="M8" s="349">
        <f t="shared" si="1"/>
        <v>-81.863539235999966</v>
      </c>
      <c r="N8" s="204"/>
      <c r="O8" s="204"/>
      <c r="P8" s="204"/>
      <c r="Q8" s="204"/>
      <c r="R8" s="204"/>
      <c r="S8" s="204"/>
      <c r="T8" s="204"/>
      <c r="U8" s="204"/>
      <c r="V8" s="204"/>
      <c r="W8" s="204"/>
      <c r="X8" s="204"/>
      <c r="Y8" s="204"/>
      <c r="Z8" s="204"/>
      <c r="AA8" s="204"/>
      <c r="AB8" s="204"/>
      <c r="AC8" s="204"/>
    </row>
    <row r="9" spans="1:31" ht="12" customHeight="1">
      <c r="A9" s="206"/>
      <c r="B9" s="114" t="s">
        <v>23</v>
      </c>
      <c r="C9" s="345">
        <f>'Cost of Equity &amp; Debt'!C17</f>
        <v>1.8700000000000001E-2</v>
      </c>
      <c r="E9" s="287">
        <v>5</v>
      </c>
      <c r="F9" s="291">
        <f t="shared" si="2"/>
        <v>410.45004</v>
      </c>
      <c r="G9" s="237">
        <v>0.3</v>
      </c>
      <c r="H9" s="96">
        <v>0.1</v>
      </c>
      <c r="I9" s="291">
        <f t="shared" si="3"/>
        <v>41.045004000000006</v>
      </c>
      <c r="J9" s="290">
        <f t="shared" si="5"/>
        <v>30.713976493200004</v>
      </c>
      <c r="K9" s="266">
        <f t="shared" si="4"/>
        <v>0.85514340621487361</v>
      </c>
      <c r="L9" s="349">
        <f t="shared" si="0"/>
        <v>110.76415875000002</v>
      </c>
      <c r="M9" s="349">
        <f t="shared" si="1"/>
        <v>-80.050182256800014</v>
      </c>
      <c r="N9" s="204"/>
      <c r="O9" s="204"/>
      <c r="P9" s="204"/>
      <c r="Q9" s="204"/>
      <c r="R9" s="204"/>
      <c r="S9" s="204"/>
      <c r="T9" s="204"/>
      <c r="U9" s="204"/>
      <c r="V9" s="204"/>
      <c r="W9" s="204"/>
      <c r="X9" s="204"/>
      <c r="Y9" s="204"/>
      <c r="Z9" s="204"/>
      <c r="AA9" s="204"/>
      <c r="AB9" s="204"/>
      <c r="AC9" s="204"/>
    </row>
    <row r="10" spans="1:31">
      <c r="A10" s="202"/>
      <c r="B10" s="54" t="s">
        <v>350</v>
      </c>
      <c r="C10" s="98">
        <v>8.7999999999999995E-2</v>
      </c>
      <c r="D10" s="342"/>
      <c r="E10" s="287">
        <v>6</v>
      </c>
      <c r="F10" s="291">
        <f t="shared" si="2"/>
        <v>492.54004799999996</v>
      </c>
      <c r="G10" s="237">
        <v>0.2</v>
      </c>
      <c r="H10" s="96">
        <v>0.12</v>
      </c>
      <c r="I10" s="291">
        <f>F10*H10</f>
        <v>59.104805759999991</v>
      </c>
      <c r="J10" s="290">
        <f t="shared" si="5"/>
        <v>44.228126150207991</v>
      </c>
      <c r="K10" s="266">
        <f t="shared" si="4"/>
        <v>0.85514340621487361</v>
      </c>
      <c r="L10" s="349">
        <f t="shared" si="0"/>
        <v>95.995604249999943</v>
      </c>
      <c r="M10" s="349">
        <f t="shared" si="1"/>
        <v>-51.767478099791951</v>
      </c>
      <c r="N10" s="204"/>
      <c r="O10" s="204"/>
      <c r="P10" s="204"/>
      <c r="Q10" s="204"/>
      <c r="R10" s="204"/>
      <c r="S10" s="204"/>
      <c r="T10" s="204"/>
      <c r="U10" s="204"/>
      <c r="V10" s="204"/>
      <c r="W10" s="204"/>
      <c r="X10" s="204"/>
      <c r="Y10" s="204"/>
      <c r="Z10" s="204"/>
      <c r="AA10" s="204"/>
      <c r="AB10" s="204"/>
      <c r="AC10" s="204"/>
    </row>
    <row r="11" spans="1:31" ht="12.75" customHeight="1">
      <c r="A11" s="206"/>
      <c r="B11" s="316" t="s">
        <v>18</v>
      </c>
      <c r="C11" s="316">
        <f>C7+(C8*C9)+C10</f>
        <v>0.15025134883720931</v>
      </c>
      <c r="D11" s="342"/>
      <c r="E11" s="287">
        <v>7</v>
      </c>
      <c r="F11" s="291">
        <f t="shared" si="2"/>
        <v>566.42105519999996</v>
      </c>
      <c r="G11" s="237">
        <v>0.15</v>
      </c>
      <c r="H11" s="96">
        <v>0.12</v>
      </c>
      <c r="I11" s="291">
        <f t="shared" si="3"/>
        <v>67.970526623999987</v>
      </c>
      <c r="J11" s="290">
        <f t="shared" si="5"/>
        <v>50.862345072739188</v>
      </c>
      <c r="K11" s="266">
        <f t="shared" si="4"/>
        <v>0.85514340621487361</v>
      </c>
      <c r="L11" s="349">
        <f t="shared" si="0"/>
        <v>86.396043825000007</v>
      </c>
      <c r="M11" s="349">
        <f t="shared" si="1"/>
        <v>-35.533698752260818</v>
      </c>
      <c r="N11" s="204"/>
      <c r="O11" s="204"/>
      <c r="P11" s="204"/>
      <c r="Q11" s="204"/>
      <c r="R11" s="204"/>
      <c r="S11" s="204"/>
      <c r="T11" s="204"/>
      <c r="U11" s="204"/>
      <c r="V11" s="204"/>
      <c r="W11" s="204"/>
      <c r="X11" s="204"/>
      <c r="Y11" s="204"/>
      <c r="Z11" s="204"/>
      <c r="AA11" s="204"/>
      <c r="AB11" s="204"/>
      <c r="AC11" s="204"/>
    </row>
    <row r="12" spans="1:31">
      <c r="B12" s="114" t="s">
        <v>178</v>
      </c>
      <c r="C12" s="189">
        <f>26+6.79</f>
        <v>32.79</v>
      </c>
      <c r="E12" s="287">
        <v>8</v>
      </c>
      <c r="F12" s="291">
        <f t="shared" si="2"/>
        <v>623.06316072000004</v>
      </c>
      <c r="G12" s="237">
        <v>0.1</v>
      </c>
      <c r="H12" s="96">
        <v>0.13</v>
      </c>
      <c r="I12" s="291">
        <f t="shared" si="3"/>
        <v>80.998210893600003</v>
      </c>
      <c r="J12" s="290">
        <f>I12*(1-$M$22)</f>
        <v>60.61096121168088</v>
      </c>
      <c r="K12" s="266">
        <f t="shared" si="4"/>
        <v>0.85514340621487361</v>
      </c>
      <c r="L12" s="349">
        <f t="shared" si="0"/>
        <v>66.23696693250011</v>
      </c>
      <c r="M12" s="349">
        <f t="shared" si="1"/>
        <v>-5.6260057208192293</v>
      </c>
      <c r="N12" s="245"/>
      <c r="O12" s="204"/>
      <c r="P12" s="204"/>
      <c r="Q12" s="204"/>
      <c r="R12" s="204"/>
      <c r="S12" s="204"/>
      <c r="T12" s="204"/>
      <c r="U12" s="204"/>
      <c r="V12" s="204"/>
      <c r="W12" s="204"/>
      <c r="X12" s="204"/>
      <c r="Y12" s="204"/>
      <c r="Z12" s="204"/>
      <c r="AA12" s="204"/>
      <c r="AB12" s="204"/>
      <c r="AC12" s="204"/>
    </row>
    <row r="13" spans="1:31" ht="12" customHeight="1">
      <c r="A13" s="206"/>
      <c r="B13" s="114" t="s">
        <v>328</v>
      </c>
      <c r="C13" s="189">
        <f>60.5-20.77</f>
        <v>39.730000000000004</v>
      </c>
      <c r="D13" s="342"/>
      <c r="E13" s="287">
        <v>9</v>
      </c>
      <c r="F13" s="291">
        <f t="shared" si="2"/>
        <v>666.67758197040007</v>
      </c>
      <c r="G13" s="237">
        <v>7.0000000000000007E-2</v>
      </c>
      <c r="H13" s="96">
        <v>0.14000000000000001</v>
      </c>
      <c r="I13" s="291">
        <f t="shared" si="3"/>
        <v>93.334861475856016</v>
      </c>
      <c r="J13" s="290">
        <f>I13*(1-$M$22)</f>
        <v>69.84247684238305</v>
      </c>
      <c r="K13" s="266">
        <f t="shared" si="4"/>
        <v>0.85514340621487361</v>
      </c>
      <c r="L13" s="349">
        <f t="shared" si="0"/>
        <v>51.002464538025031</v>
      </c>
      <c r="M13" s="349">
        <f t="shared" si="1"/>
        <v>18.840012304358019</v>
      </c>
      <c r="N13" s="204"/>
      <c r="O13" s="204"/>
      <c r="P13" s="204"/>
      <c r="Q13" s="204"/>
      <c r="R13" s="204"/>
      <c r="S13" s="204"/>
      <c r="T13" s="204"/>
      <c r="U13" s="204"/>
      <c r="V13" s="204"/>
      <c r="W13" s="204"/>
      <c r="X13" s="204"/>
      <c r="Y13" s="204"/>
      <c r="Z13" s="204"/>
      <c r="AA13" s="204"/>
      <c r="AB13" s="204"/>
      <c r="AC13" s="204"/>
    </row>
    <row r="14" spans="1:31">
      <c r="B14" s="114" t="s">
        <v>8</v>
      </c>
      <c r="C14" s="95">
        <f>(C6*(C13/(C12+C13))+(C11*(C12/(C12+C13)*(1-$M$22))))</f>
        <v>0.10113557283298913</v>
      </c>
      <c r="E14" s="287">
        <v>10</v>
      </c>
      <c r="F14" s="291">
        <f t="shared" si="2"/>
        <v>704.81153965910687</v>
      </c>
      <c r="G14" s="237">
        <v>5.7200000000000001E-2</v>
      </c>
      <c r="H14" s="96">
        <v>0.15</v>
      </c>
      <c r="I14" s="291">
        <f>F14*H14</f>
        <v>105.72173094886602</v>
      </c>
      <c r="J14" s="290">
        <f>I14*(1-$M$22)</f>
        <v>79.111571269036446</v>
      </c>
      <c r="K14" s="266">
        <f t="shared" si="4"/>
        <v>0.85514340621487361</v>
      </c>
      <c r="L14" s="349">
        <f t="shared" si="0"/>
        <v>44.593640565503939</v>
      </c>
      <c r="M14" s="349">
        <f t="shared" si="1"/>
        <v>34.517930703532507</v>
      </c>
      <c r="N14" s="204"/>
      <c r="O14" s="204"/>
      <c r="P14" s="204"/>
      <c r="Q14" s="204"/>
      <c r="R14" s="204"/>
      <c r="S14" s="204"/>
      <c r="T14" s="204"/>
      <c r="U14" s="204"/>
      <c r="V14" s="204"/>
      <c r="W14" s="204"/>
      <c r="X14" s="204"/>
      <c r="Y14" s="204"/>
      <c r="Z14" s="204"/>
      <c r="AA14" s="204"/>
      <c r="AB14" s="204"/>
      <c r="AC14" s="204"/>
    </row>
    <row r="15" spans="1:31">
      <c r="B15" s="54" t="s">
        <v>329</v>
      </c>
      <c r="C15" s="217">
        <f>(-7.97+4.55)+(-1.94-0.44+1.8)</f>
        <v>-4</v>
      </c>
      <c r="D15" s="343"/>
      <c r="J15" s="204"/>
      <c r="N15" s="204"/>
      <c r="O15" s="204"/>
      <c r="P15" s="204"/>
      <c r="Q15" s="204"/>
      <c r="R15" s="204"/>
      <c r="S15" s="204"/>
      <c r="T15" s="204"/>
      <c r="U15" s="204"/>
      <c r="V15" s="204"/>
      <c r="W15" s="204"/>
      <c r="X15" s="204"/>
      <c r="Y15" s="204"/>
      <c r="Z15" s="204"/>
      <c r="AA15" s="204"/>
      <c r="AB15" s="204"/>
      <c r="AC15" s="204"/>
      <c r="AD15" s="204"/>
      <c r="AE15" s="204"/>
    </row>
    <row r="16" spans="1:31">
      <c r="B16" s="216" t="s">
        <v>167</v>
      </c>
      <c r="C16" s="359">
        <f>AVERAGE(3.06,6.51,1.8,4.55)</f>
        <v>3.9800000000000004</v>
      </c>
      <c r="E16" s="103"/>
      <c r="F16" s="103" t="s">
        <v>331</v>
      </c>
      <c r="G16" s="103" t="s">
        <v>277</v>
      </c>
      <c r="I16" s="400" t="s">
        <v>294</v>
      </c>
      <c r="J16" s="400"/>
      <c r="L16" s="400" t="s">
        <v>332</v>
      </c>
      <c r="M16" s="400"/>
      <c r="O16" s="204"/>
      <c r="P16" s="204"/>
      <c r="Q16" s="204"/>
      <c r="R16" s="204"/>
      <c r="S16" s="204"/>
      <c r="T16" s="204"/>
      <c r="U16" s="204"/>
      <c r="V16" s="204"/>
      <c r="W16" s="204"/>
      <c r="X16" s="204"/>
      <c r="Y16" s="204"/>
      <c r="Z16" s="204"/>
      <c r="AA16" s="204"/>
      <c r="AB16" s="204"/>
      <c r="AC16" s="204"/>
      <c r="AD16" s="204"/>
      <c r="AE16" s="204"/>
    </row>
    <row r="17" spans="1:31">
      <c r="B17" s="216" t="s">
        <v>3</v>
      </c>
      <c r="C17" s="359">
        <f>58.96+2.59-35.97+2.11-2.85-10.58-9.73</f>
        <v>4.5299999999999958</v>
      </c>
      <c r="E17" s="293" t="s">
        <v>265</v>
      </c>
      <c r="F17" s="289">
        <f>C12+C13-(3.57+0.0025)</f>
        <v>68.947500000000005</v>
      </c>
      <c r="G17" s="348">
        <f t="shared" ref="G17:G27" si="6">J4/F17</f>
        <v>6.5702164690525339E-2</v>
      </c>
      <c r="I17" s="288" t="s">
        <v>17</v>
      </c>
      <c r="J17" s="237">
        <f>C3 + (J23*C4)</f>
        <v>8.2445129050682242E-2</v>
      </c>
      <c r="K17" s="354"/>
      <c r="L17" s="230" t="s">
        <v>15</v>
      </c>
      <c r="M17" s="270">
        <v>0.04</v>
      </c>
      <c r="O17" s="204"/>
      <c r="P17" s="204"/>
      <c r="Q17" s="204"/>
      <c r="R17" s="204"/>
      <c r="S17" s="204"/>
      <c r="T17" s="204"/>
      <c r="U17" s="204"/>
      <c r="V17" s="204"/>
      <c r="W17" s="204"/>
      <c r="X17" s="204"/>
      <c r="Y17" s="204"/>
      <c r="Z17" s="204"/>
      <c r="AA17" s="204"/>
      <c r="AB17" s="204"/>
      <c r="AC17" s="204"/>
      <c r="AD17" s="204"/>
      <c r="AE17" s="204"/>
    </row>
    <row r="18" spans="1:31">
      <c r="A18" s="206"/>
      <c r="B18" s="220" t="s">
        <v>327</v>
      </c>
      <c r="C18" s="350">
        <f>C17/C16</f>
        <v>1.1381909547738682</v>
      </c>
      <c r="E18" s="287">
        <v>1</v>
      </c>
      <c r="F18" s="349">
        <f t="shared" ref="F18:F27" si="7">F17+L5</f>
        <v>117.21075</v>
      </c>
      <c r="G18" s="96">
        <f t="shared" si="6"/>
        <v>5.1812483070025582E-2</v>
      </c>
      <c r="I18" s="288" t="s">
        <v>18</v>
      </c>
      <c r="J18" s="237">
        <f>C7+(C8*C9)+J24</f>
        <v>6.8951348837209298E-2</v>
      </c>
      <c r="K18" s="354"/>
      <c r="L18" s="216" t="s">
        <v>277</v>
      </c>
      <c r="M18" s="96">
        <f>G27</f>
        <v>9.5985571630588476E-2</v>
      </c>
      <c r="O18" s="204"/>
      <c r="P18" s="204"/>
      <c r="Q18" s="204"/>
      <c r="R18" s="204"/>
      <c r="S18" s="204"/>
      <c r="T18" s="204"/>
      <c r="U18" s="204"/>
      <c r="V18" s="204"/>
      <c r="W18" s="204"/>
      <c r="X18" s="204"/>
      <c r="Y18" s="204"/>
      <c r="Z18" s="204"/>
      <c r="AA18" s="204"/>
      <c r="AB18" s="204"/>
      <c r="AC18" s="204"/>
      <c r="AD18" s="204"/>
      <c r="AE18" s="204"/>
    </row>
    <row r="19" spans="1:31">
      <c r="B19" s="114" t="s">
        <v>178</v>
      </c>
      <c r="C19" s="189">
        <f>C12</f>
        <v>32.79</v>
      </c>
      <c r="E19" s="287">
        <v>2</v>
      </c>
      <c r="F19" s="349">
        <f t="shared" si="7"/>
        <v>175.81612500000003</v>
      </c>
      <c r="G19" s="96">
        <f t="shared" si="6"/>
        <v>5.1192304869647189E-2</v>
      </c>
      <c r="I19" s="288"/>
      <c r="J19" s="288"/>
      <c r="K19" s="354"/>
      <c r="L19" s="220" t="s">
        <v>335</v>
      </c>
      <c r="M19" s="316">
        <f>M17/M18</f>
        <v>0.41672929921118362</v>
      </c>
      <c r="O19" s="204"/>
      <c r="P19" s="204"/>
      <c r="Q19" s="204"/>
      <c r="R19" s="204"/>
      <c r="S19" s="204"/>
      <c r="T19" s="204"/>
      <c r="U19" s="204"/>
      <c r="V19" s="204"/>
      <c r="W19" s="204"/>
      <c r="X19" s="204"/>
      <c r="Y19" s="204"/>
      <c r="Z19" s="204"/>
      <c r="AA19" s="204"/>
      <c r="AB19" s="204"/>
      <c r="AC19" s="204"/>
      <c r="AD19" s="204"/>
      <c r="AE19" s="204"/>
    </row>
    <row r="20" spans="1:31">
      <c r="A20" s="206"/>
      <c r="B20" s="114" t="s">
        <v>182</v>
      </c>
      <c r="C20" s="189">
        <f>C16</f>
        <v>3.9800000000000004</v>
      </c>
      <c r="E20" s="287">
        <v>3</v>
      </c>
      <c r="F20" s="349">
        <f t="shared" si="7"/>
        <v>263.72418750000003</v>
      </c>
      <c r="G20" s="96">
        <f t="shared" si="6"/>
        <v>5.759134297835309E-2</v>
      </c>
      <c r="I20" s="288" t="s">
        <v>337</v>
      </c>
      <c r="J20" s="351">
        <f>1-J21</f>
        <v>0.19359999999999999</v>
      </c>
      <c r="K20" s="354"/>
      <c r="L20" s="212"/>
      <c r="M20" s="212"/>
      <c r="O20" s="204"/>
      <c r="P20" s="204"/>
      <c r="Q20" s="204"/>
      <c r="R20" s="204"/>
      <c r="S20" s="204"/>
      <c r="T20" s="204"/>
      <c r="U20" s="204"/>
      <c r="V20" s="204"/>
      <c r="W20" s="204"/>
      <c r="X20" s="204"/>
      <c r="Y20" s="204"/>
      <c r="Z20" s="204"/>
      <c r="AA20" s="204"/>
      <c r="AB20" s="204"/>
      <c r="AC20" s="204"/>
      <c r="AD20" s="204"/>
      <c r="AE20" s="204"/>
    </row>
    <row r="21" spans="1:31">
      <c r="B21" s="114" t="s">
        <v>18</v>
      </c>
      <c r="C21" s="96">
        <f>C11</f>
        <v>0.15025134883720931</v>
      </c>
      <c r="E21" s="287">
        <v>4</v>
      </c>
      <c r="F21" s="349">
        <f t="shared" si="7"/>
        <v>369.2138625</v>
      </c>
      <c r="G21" s="96">
        <f t="shared" si="6"/>
        <v>6.3990381087058998E-2</v>
      </c>
      <c r="I21" s="288" t="s">
        <v>338</v>
      </c>
      <c r="J21" s="331">
        <v>0.80640000000000001</v>
      </c>
      <c r="K21" s="354"/>
      <c r="L21" s="216" t="s">
        <v>287</v>
      </c>
      <c r="M21" s="189">
        <f>($F$14*(1+$M$17))*$H$14</f>
        <v>109.95060018682067</v>
      </c>
      <c r="O21" s="204"/>
      <c r="P21" s="204"/>
      <c r="Q21" s="204"/>
      <c r="R21" s="204"/>
      <c r="S21" s="204"/>
      <c r="T21" s="204"/>
      <c r="U21" s="204"/>
      <c r="V21" s="204"/>
      <c r="W21" s="204"/>
      <c r="X21" s="204"/>
      <c r="Y21" s="204"/>
      <c r="Z21" s="204"/>
      <c r="AA21" s="204"/>
      <c r="AB21" s="204"/>
      <c r="AC21" s="204"/>
      <c r="AD21" s="204"/>
      <c r="AE21" s="204"/>
    </row>
    <row r="22" spans="1:31">
      <c r="B22" s="54" t="s">
        <v>185</v>
      </c>
      <c r="C22" s="192">
        <v>5</v>
      </c>
      <c r="E22" s="287">
        <v>5</v>
      </c>
      <c r="F22" s="349">
        <f t="shared" si="7"/>
        <v>479.97802125000004</v>
      </c>
      <c r="G22" s="96">
        <f t="shared" si="6"/>
        <v>6.3990381087058998E-2</v>
      </c>
      <c r="I22" s="288"/>
      <c r="J22" s="288"/>
      <c r="K22" s="354"/>
      <c r="L22" s="216" t="s">
        <v>333</v>
      </c>
      <c r="M22" s="96">
        <f>WACC!$C$11</f>
        <v>0.25169999999999998</v>
      </c>
      <c r="O22" s="204"/>
      <c r="P22" s="204"/>
      <c r="Q22" s="204"/>
      <c r="R22" s="204"/>
      <c r="S22" s="204"/>
      <c r="T22" s="204"/>
      <c r="U22" s="204"/>
      <c r="V22" s="204"/>
      <c r="W22" s="204"/>
      <c r="X22" s="204"/>
      <c r="Y22" s="204"/>
      <c r="Z22" s="204"/>
      <c r="AA22" s="204"/>
      <c r="AB22" s="204"/>
      <c r="AC22" s="204"/>
      <c r="AD22" s="204"/>
      <c r="AE22" s="204"/>
    </row>
    <row r="23" spans="1:31" ht="12" customHeight="1">
      <c r="B23" s="114" t="s">
        <v>184</v>
      </c>
      <c r="C23" s="338">
        <f>C20*((1-(1+C21)^(-C22))/C21)+C19/(1+C21)^5</f>
        <v>29.618262628585345</v>
      </c>
      <c r="E23" s="287">
        <v>6</v>
      </c>
      <c r="F23" s="349">
        <f t="shared" si="7"/>
        <v>575.97362550000003</v>
      </c>
      <c r="G23" s="96">
        <f t="shared" si="6"/>
        <v>7.6788457304470772E-2</v>
      </c>
      <c r="I23" s="288" t="s">
        <v>336</v>
      </c>
      <c r="J23" s="266">
        <f>Beta!$C$17*(1+(1-Beta!$C$13)*0.24)</f>
        <v>0.69081027192869182</v>
      </c>
      <c r="K23" s="354"/>
      <c r="L23" s="220" t="s">
        <v>334</v>
      </c>
      <c r="M23" s="221">
        <f>M21*(1-M22)</f>
        <v>82.276034119797899</v>
      </c>
      <c r="O23" s="204"/>
      <c r="P23" s="204"/>
      <c r="Q23" s="204"/>
      <c r="R23" s="204"/>
      <c r="S23" s="204"/>
      <c r="T23" s="204"/>
      <c r="U23" s="204"/>
      <c r="V23" s="204"/>
      <c r="W23" s="204"/>
      <c r="X23" s="204"/>
      <c r="Y23" s="204"/>
      <c r="Z23" s="204"/>
      <c r="AA23" s="204"/>
      <c r="AB23" s="204"/>
      <c r="AC23" s="204"/>
      <c r="AD23" s="204"/>
      <c r="AE23" s="204"/>
    </row>
    <row r="24" spans="1:31">
      <c r="A24" s="206"/>
      <c r="B24" s="216" t="s">
        <v>340</v>
      </c>
      <c r="C24" s="217">
        <f>(M5/(1+$C$14)^E5)+(M6/(1+($C$14-0.2%))^E6)+(M7/(1+($C$14-0.5%))^E7)+(M8/(1+($C$14-0.5%))^E8)+(M9/(1+($C$14-1%))^E9)+(M10/(1+($C$14-1.5%))^E10)+(M11/(1+($C$14-2%))^E11)+(M12/(1+($C$14-2.2%))^E12)+(M13/(1+($C$14-2.4%))^E13)+(M14/(1+($C$14-2.46%))^E14)</f>
        <v>-272.06406373263957</v>
      </c>
      <c r="E24" s="287">
        <v>7</v>
      </c>
      <c r="F24" s="349">
        <f t="shared" si="7"/>
        <v>662.36966932500002</v>
      </c>
      <c r="G24" s="96">
        <f t="shared" si="6"/>
        <v>7.6788457304470772E-2</v>
      </c>
      <c r="I24" s="288" t="s">
        <v>339</v>
      </c>
      <c r="J24" s="96">
        <v>6.7000000000000002E-3</v>
      </c>
      <c r="K24" s="354"/>
      <c r="L24" s="216"/>
      <c r="M24" s="324"/>
      <c r="O24" s="204"/>
      <c r="P24" s="204"/>
      <c r="Q24" s="204"/>
      <c r="R24" s="204"/>
      <c r="S24" s="204"/>
      <c r="T24" s="204"/>
      <c r="U24" s="204"/>
      <c r="V24" s="204"/>
      <c r="W24" s="204"/>
      <c r="X24" s="204"/>
      <c r="Y24" s="204"/>
      <c r="Z24" s="204"/>
      <c r="AA24" s="204"/>
      <c r="AB24" s="204"/>
      <c r="AC24" s="204"/>
      <c r="AD24" s="204"/>
      <c r="AE24" s="204"/>
    </row>
    <row r="25" spans="1:31">
      <c r="A25" s="206" t="s">
        <v>199</v>
      </c>
      <c r="B25" s="216" t="s">
        <v>341</v>
      </c>
      <c r="C25" s="217">
        <f>M27/(1+$J$26)^10</f>
        <v>629.71477638607394</v>
      </c>
      <c r="E25" s="287">
        <v>8</v>
      </c>
      <c r="F25" s="349">
        <f t="shared" si="7"/>
        <v>728.6066362575001</v>
      </c>
      <c r="G25" s="96">
        <f t="shared" si="6"/>
        <v>8.3187495413176687E-2</v>
      </c>
      <c r="I25" s="212"/>
      <c r="J25" s="212"/>
      <c r="K25" s="354"/>
      <c r="L25" s="216" t="s">
        <v>290</v>
      </c>
      <c r="M25" s="325">
        <f>M23*(1-M19)</f>
        <v>47.989200079179085</v>
      </c>
      <c r="O25" s="204"/>
      <c r="P25" s="204"/>
      <c r="Q25" s="204"/>
      <c r="R25" s="204"/>
      <c r="S25" s="204"/>
      <c r="T25" s="204"/>
      <c r="U25" s="204"/>
      <c r="V25" s="204"/>
      <c r="W25" s="204"/>
      <c r="X25" s="204"/>
      <c r="Y25" s="204"/>
      <c r="Z25" s="204"/>
      <c r="AA25" s="204"/>
      <c r="AB25" s="204"/>
      <c r="AC25" s="204"/>
      <c r="AD25" s="204"/>
      <c r="AE25" s="204"/>
    </row>
    <row r="26" spans="1:31">
      <c r="A26" s="206" t="s">
        <v>199</v>
      </c>
      <c r="B26" s="216" t="s">
        <v>316</v>
      </c>
      <c r="C26" s="217">
        <f>3.57+0.0025</f>
        <v>3.5724999999999998</v>
      </c>
      <c r="E26" s="287">
        <v>9</v>
      </c>
      <c r="F26" s="349">
        <f t="shared" si="7"/>
        <v>779.60910079552514</v>
      </c>
      <c r="G26" s="96">
        <f t="shared" si="6"/>
        <v>8.9586533521882589E-2</v>
      </c>
      <c r="I26" s="352" t="s">
        <v>294</v>
      </c>
      <c r="J26" s="353">
        <f>(J17*J21)+(J18*J20*(1-M22))</f>
        <v>7.6472794649703649E-2</v>
      </c>
      <c r="K26" s="354"/>
      <c r="L26" s="288"/>
      <c r="M26" s="212"/>
      <c r="O26" s="204"/>
      <c r="P26" s="204"/>
      <c r="Q26" s="204"/>
      <c r="R26" s="204"/>
      <c r="S26" s="204"/>
      <c r="T26" s="204"/>
      <c r="U26" s="204"/>
      <c r="V26" s="204"/>
      <c r="W26" s="204"/>
      <c r="X26" s="204"/>
      <c r="Y26" s="204"/>
      <c r="Z26" s="204"/>
      <c r="AA26" s="204"/>
      <c r="AB26" s="204"/>
      <c r="AC26" s="204"/>
      <c r="AD26" s="204"/>
      <c r="AE26" s="204"/>
    </row>
    <row r="27" spans="1:31">
      <c r="A27" s="206" t="s">
        <v>199</v>
      </c>
      <c r="B27" s="216" t="s">
        <v>10</v>
      </c>
      <c r="C27" s="217">
        <v>0</v>
      </c>
      <c r="E27" s="287">
        <v>10</v>
      </c>
      <c r="F27" s="349">
        <f t="shared" si="7"/>
        <v>824.2027413610291</v>
      </c>
      <c r="G27" s="96">
        <f t="shared" si="6"/>
        <v>9.5985571630588476E-2</v>
      </c>
      <c r="K27" s="354"/>
      <c r="L27" s="54" t="s">
        <v>258</v>
      </c>
      <c r="M27" s="326">
        <f>M25/(J26-M17)</f>
        <v>1315.7533043486978</v>
      </c>
      <c r="O27" s="204"/>
      <c r="P27" s="204"/>
      <c r="Q27" s="204"/>
      <c r="R27" s="204"/>
      <c r="S27" s="204"/>
      <c r="T27" s="204"/>
      <c r="U27" s="204"/>
      <c r="V27" s="204"/>
      <c r="W27" s="204"/>
      <c r="X27" s="204"/>
      <c r="Y27" s="204"/>
      <c r="Z27" s="204"/>
      <c r="AA27" s="204"/>
      <c r="AB27" s="204"/>
      <c r="AC27" s="204"/>
      <c r="AD27" s="204"/>
      <c r="AE27" s="204"/>
    </row>
    <row r="28" spans="1:31">
      <c r="B28" s="218" t="s">
        <v>344</v>
      </c>
      <c r="C28" s="219">
        <f>SUM(C24:C27)</f>
        <v>361.22321265343436</v>
      </c>
      <c r="O28" s="204"/>
      <c r="P28" s="204"/>
      <c r="Q28" s="204"/>
      <c r="R28" s="204"/>
      <c r="S28" s="204"/>
      <c r="T28" s="204"/>
      <c r="U28" s="204"/>
      <c r="V28" s="204"/>
      <c r="W28" s="204"/>
      <c r="X28" s="204"/>
      <c r="Y28" s="204"/>
      <c r="Z28" s="204"/>
      <c r="AA28" s="204"/>
      <c r="AB28" s="204"/>
      <c r="AC28" s="204"/>
      <c r="AD28" s="204"/>
      <c r="AE28" s="204"/>
    </row>
    <row r="29" spans="1:31">
      <c r="A29" s="206" t="s">
        <v>98</v>
      </c>
      <c r="B29" s="216" t="s">
        <v>13</v>
      </c>
      <c r="C29" s="217">
        <f>C23</f>
        <v>29.618262628585345</v>
      </c>
      <c r="E29" s="356"/>
      <c r="O29" s="204"/>
      <c r="P29" s="204"/>
      <c r="Q29" s="204"/>
      <c r="R29" s="204"/>
      <c r="S29" s="204"/>
      <c r="T29" s="204"/>
      <c r="U29" s="204"/>
      <c r="V29" s="204"/>
      <c r="W29" s="204"/>
      <c r="X29" s="204"/>
      <c r="Y29" s="204"/>
      <c r="Z29" s="204"/>
      <c r="AA29" s="204"/>
      <c r="AB29" s="204"/>
      <c r="AC29" s="204"/>
      <c r="AD29" s="204"/>
      <c r="AE29" s="204"/>
    </row>
    <row r="30" spans="1:31" ht="12" customHeight="1">
      <c r="B30" s="216" t="s">
        <v>345</v>
      </c>
      <c r="C30" s="360">
        <f>C28-C29</f>
        <v>331.60495002484902</v>
      </c>
      <c r="E30" s="356"/>
      <c r="F30" s="355"/>
      <c r="G30" s="355"/>
      <c r="H30" s="355"/>
      <c r="I30" s="355"/>
      <c r="J30" s="355"/>
      <c r="K30" s="355"/>
      <c r="L30" s="355"/>
      <c r="M30" s="355"/>
      <c r="N30" s="355"/>
      <c r="P30" s="204"/>
      <c r="Q30" s="204"/>
      <c r="R30" s="204"/>
      <c r="S30" s="204"/>
      <c r="T30" s="204"/>
      <c r="U30" s="204"/>
      <c r="V30" s="204"/>
      <c r="W30" s="204"/>
      <c r="X30" s="204"/>
      <c r="Y30" s="204"/>
      <c r="Z30" s="204"/>
      <c r="AA30" s="204"/>
      <c r="AB30" s="204"/>
      <c r="AC30" s="204"/>
      <c r="AD30" s="204"/>
      <c r="AE30" s="204"/>
    </row>
    <row r="31" spans="1:31">
      <c r="E31" s="356"/>
      <c r="F31" s="347"/>
      <c r="G31" s="347"/>
      <c r="H31" s="347"/>
      <c r="I31" s="354"/>
      <c r="J31" s="354"/>
      <c r="K31" s="347"/>
      <c r="L31" s="347"/>
      <c r="M31" s="347"/>
      <c r="N31" s="347"/>
      <c r="P31" s="204"/>
      <c r="Q31" s="204"/>
      <c r="R31" s="204"/>
      <c r="S31" s="204"/>
      <c r="T31" s="204"/>
      <c r="U31" s="204"/>
      <c r="V31" s="204"/>
      <c r="W31" s="204"/>
      <c r="X31" s="204"/>
      <c r="Y31" s="204"/>
      <c r="Z31" s="204"/>
      <c r="AA31" s="204"/>
      <c r="AB31" s="204"/>
      <c r="AC31" s="204"/>
      <c r="AD31" s="204"/>
      <c r="AE31" s="204"/>
    </row>
    <row r="32" spans="1:31">
      <c r="E32" s="356"/>
      <c r="F32" s="204"/>
      <c r="G32" s="204"/>
      <c r="H32" s="204"/>
      <c r="I32" s="204"/>
      <c r="L32" s="204"/>
      <c r="M32" s="204"/>
      <c r="N32" s="204"/>
      <c r="O32" s="204"/>
      <c r="P32" s="204"/>
      <c r="Q32" s="204"/>
      <c r="R32" s="204"/>
      <c r="S32" s="204"/>
      <c r="T32" s="204"/>
      <c r="U32" s="204"/>
      <c r="V32" s="204"/>
      <c r="W32" s="204"/>
      <c r="X32" s="204"/>
      <c r="Y32" s="204"/>
      <c r="Z32" s="204"/>
      <c r="AA32" s="204"/>
      <c r="AB32" s="204"/>
      <c r="AC32" s="204"/>
      <c r="AD32" s="204"/>
      <c r="AE32" s="204"/>
    </row>
    <row r="33" spans="5:31">
      <c r="E33" s="356"/>
      <c r="F33" s="204"/>
      <c r="G33" s="204"/>
      <c r="H33" s="204"/>
      <c r="I33" s="204"/>
      <c r="L33" s="204"/>
      <c r="M33" s="204"/>
      <c r="N33" s="204"/>
      <c r="O33" s="204"/>
      <c r="P33" s="204"/>
      <c r="Q33" s="204"/>
      <c r="R33" s="204"/>
      <c r="S33" s="204"/>
      <c r="T33" s="204"/>
      <c r="U33" s="204"/>
      <c r="V33" s="204"/>
      <c r="W33" s="204"/>
      <c r="X33" s="204"/>
      <c r="Y33" s="204"/>
      <c r="Z33" s="204"/>
      <c r="AA33" s="204"/>
      <c r="AB33" s="204"/>
      <c r="AC33" s="204"/>
      <c r="AD33" s="204"/>
      <c r="AE33" s="204"/>
    </row>
    <row r="34" spans="5:31">
      <c r="E34" s="356"/>
      <c r="F34" s="204"/>
      <c r="G34" s="204"/>
      <c r="H34" s="204"/>
      <c r="I34" s="204"/>
      <c r="L34" s="204"/>
      <c r="M34" s="204"/>
      <c r="N34" s="204"/>
      <c r="O34" s="204"/>
      <c r="P34" s="204"/>
      <c r="Q34" s="204"/>
      <c r="R34" s="204"/>
      <c r="S34" s="204"/>
      <c r="T34" s="204"/>
      <c r="U34" s="204"/>
      <c r="V34" s="204"/>
      <c r="W34" s="204"/>
      <c r="X34" s="204"/>
      <c r="Y34" s="204"/>
      <c r="Z34" s="204"/>
      <c r="AA34" s="204"/>
      <c r="AB34" s="204"/>
      <c r="AC34" s="204"/>
      <c r="AD34" s="204"/>
      <c r="AE34" s="204"/>
    </row>
    <row r="35" spans="5:31">
      <c r="E35" s="356"/>
      <c r="F35" s="204"/>
      <c r="G35" s="204"/>
      <c r="H35" s="204"/>
      <c r="I35" s="204"/>
      <c r="L35" s="204"/>
      <c r="M35" s="204"/>
      <c r="N35" s="204"/>
      <c r="O35" s="204"/>
      <c r="P35" s="204"/>
      <c r="Q35" s="204"/>
      <c r="R35" s="204"/>
      <c r="S35" s="204"/>
      <c r="T35" s="204"/>
      <c r="U35" s="204"/>
      <c r="V35" s="204"/>
      <c r="W35" s="204"/>
      <c r="X35" s="204"/>
      <c r="Y35" s="204"/>
      <c r="Z35" s="204"/>
      <c r="AA35" s="204"/>
      <c r="AB35" s="204"/>
      <c r="AC35" s="204"/>
      <c r="AD35" s="204"/>
      <c r="AE35" s="204"/>
    </row>
    <row r="36" spans="5:31">
      <c r="E36" s="356"/>
      <c r="F36" s="204"/>
      <c r="G36" s="204"/>
      <c r="H36" s="204"/>
      <c r="I36" s="204"/>
      <c r="L36" s="204"/>
      <c r="M36" s="204"/>
      <c r="N36" s="204"/>
      <c r="O36" s="204"/>
      <c r="P36" s="204"/>
      <c r="Q36" s="204"/>
      <c r="R36" s="204"/>
      <c r="S36" s="204"/>
      <c r="T36" s="204"/>
      <c r="U36" s="204"/>
      <c r="V36" s="204"/>
      <c r="W36" s="204"/>
      <c r="X36" s="204"/>
      <c r="Y36" s="204"/>
      <c r="Z36" s="204"/>
      <c r="AA36" s="204"/>
      <c r="AB36" s="204"/>
      <c r="AC36" s="204"/>
      <c r="AD36" s="204"/>
      <c r="AE36" s="204"/>
    </row>
    <row r="37" spans="5:31">
      <c r="E37" s="356"/>
      <c r="F37" s="204"/>
      <c r="G37" s="204"/>
      <c r="H37" s="204"/>
      <c r="I37" s="204"/>
      <c r="L37" s="204"/>
      <c r="M37" s="204"/>
      <c r="N37" s="204"/>
      <c r="O37" s="204"/>
      <c r="P37" s="204"/>
      <c r="Q37" s="204"/>
      <c r="R37" s="204"/>
      <c r="S37" s="204"/>
      <c r="T37" s="204"/>
      <c r="U37" s="204"/>
      <c r="V37" s="204"/>
      <c r="W37" s="204"/>
      <c r="X37" s="204"/>
      <c r="Y37" s="204"/>
      <c r="Z37" s="204"/>
      <c r="AA37" s="204"/>
      <c r="AB37" s="204"/>
      <c r="AC37" s="204"/>
      <c r="AD37" s="204"/>
      <c r="AE37" s="204"/>
    </row>
    <row r="38" spans="5:31">
      <c r="E38" s="356"/>
      <c r="F38" s="204"/>
      <c r="G38" s="204"/>
      <c r="H38" s="204"/>
      <c r="I38" s="204"/>
      <c r="L38" s="204"/>
      <c r="M38" s="204"/>
      <c r="N38" s="204"/>
      <c r="O38" s="204"/>
      <c r="P38" s="204"/>
      <c r="Q38" s="204"/>
      <c r="R38" s="204"/>
      <c r="S38" s="204"/>
      <c r="T38" s="204"/>
      <c r="U38" s="204"/>
      <c r="V38" s="204"/>
      <c r="W38" s="204"/>
      <c r="X38" s="204"/>
      <c r="Y38" s="204"/>
      <c r="Z38" s="204"/>
      <c r="AA38" s="204"/>
      <c r="AB38" s="204"/>
      <c r="AC38" s="204"/>
      <c r="AD38" s="204"/>
      <c r="AE38" s="204"/>
    </row>
    <row r="39" spans="5:31">
      <c r="E39" s="344"/>
    </row>
    <row r="45" spans="5:31">
      <c r="F45" s="50"/>
      <c r="G45" s="50"/>
      <c r="H45" s="50"/>
      <c r="I45" s="50"/>
    </row>
  </sheetData>
  <mergeCells count="2">
    <mergeCell ref="I16:J16"/>
    <mergeCell ref="L16:M16"/>
  </mergeCell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48"/>
  <sheetViews>
    <sheetView workbookViewId="0"/>
  </sheetViews>
  <sheetFormatPr defaultRowHeight="12"/>
  <cols>
    <col min="1" max="1" width="2" style="199" customWidth="1"/>
    <col min="2" max="2" width="31.42578125" style="199" customWidth="1"/>
    <col min="3" max="3" width="14.28515625" style="199" customWidth="1"/>
    <col min="4" max="4" width="12.85546875" style="199" customWidth="1"/>
    <col min="5" max="5" width="8.42578125" style="199" bestFit="1" customWidth="1"/>
    <col min="6" max="6" width="12.85546875" style="199" customWidth="1" collapsed="1"/>
    <col min="7" max="7" width="12.42578125" style="199" customWidth="1"/>
    <col min="8" max="8" width="11.7109375" style="199" customWidth="1"/>
    <col min="9" max="9" width="12.42578125" style="199" customWidth="1"/>
    <col min="10" max="10" width="9.85546875" style="199" customWidth="1"/>
    <col min="11" max="11" width="10.85546875" style="199" customWidth="1"/>
    <col min="12" max="12" width="15.85546875" style="199" customWidth="1"/>
    <col min="13" max="13" width="12.5703125" style="199" customWidth="1"/>
    <col min="14" max="14" width="13.28515625" style="199" customWidth="1"/>
    <col min="15" max="25" width="9.140625" style="199" customWidth="1"/>
    <col min="26" max="26" width="9.28515625" style="199" customWidth="1"/>
    <col min="27" max="27" width="9.42578125" style="199" customWidth="1"/>
    <col min="28" max="28" width="10" style="199" customWidth="1"/>
    <col min="29" max="29" width="11.42578125" style="199" customWidth="1"/>
    <col min="30" max="30" width="9.42578125" style="199" bestFit="1" customWidth="1" collapsed="1"/>
    <col min="31" max="16384" width="9.140625" style="199"/>
  </cols>
  <sheetData>
    <row r="1" spans="1:31" s="198" customFormat="1" ht="15" customHeight="1">
      <c r="B1" s="18" t="s">
        <v>349</v>
      </c>
      <c r="C1" s="197"/>
      <c r="D1" s="197"/>
      <c r="E1" s="197"/>
      <c r="F1" s="197"/>
      <c r="G1" s="197"/>
      <c r="H1" s="197"/>
      <c r="I1" s="197"/>
      <c r="J1" s="197"/>
      <c r="K1" s="197"/>
    </row>
    <row r="2" spans="1:31" ht="12" customHeight="1">
      <c r="C2" s="227"/>
    </row>
    <row r="3" spans="1:31" ht="12" customHeight="1">
      <c r="A3" s="201"/>
      <c r="B3" s="216" t="s">
        <v>19</v>
      </c>
      <c r="C3" s="98">
        <f>'Risk Free Rate'!C4</f>
        <v>5.722E-2</v>
      </c>
      <c r="D3" s="342"/>
      <c r="E3" s="103"/>
      <c r="F3" s="103" t="s">
        <v>295</v>
      </c>
      <c r="G3" s="103" t="s">
        <v>7</v>
      </c>
      <c r="H3" s="103" t="s">
        <v>270</v>
      </c>
      <c r="I3" s="261" t="s">
        <v>271</v>
      </c>
      <c r="J3" s="261" t="s">
        <v>3</v>
      </c>
      <c r="K3" s="261" t="s">
        <v>272</v>
      </c>
      <c r="L3" s="261" t="s">
        <v>330</v>
      </c>
      <c r="M3" s="261" t="s">
        <v>225</v>
      </c>
      <c r="N3" s="103" t="s">
        <v>275</v>
      </c>
    </row>
    <row r="4" spans="1:31" ht="12" customHeight="1">
      <c r="A4" s="206"/>
      <c r="B4" s="216" t="s">
        <v>20</v>
      </c>
      <c r="C4" s="345">
        <f>'Equity Risk Premium'!F28</f>
        <v>3.6515277892807708E-2</v>
      </c>
      <c r="D4" s="342"/>
      <c r="E4" s="293" t="s">
        <v>265</v>
      </c>
      <c r="F4" s="363">
        <v>11281.5</v>
      </c>
      <c r="G4" s="289">
        <v>1815.4</v>
      </c>
      <c r="H4" s="289"/>
      <c r="I4" s="348">
        <f>C17/G4</f>
        <v>0.11746722485402665</v>
      </c>
      <c r="J4" s="289">
        <f>G4*I4</f>
        <v>213.25</v>
      </c>
      <c r="K4" s="289">
        <f>J4</f>
        <v>213.25</v>
      </c>
      <c r="L4" s="298">
        <f>G4/F17</f>
        <v>3.5538241685100727</v>
      </c>
      <c r="M4" s="289"/>
      <c r="N4" s="289"/>
      <c r="P4" s="203"/>
      <c r="Q4" s="203"/>
      <c r="R4" s="203"/>
      <c r="S4" s="203"/>
      <c r="X4" s="203"/>
    </row>
    <row r="5" spans="1:31" ht="12" customHeight="1">
      <c r="A5" s="206"/>
      <c r="B5" s="216" t="s">
        <v>14</v>
      </c>
      <c r="C5" s="266">
        <f>Beta!$C$17*(1+(1-Beta!$C$13)*((153.85+23.17)/(64.8+364.25)))</f>
        <v>0.76644271688594401</v>
      </c>
      <c r="D5" s="342"/>
      <c r="E5" s="287">
        <v>1</v>
      </c>
      <c r="F5" s="364">
        <v>12706.729500000001</v>
      </c>
      <c r="G5" s="291">
        <f>G4*(1+H5)</f>
        <v>2360.02</v>
      </c>
      <c r="H5" s="237">
        <v>0.3</v>
      </c>
      <c r="I5" s="96">
        <v>0.13</v>
      </c>
      <c r="J5" s="291">
        <f>G5*I5</f>
        <v>306.80259999999998</v>
      </c>
      <c r="K5" s="290">
        <f>J5*(1-$M$22)</f>
        <v>229.58038557999998</v>
      </c>
      <c r="L5" s="266">
        <f t="shared" ref="L5:L14" ca="1" si="0">G5/F18</f>
        <v>3.5538241685100722</v>
      </c>
      <c r="M5" s="349">
        <f t="shared" ref="M5:M14" ca="1" si="1">(G5-G4)/L5</f>
        <v>153.24899999999997</v>
      </c>
      <c r="N5" s="349">
        <f t="shared" ref="N5:N14" ca="1" si="2">K5-M5</f>
        <v>76.331385580000017</v>
      </c>
      <c r="P5" s="204"/>
      <c r="Q5" s="204"/>
      <c r="R5" s="204"/>
      <c r="S5" s="204"/>
      <c r="T5" s="204"/>
      <c r="U5" s="204"/>
      <c r="V5" s="204"/>
      <c r="W5" s="204"/>
      <c r="X5" s="204"/>
      <c r="Y5" s="204"/>
      <c r="Z5" s="204"/>
      <c r="AA5" s="204"/>
      <c r="AB5" s="204"/>
      <c r="AC5" s="204"/>
    </row>
    <row r="6" spans="1:31" ht="12" customHeight="1">
      <c r="A6" s="206"/>
      <c r="B6" s="220" t="s">
        <v>17</v>
      </c>
      <c r="C6" s="357">
        <f>C3+(C5*C4)</f>
        <v>8.5206868796008792E-2</v>
      </c>
      <c r="D6" s="342"/>
      <c r="E6" s="287">
        <v>2</v>
      </c>
      <c r="F6" s="364">
        <v>14297.120160000004</v>
      </c>
      <c r="G6" s="291">
        <f t="shared" ref="G6:G13" si="3">G5*(1+H6)</f>
        <v>2950.0250000000001</v>
      </c>
      <c r="H6" s="237">
        <v>0.25</v>
      </c>
      <c r="I6" s="96">
        <v>0.14000000000000001</v>
      </c>
      <c r="J6" s="291">
        <f t="shared" ref="J6:J13" si="4">G6*I6</f>
        <v>413.00350000000003</v>
      </c>
      <c r="K6" s="290">
        <f>J6*(1-$M$22)</f>
        <v>309.05051904999999</v>
      </c>
      <c r="L6" s="266">
        <f t="shared" ca="1" si="0"/>
        <v>3.5538241685100718</v>
      </c>
      <c r="M6" s="349">
        <f t="shared" ca="1" si="1"/>
        <v>166.01975000000004</v>
      </c>
      <c r="N6" s="349">
        <f t="shared" ca="1" si="2"/>
        <v>143.03076904999995</v>
      </c>
      <c r="P6" s="204"/>
      <c r="Q6" s="204"/>
      <c r="R6" s="204"/>
      <c r="S6" s="204"/>
      <c r="T6" s="204"/>
      <c r="U6" s="204"/>
      <c r="V6" s="204"/>
      <c r="W6" s="204"/>
      <c r="X6" s="204"/>
      <c r="Y6" s="204"/>
      <c r="Z6" s="204"/>
      <c r="AA6" s="204"/>
      <c r="AB6" s="204"/>
      <c r="AC6" s="204"/>
    </row>
    <row r="7" spans="1:31" ht="12" customHeight="1">
      <c r="B7" s="114" t="s">
        <v>165</v>
      </c>
      <c r="C7" s="345">
        <f>'Cost of Equity &amp; Debt'!C15</f>
        <v>3.2140000000000002E-2</v>
      </c>
      <c r="D7" s="342"/>
      <c r="E7" s="287">
        <v>3</v>
      </c>
      <c r="F7" s="364">
        <v>16070.856629850003</v>
      </c>
      <c r="G7" s="291">
        <f t="shared" si="3"/>
        <v>3687.53125</v>
      </c>
      <c r="H7" s="237">
        <v>0.25</v>
      </c>
      <c r="I7" s="96">
        <v>0.14000000000000001</v>
      </c>
      <c r="J7" s="291">
        <f t="shared" si="4"/>
        <v>516.2543750000001</v>
      </c>
      <c r="K7" s="290">
        <f t="shared" ref="K7:K11" si="5">J7*(1-$M$22)</f>
        <v>386.31314881250006</v>
      </c>
      <c r="L7" s="266">
        <f t="shared" ca="1" si="0"/>
        <v>3.5538241685100722</v>
      </c>
      <c r="M7" s="349">
        <f t="shared" ca="1" si="1"/>
        <v>207.52468749999994</v>
      </c>
      <c r="N7" s="349">
        <f t="shared" ca="1" si="2"/>
        <v>178.78846131250012</v>
      </c>
      <c r="P7" s="204"/>
      <c r="Q7" s="204"/>
      <c r="R7" s="204"/>
      <c r="S7" s="204"/>
      <c r="T7" s="204"/>
      <c r="U7" s="204"/>
      <c r="V7" s="204"/>
      <c r="W7" s="204"/>
      <c r="X7" s="204"/>
      <c r="Y7" s="204"/>
      <c r="Z7" s="204"/>
      <c r="AA7" s="204"/>
      <c r="AB7" s="204"/>
      <c r="AC7" s="204"/>
    </row>
    <row r="8" spans="1:31" ht="12" customHeight="1">
      <c r="A8" s="206"/>
      <c r="B8" s="114" t="s">
        <v>164</v>
      </c>
      <c r="C8" s="346">
        <f>'Cost of Equity &amp; Debt'!C16</f>
        <v>1.6102325581395347</v>
      </c>
      <c r="E8" s="287">
        <v>4</v>
      </c>
      <c r="F8" s="364">
        <v>18048.058990977006</v>
      </c>
      <c r="G8" s="291">
        <f t="shared" si="3"/>
        <v>4425.0374999999995</v>
      </c>
      <c r="H8" s="237">
        <v>0.2</v>
      </c>
      <c r="I8" s="96">
        <v>0.15</v>
      </c>
      <c r="J8" s="291">
        <f t="shared" si="4"/>
        <v>663.7556249999999</v>
      </c>
      <c r="K8" s="290">
        <f t="shared" si="5"/>
        <v>496.68833418749989</v>
      </c>
      <c r="L8" s="266">
        <f t="shared" ca="1" si="0"/>
        <v>3.5538241685100722</v>
      </c>
      <c r="M8" s="349">
        <f t="shared" ca="1" si="1"/>
        <v>207.52468749999983</v>
      </c>
      <c r="N8" s="349">
        <f t="shared" ca="1" si="2"/>
        <v>289.16364668750009</v>
      </c>
      <c r="O8" s="204"/>
      <c r="P8" s="204"/>
      <c r="Q8" s="204"/>
      <c r="R8" s="204"/>
      <c r="S8" s="204"/>
      <c r="T8" s="204"/>
      <c r="U8" s="204"/>
      <c r="V8" s="204"/>
      <c r="W8" s="204"/>
      <c r="X8" s="204"/>
      <c r="Y8" s="204"/>
      <c r="Z8" s="204"/>
      <c r="AA8" s="204"/>
      <c r="AB8" s="204"/>
      <c r="AC8" s="204"/>
    </row>
    <row r="9" spans="1:31" ht="12" customHeight="1">
      <c r="A9" s="206"/>
      <c r="B9" s="114" t="s">
        <v>23</v>
      </c>
      <c r="C9" s="345">
        <f>'Cost of Equity &amp; Debt'!C17</f>
        <v>1.8700000000000001E-2</v>
      </c>
      <c r="E9" s="287">
        <v>5</v>
      </c>
      <c r="F9" s="364">
        <v>20829.583376645231</v>
      </c>
      <c r="G9" s="291">
        <f t="shared" si="3"/>
        <v>5310.0449999999992</v>
      </c>
      <c r="H9" s="237">
        <v>0.2</v>
      </c>
      <c r="I9" s="96">
        <v>0.15</v>
      </c>
      <c r="J9" s="291">
        <f t="shared" si="4"/>
        <v>796.5067499999999</v>
      </c>
      <c r="K9" s="290">
        <f t="shared" si="5"/>
        <v>596.02600102499991</v>
      </c>
      <c r="L9" s="266">
        <f t="shared" ca="1" si="0"/>
        <v>3.5538241685100722</v>
      </c>
      <c r="M9" s="349">
        <f t="shared" ca="1" si="1"/>
        <v>249.0296249999999</v>
      </c>
      <c r="N9" s="349">
        <f t="shared" ca="1" si="2"/>
        <v>346.99637602500002</v>
      </c>
      <c r="O9" s="204"/>
      <c r="P9" s="204"/>
      <c r="Q9" s="204"/>
      <c r="R9" s="204"/>
      <c r="S9" s="204"/>
      <c r="T9" s="204"/>
      <c r="U9" s="204"/>
      <c r="V9" s="204"/>
      <c r="W9" s="204"/>
      <c r="X9" s="204"/>
      <c r="Y9" s="204"/>
      <c r="Z9" s="204"/>
      <c r="AA9" s="204"/>
      <c r="AB9" s="204"/>
      <c r="AC9" s="204"/>
    </row>
    <row r="10" spans="1:31">
      <c r="A10" s="202"/>
      <c r="B10" s="54" t="s">
        <v>351</v>
      </c>
      <c r="C10" s="98">
        <v>6.7000000000000002E-3</v>
      </c>
      <c r="D10" s="342"/>
      <c r="E10" s="287">
        <v>6</v>
      </c>
      <c r="F10" s="364">
        <v>23965.592873906819</v>
      </c>
      <c r="G10" s="291">
        <f t="shared" si="3"/>
        <v>6106.5517499999987</v>
      </c>
      <c r="H10" s="237">
        <v>0.15</v>
      </c>
      <c r="I10" s="96">
        <v>0.16</v>
      </c>
      <c r="J10" s="291">
        <f>G10*I10</f>
        <v>977.04827999999986</v>
      </c>
      <c r="K10" s="290">
        <f t="shared" si="5"/>
        <v>731.12522792399989</v>
      </c>
      <c r="L10" s="266">
        <f t="shared" ca="1" si="0"/>
        <v>3.5538241685100722</v>
      </c>
      <c r="M10" s="349">
        <f t="shared" ca="1" si="1"/>
        <v>224.12666249999984</v>
      </c>
      <c r="N10" s="349">
        <f t="shared" ca="1" si="2"/>
        <v>506.99856542400005</v>
      </c>
      <c r="O10" s="204"/>
      <c r="P10" s="204"/>
      <c r="Q10" s="204"/>
      <c r="R10" s="204"/>
      <c r="S10" s="204"/>
      <c r="T10" s="204"/>
      <c r="U10" s="204"/>
      <c r="V10" s="204"/>
      <c r="W10" s="204"/>
      <c r="X10" s="204"/>
      <c r="Y10" s="204"/>
      <c r="Z10" s="204"/>
      <c r="AA10" s="204"/>
      <c r="AB10" s="204"/>
      <c r="AC10" s="204"/>
    </row>
    <row r="11" spans="1:31" ht="12.75" customHeight="1">
      <c r="A11" s="206"/>
      <c r="B11" s="316" t="s">
        <v>18</v>
      </c>
      <c r="C11" s="316">
        <f>C7+(C8*C9)+C10</f>
        <v>6.8951348837209298E-2</v>
      </c>
      <c r="D11" s="342"/>
      <c r="E11" s="287">
        <v>7</v>
      </c>
      <c r="F11" s="364">
        <v>26809.930343941553</v>
      </c>
      <c r="G11" s="291">
        <f t="shared" si="3"/>
        <v>7022.5345124999976</v>
      </c>
      <c r="H11" s="237">
        <v>0.15</v>
      </c>
      <c r="I11" s="96">
        <v>0.17</v>
      </c>
      <c r="J11" s="291">
        <f t="shared" si="4"/>
        <v>1193.8308671249997</v>
      </c>
      <c r="K11" s="290">
        <f t="shared" si="5"/>
        <v>893.34363786963729</v>
      </c>
      <c r="L11" s="266">
        <f t="shared" ca="1" si="0"/>
        <v>3.5538241685100727</v>
      </c>
      <c r="M11" s="349">
        <f t="shared" ca="1" si="1"/>
        <v>257.74566187499966</v>
      </c>
      <c r="N11" s="349">
        <f t="shared" ca="1" si="2"/>
        <v>635.59797599463764</v>
      </c>
      <c r="O11" s="204"/>
      <c r="P11" s="204"/>
      <c r="Q11" s="204"/>
      <c r="R11" s="204"/>
      <c r="S11" s="204"/>
      <c r="T11" s="204"/>
      <c r="U11" s="204"/>
      <c r="V11" s="204"/>
      <c r="W11" s="204"/>
      <c r="X11" s="204"/>
      <c r="Y11" s="204"/>
      <c r="Z11" s="204"/>
      <c r="AA11" s="204"/>
      <c r="AB11" s="204"/>
      <c r="AC11" s="204"/>
    </row>
    <row r="12" spans="1:31">
      <c r="B12" s="114" t="s">
        <v>178</v>
      </c>
      <c r="C12" s="189">
        <f>153.85+23.17</f>
        <v>177.01999999999998</v>
      </c>
      <c r="E12" s="287">
        <v>8</v>
      </c>
      <c r="F12" s="364">
        <v>29972.127256303895</v>
      </c>
      <c r="G12" s="291">
        <f t="shared" si="3"/>
        <v>7724.7879637499982</v>
      </c>
      <c r="H12" s="237">
        <v>0.1</v>
      </c>
      <c r="I12" s="96">
        <v>0.17</v>
      </c>
      <c r="J12" s="291">
        <f t="shared" si="4"/>
        <v>1313.2139538374997</v>
      </c>
      <c r="K12" s="290">
        <f>J12*(1-$M$22)</f>
        <v>982.67800165660105</v>
      </c>
      <c r="L12" s="266">
        <f t="shared" ca="1" si="0"/>
        <v>3.5538241685100722</v>
      </c>
      <c r="M12" s="349">
        <f t="shared" ca="1" si="1"/>
        <v>197.60500743750015</v>
      </c>
      <c r="N12" s="349">
        <f t="shared" ca="1" si="2"/>
        <v>785.07299421910091</v>
      </c>
      <c r="O12" s="204"/>
      <c r="P12" s="204"/>
      <c r="Q12" s="204"/>
      <c r="R12" s="204"/>
      <c r="S12" s="204"/>
      <c r="T12" s="204"/>
      <c r="U12" s="204"/>
      <c r="V12" s="204"/>
      <c r="W12" s="204"/>
      <c r="X12" s="204"/>
      <c r="Y12" s="204"/>
      <c r="Z12" s="204"/>
      <c r="AA12" s="204"/>
      <c r="AB12" s="204"/>
      <c r="AC12" s="204"/>
    </row>
    <row r="13" spans="1:31" ht="12" customHeight="1">
      <c r="A13" s="206"/>
      <c r="B13" s="114" t="s">
        <v>328</v>
      </c>
      <c r="C13" s="189">
        <f>64.8+364.25</f>
        <v>429.05</v>
      </c>
      <c r="D13" s="342"/>
      <c r="E13" s="287">
        <v>9</v>
      </c>
      <c r="F13" s="364">
        <v>32669.618709371247</v>
      </c>
      <c r="G13" s="291">
        <f t="shared" si="3"/>
        <v>8420.0188804874979</v>
      </c>
      <c r="H13" s="237">
        <v>0.09</v>
      </c>
      <c r="I13" s="96">
        <v>0.18</v>
      </c>
      <c r="J13" s="291">
        <f t="shared" si="4"/>
        <v>1515.6033984877495</v>
      </c>
      <c r="K13" s="290">
        <f>J13*(1-$M$22)</f>
        <v>1134.1260230883829</v>
      </c>
      <c r="L13" s="266">
        <f t="shared" ca="1" si="0"/>
        <v>3.5538241685100727</v>
      </c>
      <c r="M13" s="349">
        <f t="shared" ca="1" si="1"/>
        <v>195.62895736312487</v>
      </c>
      <c r="N13" s="349">
        <f t="shared" ca="1" si="2"/>
        <v>938.49706572525804</v>
      </c>
      <c r="O13" s="204"/>
      <c r="P13" s="204"/>
      <c r="Q13" s="204"/>
      <c r="R13" s="204"/>
      <c r="S13" s="204"/>
      <c r="T13" s="204"/>
      <c r="U13" s="204"/>
      <c r="V13" s="204"/>
      <c r="W13" s="204"/>
      <c r="X13" s="204"/>
      <c r="Y13" s="204"/>
      <c r="Z13" s="204"/>
      <c r="AA13" s="204"/>
      <c r="AB13" s="204"/>
      <c r="AC13" s="204"/>
    </row>
    <row r="14" spans="1:31">
      <c r="B14" s="114" t="s">
        <v>8</v>
      </c>
      <c r="C14" s="95">
        <f>(C6*(C13/(C12+C13))+(C11*(C12/(C12+C13)*(1-$M$22))))</f>
        <v>7.5389943538021503E-2</v>
      </c>
      <c r="E14" s="287">
        <v>10</v>
      </c>
      <c r="F14" s="364">
        <v>35609.884393214663</v>
      </c>
      <c r="G14" s="291">
        <f>F14*25%</f>
        <v>8902.4710983036657</v>
      </c>
      <c r="H14" s="237">
        <v>5.7298104239473346E-2</v>
      </c>
      <c r="I14" s="96">
        <v>0.18</v>
      </c>
      <c r="J14" s="291">
        <f>G14*I14</f>
        <v>1602.4447976946597</v>
      </c>
      <c r="K14" s="290">
        <f>J14*(1-$M$22)</f>
        <v>1199.1094421149137</v>
      </c>
      <c r="L14" s="266">
        <f t="shared" ca="1" si="0"/>
        <v>3.5538241685100722</v>
      </c>
      <c r="M14" s="349">
        <f t="shared" ca="1" si="1"/>
        <v>135.75579289800208</v>
      </c>
      <c r="N14" s="349">
        <f t="shared" ca="1" si="2"/>
        <v>1063.3536492169117</v>
      </c>
      <c r="O14" s="204"/>
      <c r="P14" s="204"/>
      <c r="Q14" s="204"/>
      <c r="R14" s="204"/>
      <c r="S14" s="204"/>
      <c r="T14" s="204"/>
      <c r="U14" s="204"/>
      <c r="V14" s="204"/>
      <c r="W14" s="204"/>
      <c r="X14" s="204"/>
      <c r="Y14" s="204"/>
      <c r="Z14" s="204"/>
      <c r="AA14" s="204"/>
      <c r="AB14" s="204"/>
      <c r="AC14" s="204"/>
    </row>
    <row r="15" spans="1:31">
      <c r="B15" s="54" t="s">
        <v>329</v>
      </c>
      <c r="C15" s="217">
        <v>0</v>
      </c>
      <c r="D15" s="343"/>
      <c r="J15" s="204"/>
      <c r="N15" s="204"/>
      <c r="O15" s="204"/>
      <c r="P15" s="204"/>
      <c r="Q15" s="204"/>
      <c r="R15" s="204"/>
      <c r="S15" s="204"/>
      <c r="T15" s="204"/>
      <c r="U15" s="204"/>
      <c r="V15" s="204"/>
      <c r="W15" s="204"/>
      <c r="X15" s="204"/>
      <c r="Y15" s="204"/>
      <c r="Z15" s="204"/>
      <c r="AA15" s="204"/>
      <c r="AB15" s="204"/>
      <c r="AC15" s="204"/>
      <c r="AD15" s="204"/>
      <c r="AE15" s="204"/>
    </row>
    <row r="16" spans="1:31">
      <c r="B16" s="216" t="s">
        <v>167</v>
      </c>
      <c r="C16" s="359">
        <f>AVERAGE(13.96,15.11,18.91)</f>
        <v>15.993333333333334</v>
      </c>
      <c r="E16" s="103"/>
      <c r="F16" s="103" t="s">
        <v>331</v>
      </c>
      <c r="G16" s="103" t="s">
        <v>277</v>
      </c>
      <c r="I16" s="400" t="s">
        <v>294</v>
      </c>
      <c r="J16" s="400"/>
      <c r="L16" s="400" t="s">
        <v>332</v>
      </c>
      <c r="M16" s="400"/>
      <c r="O16" s="204"/>
      <c r="P16" s="204"/>
      <c r="Q16" s="204"/>
      <c r="R16" s="204"/>
      <c r="S16" s="204"/>
      <c r="T16" s="204"/>
      <c r="U16" s="204"/>
      <c r="V16" s="204"/>
      <c r="W16" s="204"/>
      <c r="X16" s="204"/>
      <c r="Y16" s="204"/>
      <c r="Z16" s="204"/>
      <c r="AA16" s="204"/>
      <c r="AB16" s="204"/>
      <c r="AC16" s="204"/>
      <c r="AD16" s="204"/>
      <c r="AE16" s="204"/>
    </row>
    <row r="17" spans="1:31">
      <c r="B17" s="216" t="s">
        <v>3</v>
      </c>
      <c r="C17" s="359">
        <f>148.76+50.53+13.96</f>
        <v>213.25</v>
      </c>
      <c r="E17" s="293" t="s">
        <v>265</v>
      </c>
      <c r="F17" s="289">
        <f>C12+C13-(95.24)</f>
        <v>510.82999999999993</v>
      </c>
      <c r="G17" s="348">
        <f t="shared" ref="G17:G27" si="6">K4/F17</f>
        <v>0.417457862694047</v>
      </c>
      <c r="I17" s="288" t="s">
        <v>17</v>
      </c>
      <c r="J17" s="237">
        <f>C3 + (J23*C4)</f>
        <v>8.5206868796008792E-2</v>
      </c>
      <c r="K17" s="354"/>
      <c r="L17" s="230" t="s">
        <v>15</v>
      </c>
      <c r="M17" s="270">
        <v>0.04</v>
      </c>
      <c r="O17" s="204"/>
      <c r="P17" s="204"/>
      <c r="Q17" s="204"/>
      <c r="R17" s="204"/>
      <c r="S17" s="204"/>
      <c r="T17" s="204"/>
      <c r="U17" s="204"/>
      <c r="V17" s="204"/>
      <c r="W17" s="204"/>
      <c r="X17" s="204"/>
      <c r="Y17" s="204"/>
      <c r="Z17" s="204"/>
      <c r="AA17" s="204"/>
      <c r="AB17" s="204"/>
      <c r="AC17" s="204"/>
      <c r="AD17" s="204"/>
      <c r="AE17" s="204"/>
    </row>
    <row r="18" spans="1:31">
      <c r="A18" s="206"/>
      <c r="B18" s="220" t="s">
        <v>327</v>
      </c>
      <c r="C18" s="350">
        <f>C17/C16</f>
        <v>13.333680700291788</v>
      </c>
      <c r="E18" s="287">
        <v>1</v>
      </c>
      <c r="F18" s="349">
        <f t="shared" ref="F18:F27" ca="1" si="7">F17+M5</f>
        <v>664.07899999999995</v>
      </c>
      <c r="G18" s="96">
        <f t="shared" ca="1" si="6"/>
        <v>0.34571246128849126</v>
      </c>
      <c r="I18" s="288" t="s">
        <v>18</v>
      </c>
      <c r="J18" s="237">
        <f>C7+(C8*C9)+J24</f>
        <v>6.8951348837209298E-2</v>
      </c>
      <c r="K18" s="354"/>
      <c r="L18" s="216" t="s">
        <v>277</v>
      </c>
      <c r="M18" s="96">
        <f ca="1">G27</f>
        <v>0.47867879255329554</v>
      </c>
      <c r="O18" s="204"/>
      <c r="P18" s="204"/>
      <c r="Q18" s="204"/>
      <c r="R18" s="204"/>
      <c r="S18" s="204"/>
      <c r="T18" s="204"/>
      <c r="U18" s="204"/>
      <c r="V18" s="204"/>
      <c r="W18" s="204"/>
      <c r="X18" s="204"/>
      <c r="Y18" s="204"/>
      <c r="Z18" s="204"/>
      <c r="AA18" s="204"/>
      <c r="AB18" s="204"/>
      <c r="AC18" s="204"/>
      <c r="AD18" s="204"/>
      <c r="AE18" s="204"/>
    </row>
    <row r="19" spans="1:31">
      <c r="B19" s="114" t="s">
        <v>178</v>
      </c>
      <c r="C19" s="189">
        <f>C12</f>
        <v>177.01999999999998</v>
      </c>
      <c r="E19" s="287">
        <v>2</v>
      </c>
      <c r="F19" s="349">
        <f t="shared" ca="1" si="7"/>
        <v>830.09875</v>
      </c>
      <c r="G19" s="96">
        <f t="shared" ca="1" si="6"/>
        <v>0.37230572754145214</v>
      </c>
      <c r="I19" s="288"/>
      <c r="J19" s="288"/>
      <c r="K19" s="354"/>
      <c r="L19" s="220" t="s">
        <v>335</v>
      </c>
      <c r="M19" s="316">
        <f ca="1">M17/M18</f>
        <v>8.3563342730598303E-2</v>
      </c>
      <c r="O19" s="204"/>
      <c r="P19" s="204"/>
      <c r="Q19" s="204"/>
      <c r="R19" s="204"/>
      <c r="S19" s="204"/>
      <c r="T19" s="204"/>
      <c r="U19" s="204"/>
      <c r="V19" s="204"/>
      <c r="W19" s="204"/>
      <c r="X19" s="204"/>
      <c r="Y19" s="204"/>
      <c r="Z19" s="204"/>
      <c r="AA19" s="204"/>
      <c r="AB19" s="204"/>
      <c r="AC19" s="204"/>
      <c r="AD19" s="204"/>
      <c r="AE19" s="204"/>
    </row>
    <row r="20" spans="1:31">
      <c r="A20" s="206"/>
      <c r="B20" s="114" t="s">
        <v>182</v>
      </c>
      <c r="C20" s="189">
        <f>C16</f>
        <v>15.993333333333334</v>
      </c>
      <c r="E20" s="287">
        <v>3</v>
      </c>
      <c r="F20" s="349">
        <f t="shared" ca="1" si="7"/>
        <v>1037.6234374999999</v>
      </c>
      <c r="G20" s="96">
        <f t="shared" ca="1" si="6"/>
        <v>0.37230572754145225</v>
      </c>
      <c r="I20" s="288" t="s">
        <v>337</v>
      </c>
      <c r="J20" s="351">
        <f>1-J21</f>
        <v>0.29207847278367172</v>
      </c>
      <c r="K20" s="354"/>
      <c r="L20" s="212"/>
      <c r="M20" s="212"/>
      <c r="O20" s="204"/>
      <c r="P20" s="204"/>
      <c r="Q20" s="204"/>
      <c r="R20" s="204"/>
      <c r="S20" s="204"/>
      <c r="T20" s="204"/>
      <c r="U20" s="204"/>
      <c r="V20" s="204"/>
      <c r="W20" s="204"/>
      <c r="X20" s="204"/>
      <c r="Y20" s="204"/>
      <c r="Z20" s="204"/>
      <c r="AA20" s="204"/>
      <c r="AB20" s="204"/>
      <c r="AC20" s="204"/>
      <c r="AD20" s="204"/>
      <c r="AE20" s="204"/>
    </row>
    <row r="21" spans="1:31">
      <c r="B21" s="114" t="s">
        <v>18</v>
      </c>
      <c r="C21" s="96">
        <f>C11</f>
        <v>6.8951348837209298E-2</v>
      </c>
      <c r="E21" s="287">
        <v>4</v>
      </c>
      <c r="F21" s="349">
        <f t="shared" ca="1" si="7"/>
        <v>1245.1481249999997</v>
      </c>
      <c r="G21" s="96">
        <f t="shared" ca="1" si="6"/>
        <v>0.39889899379441301</v>
      </c>
      <c r="I21" s="288" t="s">
        <v>338</v>
      </c>
      <c r="J21" s="331">
        <f>C13/(C12+C13)</f>
        <v>0.70792152721632828</v>
      </c>
      <c r="K21" s="354"/>
      <c r="L21" s="216" t="s">
        <v>287</v>
      </c>
      <c r="M21" s="189">
        <f>($G$14*(1+$M$17))*$I$14</f>
        <v>1666.542589602446</v>
      </c>
      <c r="O21" s="204"/>
      <c r="P21" s="204"/>
      <c r="Q21" s="204"/>
      <c r="R21" s="204"/>
      <c r="S21" s="204"/>
      <c r="T21" s="204"/>
      <c r="U21" s="204"/>
      <c r="V21" s="204"/>
      <c r="W21" s="204"/>
      <c r="X21" s="204"/>
      <c r="Y21" s="204"/>
      <c r="Z21" s="204"/>
      <c r="AA21" s="204"/>
      <c r="AB21" s="204"/>
      <c r="AC21" s="204"/>
      <c r="AD21" s="204"/>
      <c r="AE21" s="204"/>
    </row>
    <row r="22" spans="1:31">
      <c r="B22" s="54" t="s">
        <v>185</v>
      </c>
      <c r="C22" s="192">
        <v>5</v>
      </c>
      <c r="E22" s="287">
        <v>5</v>
      </c>
      <c r="F22" s="349">
        <f t="shared" ca="1" si="7"/>
        <v>1494.1777499999996</v>
      </c>
      <c r="G22" s="96">
        <f t="shared" ca="1" si="6"/>
        <v>0.39889899379441307</v>
      </c>
      <c r="I22" s="288"/>
      <c r="J22" s="288"/>
      <c r="K22" s="354"/>
      <c r="L22" s="216" t="s">
        <v>333</v>
      </c>
      <c r="M22" s="96">
        <f>WACC!$C$11</f>
        <v>0.25169999999999998</v>
      </c>
      <c r="O22" s="204"/>
      <c r="P22" s="204"/>
      <c r="Q22" s="204"/>
      <c r="R22" s="204"/>
      <c r="S22" s="204"/>
      <c r="T22" s="204"/>
      <c r="U22" s="204"/>
      <c r="V22" s="204"/>
      <c r="W22" s="204"/>
      <c r="X22" s="204"/>
      <c r="Y22" s="204"/>
      <c r="Z22" s="204"/>
      <c r="AA22" s="204"/>
      <c r="AB22" s="204"/>
      <c r="AC22" s="204"/>
      <c r="AD22" s="204"/>
      <c r="AE22" s="204"/>
    </row>
    <row r="23" spans="1:31" ht="12" customHeight="1">
      <c r="B23" s="114" t="s">
        <v>184</v>
      </c>
      <c r="C23" s="338">
        <f>C20*((1-(1+C21)^(-C22))/C21)+C19/(1+C21)^5</f>
        <v>192.59346850413812</v>
      </c>
      <c r="E23" s="287">
        <v>6</v>
      </c>
      <c r="F23" s="349">
        <f t="shared" ca="1" si="7"/>
        <v>1718.3044124999994</v>
      </c>
      <c r="G23" s="96">
        <f t="shared" ca="1" si="6"/>
        <v>0.42549226004737395</v>
      </c>
      <c r="I23" s="288" t="s">
        <v>336</v>
      </c>
      <c r="J23" s="266">
        <f>C5</f>
        <v>0.76644271688594401</v>
      </c>
      <c r="K23" s="354"/>
      <c r="L23" s="220" t="s">
        <v>334</v>
      </c>
      <c r="M23" s="221">
        <f>M21*(1-M22)</f>
        <v>1247.0738197995104</v>
      </c>
      <c r="O23" s="204"/>
      <c r="P23" s="204"/>
      <c r="Q23" s="204"/>
      <c r="R23" s="204"/>
      <c r="S23" s="204"/>
      <c r="T23" s="204"/>
      <c r="U23" s="204"/>
      <c r="V23" s="204"/>
      <c r="W23" s="204"/>
      <c r="X23" s="204"/>
      <c r="Y23" s="204"/>
      <c r="Z23" s="204"/>
      <c r="AA23" s="204"/>
      <c r="AB23" s="204"/>
      <c r="AC23" s="204"/>
      <c r="AD23" s="204"/>
      <c r="AE23" s="204"/>
    </row>
    <row r="24" spans="1:31">
      <c r="A24" s="206"/>
      <c r="B24" s="216" t="s">
        <v>340</v>
      </c>
      <c r="C24" s="217">
        <f ca="1">(N5/(1+$C$14)^E5)+(N6/(1+$C$14)^E6)+(N7/(1+$C$14)^E7)+(N8/(1+$C$14)^E8)+(N9/(1+$C$14)^E9)+(N10/(1+$C$14)^E10)+(N11/(1+$C$14)^E11)+(N12/(1+$C$14)^E12)+(N13/(1+$C$14)^E13)+(N14/(1+$C$14)^E14)</f>
        <v>2946.7293736362235</v>
      </c>
      <c r="E24" s="287">
        <v>7</v>
      </c>
      <c r="F24" s="349">
        <f t="shared" ca="1" si="7"/>
        <v>1976.050074374999</v>
      </c>
      <c r="G24" s="96">
        <f t="shared" ca="1" si="6"/>
        <v>0.45208552630033488</v>
      </c>
      <c r="I24" s="288" t="s">
        <v>339</v>
      </c>
      <c r="J24" s="96">
        <v>6.7000000000000002E-3</v>
      </c>
      <c r="K24" s="354"/>
      <c r="L24" s="216"/>
      <c r="M24" s="324"/>
      <c r="O24" s="204"/>
      <c r="P24" s="204"/>
      <c r="Q24" s="204"/>
      <c r="R24" s="204"/>
      <c r="S24" s="204"/>
      <c r="T24" s="204"/>
      <c r="U24" s="204"/>
      <c r="V24" s="204"/>
      <c r="W24" s="204"/>
      <c r="X24" s="204"/>
      <c r="Y24" s="204"/>
      <c r="Z24" s="204"/>
      <c r="AA24" s="204"/>
      <c r="AB24" s="204"/>
      <c r="AC24" s="204"/>
      <c r="AD24" s="204"/>
      <c r="AE24" s="204"/>
    </row>
    <row r="25" spans="1:31">
      <c r="A25" s="206" t="s">
        <v>199</v>
      </c>
      <c r="B25" s="216" t="s">
        <v>341</v>
      </c>
      <c r="C25" s="217">
        <f ca="1">M27/(1+$J$26)^10</f>
        <v>15611.873948640328</v>
      </c>
      <c r="E25" s="287">
        <v>8</v>
      </c>
      <c r="F25" s="349">
        <f t="shared" ca="1" si="7"/>
        <v>2173.6550818124992</v>
      </c>
      <c r="G25" s="96">
        <f t="shared" ca="1" si="6"/>
        <v>0.45208552630033483</v>
      </c>
      <c r="I25" s="212"/>
      <c r="J25" s="212"/>
      <c r="K25" s="354"/>
      <c r="L25" s="216" t="s">
        <v>290</v>
      </c>
      <c r="M25" s="325">
        <f ca="1">M23*(1-M19)</f>
        <v>1142.8641627852476</v>
      </c>
      <c r="O25" s="204"/>
      <c r="P25" s="204"/>
      <c r="Q25" s="204"/>
      <c r="R25" s="204"/>
      <c r="S25" s="204"/>
      <c r="T25" s="204"/>
      <c r="U25" s="204"/>
      <c r="V25" s="204"/>
      <c r="W25" s="204"/>
      <c r="X25" s="204"/>
      <c r="Y25" s="204"/>
      <c r="Z25" s="204"/>
      <c r="AA25" s="204"/>
      <c r="AB25" s="204"/>
      <c r="AC25" s="204"/>
      <c r="AD25" s="204"/>
      <c r="AE25" s="204"/>
    </row>
    <row r="26" spans="1:31">
      <c r="A26" s="206" t="s">
        <v>199</v>
      </c>
      <c r="B26" s="216" t="s">
        <v>316</v>
      </c>
      <c r="C26" s="217">
        <v>95.24</v>
      </c>
      <c r="E26" s="287">
        <v>9</v>
      </c>
      <c r="F26" s="349">
        <f t="shared" ca="1" si="7"/>
        <v>2369.284039175624</v>
      </c>
      <c r="G26" s="96">
        <f t="shared" ca="1" si="6"/>
        <v>0.47867879255329565</v>
      </c>
      <c r="I26" s="352" t="s">
        <v>294</v>
      </c>
      <c r="J26" s="353">
        <f>(J17*J21)+(J18*J20*(1-M22))</f>
        <v>7.5389943538021503E-2</v>
      </c>
      <c r="K26" s="354"/>
      <c r="L26" s="288"/>
      <c r="M26" s="212"/>
      <c r="O26" s="204"/>
      <c r="P26" s="204"/>
      <c r="Q26" s="204"/>
      <c r="R26" s="204"/>
      <c r="S26" s="204"/>
      <c r="T26" s="204"/>
      <c r="U26" s="204"/>
      <c r="V26" s="204"/>
      <c r="W26" s="204"/>
      <c r="X26" s="204"/>
      <c r="Y26" s="204"/>
      <c r="Z26" s="204"/>
      <c r="AA26" s="204"/>
      <c r="AB26" s="204"/>
      <c r="AC26" s="204"/>
      <c r="AD26" s="204"/>
      <c r="AE26" s="204"/>
    </row>
    <row r="27" spans="1:31">
      <c r="A27" s="206" t="s">
        <v>199</v>
      </c>
      <c r="B27" s="216" t="s">
        <v>10</v>
      </c>
      <c r="C27" s="217">
        <v>0</v>
      </c>
      <c r="E27" s="287">
        <v>10</v>
      </c>
      <c r="F27" s="349">
        <f t="shared" ca="1" si="7"/>
        <v>2505.0398320736263</v>
      </c>
      <c r="G27" s="96">
        <f t="shared" ca="1" si="6"/>
        <v>0.47867879255329554</v>
      </c>
      <c r="K27" s="354"/>
      <c r="L27" s="54" t="s">
        <v>258</v>
      </c>
      <c r="M27" s="326">
        <f ca="1">M25/(J26-M17)</f>
        <v>32293.472340734344</v>
      </c>
      <c r="O27" s="204"/>
      <c r="P27" s="204"/>
      <c r="Q27" s="204"/>
      <c r="R27" s="204"/>
      <c r="S27" s="204"/>
      <c r="T27" s="204"/>
      <c r="U27" s="204"/>
      <c r="V27" s="204"/>
      <c r="W27" s="204"/>
      <c r="X27" s="204"/>
      <c r="Y27" s="204"/>
      <c r="Z27" s="204"/>
      <c r="AA27" s="204"/>
      <c r="AB27" s="204"/>
      <c r="AC27" s="204"/>
      <c r="AD27" s="204"/>
      <c r="AE27" s="204"/>
    </row>
    <row r="28" spans="1:31">
      <c r="B28" s="218" t="s">
        <v>344</v>
      </c>
      <c r="C28" s="219">
        <f ca="1">SUM(C24:C27)</f>
        <v>18653.843322276552</v>
      </c>
      <c r="O28" s="204"/>
      <c r="P28" s="204"/>
      <c r="Q28" s="204"/>
      <c r="R28" s="204"/>
      <c r="S28" s="204"/>
      <c r="T28" s="204"/>
      <c r="U28" s="204"/>
      <c r="V28" s="204"/>
      <c r="W28" s="204"/>
      <c r="X28" s="204"/>
      <c r="Y28" s="204"/>
      <c r="Z28" s="204"/>
      <c r="AA28" s="204"/>
      <c r="AB28" s="204"/>
      <c r="AC28" s="204"/>
      <c r="AD28" s="204"/>
      <c r="AE28" s="204"/>
    </row>
    <row r="29" spans="1:31">
      <c r="A29" s="206" t="s">
        <v>98</v>
      </c>
      <c r="B29" s="216" t="s">
        <v>13</v>
      </c>
      <c r="C29" s="217">
        <f>C23+0.09</f>
        <v>192.68346850413812</v>
      </c>
      <c r="E29" s="356"/>
      <c r="F29" s="130"/>
      <c r="O29" s="204"/>
      <c r="P29" s="204"/>
      <c r="Q29" s="204"/>
      <c r="R29" s="204"/>
      <c r="S29" s="204"/>
      <c r="T29" s="204"/>
      <c r="U29" s="204"/>
      <c r="V29" s="204"/>
      <c r="W29" s="204"/>
      <c r="X29" s="204"/>
      <c r="Y29" s="204"/>
      <c r="Z29" s="204"/>
      <c r="AA29" s="204"/>
      <c r="AB29" s="204"/>
      <c r="AC29" s="204"/>
      <c r="AD29" s="204"/>
      <c r="AE29" s="204"/>
    </row>
    <row r="30" spans="1:31" ht="12" customHeight="1">
      <c r="B30" s="216" t="s">
        <v>345</v>
      </c>
      <c r="C30" s="360">
        <f ca="1">C28-C29</f>
        <v>18461.159853772413</v>
      </c>
      <c r="E30" s="356"/>
      <c r="F30" s="355"/>
      <c r="G30" s="355"/>
      <c r="H30" s="355"/>
      <c r="I30" s="355"/>
      <c r="J30" s="355"/>
      <c r="K30" s="355"/>
      <c r="L30" s="355"/>
      <c r="M30" s="355"/>
      <c r="N30" s="355"/>
      <c r="P30" s="204"/>
      <c r="Q30" s="204"/>
      <c r="R30" s="204"/>
      <c r="S30" s="204"/>
      <c r="T30" s="204"/>
      <c r="U30" s="204"/>
      <c r="V30" s="204"/>
      <c r="W30" s="204"/>
      <c r="X30" s="204"/>
      <c r="Y30" s="204"/>
      <c r="Z30" s="204"/>
      <c r="AA30" s="204"/>
      <c r="AB30" s="204"/>
      <c r="AC30" s="204"/>
      <c r="AD30" s="204"/>
      <c r="AE30" s="204"/>
    </row>
    <row r="31" spans="1:31">
      <c r="E31" s="356"/>
      <c r="F31" s="236"/>
      <c r="G31" s="347"/>
      <c r="H31" s="347"/>
      <c r="I31" s="354"/>
      <c r="J31" s="354"/>
      <c r="K31" s="347"/>
      <c r="L31" s="347"/>
      <c r="M31" s="347"/>
      <c r="N31" s="347"/>
      <c r="P31" s="204"/>
      <c r="Q31" s="204"/>
      <c r="R31" s="204"/>
      <c r="S31" s="204"/>
      <c r="T31" s="204"/>
      <c r="U31" s="204"/>
      <c r="V31" s="204"/>
      <c r="W31" s="204"/>
      <c r="X31" s="204"/>
      <c r="Y31" s="204"/>
      <c r="Z31" s="204"/>
      <c r="AA31" s="204"/>
      <c r="AB31" s="204"/>
      <c r="AC31" s="204"/>
      <c r="AD31" s="204"/>
      <c r="AE31" s="204"/>
    </row>
    <row r="32" spans="1:31">
      <c r="E32" s="356"/>
      <c r="F32" s="204"/>
      <c r="G32" s="204"/>
      <c r="H32" s="204"/>
      <c r="I32" s="204"/>
      <c r="L32" s="204"/>
      <c r="M32" s="204"/>
      <c r="N32" s="204"/>
      <c r="O32" s="204"/>
      <c r="P32" s="204"/>
      <c r="Q32" s="204"/>
      <c r="R32" s="204"/>
      <c r="S32" s="204"/>
      <c r="T32" s="204"/>
      <c r="U32" s="204"/>
      <c r="V32" s="204"/>
      <c r="W32" s="204"/>
      <c r="X32" s="204"/>
      <c r="Y32" s="204"/>
      <c r="Z32" s="204"/>
      <c r="AA32" s="204"/>
      <c r="AB32" s="204"/>
      <c r="AC32" s="204"/>
      <c r="AD32" s="204"/>
      <c r="AE32" s="204"/>
    </row>
    <row r="33" spans="5:31">
      <c r="E33" s="356"/>
      <c r="F33" s="204"/>
      <c r="G33" s="204"/>
      <c r="H33" s="204"/>
      <c r="I33" s="204"/>
      <c r="L33" s="204"/>
      <c r="M33" s="204"/>
      <c r="N33" s="204"/>
      <c r="O33" s="204"/>
      <c r="P33" s="204"/>
      <c r="Q33" s="204"/>
      <c r="R33" s="204"/>
      <c r="S33" s="204"/>
      <c r="T33" s="204"/>
      <c r="U33" s="204"/>
      <c r="V33" s="204"/>
      <c r="W33" s="204"/>
      <c r="X33" s="204"/>
      <c r="Y33" s="204"/>
      <c r="Z33" s="204"/>
      <c r="AA33" s="204"/>
      <c r="AB33" s="204"/>
      <c r="AC33" s="204"/>
      <c r="AD33" s="204"/>
      <c r="AE33" s="204"/>
    </row>
    <row r="34" spans="5:31">
      <c r="E34" s="356"/>
      <c r="F34" s="204"/>
      <c r="G34" s="204"/>
      <c r="H34" s="204"/>
      <c r="I34" s="204"/>
      <c r="L34" s="204"/>
      <c r="M34" s="204"/>
      <c r="N34" s="204"/>
      <c r="O34" s="204"/>
      <c r="P34" s="204"/>
      <c r="Q34" s="204"/>
      <c r="R34" s="204"/>
      <c r="S34" s="204"/>
      <c r="T34" s="204"/>
      <c r="U34" s="204"/>
      <c r="V34" s="204"/>
      <c r="W34" s="204"/>
      <c r="X34" s="204"/>
      <c r="Y34" s="204"/>
      <c r="Z34" s="204"/>
      <c r="AA34" s="204"/>
      <c r="AB34" s="204"/>
      <c r="AC34" s="204"/>
      <c r="AD34" s="204"/>
      <c r="AE34" s="204"/>
    </row>
    <row r="35" spans="5:31">
      <c r="E35" s="356"/>
      <c r="F35" s="204"/>
      <c r="G35" s="204"/>
      <c r="H35" s="204"/>
      <c r="I35" s="204"/>
      <c r="L35" s="204"/>
      <c r="M35" s="204"/>
      <c r="N35" s="204"/>
      <c r="O35" s="204"/>
      <c r="P35" s="204"/>
      <c r="Q35" s="204"/>
      <c r="R35" s="204"/>
      <c r="S35" s="204"/>
      <c r="T35" s="204"/>
      <c r="U35" s="204"/>
      <c r="V35" s="204"/>
      <c r="W35" s="204"/>
      <c r="X35" s="204"/>
      <c r="Y35" s="204"/>
      <c r="Z35" s="204"/>
      <c r="AA35" s="204"/>
      <c r="AB35" s="204"/>
      <c r="AC35" s="204"/>
      <c r="AD35" s="204"/>
      <c r="AE35" s="204"/>
    </row>
    <row r="36" spans="5:31">
      <c r="E36" s="356"/>
      <c r="F36" s="204"/>
      <c r="G36" s="204"/>
      <c r="H36" s="204"/>
      <c r="I36" s="204"/>
      <c r="L36" s="204"/>
      <c r="M36" s="204"/>
      <c r="N36" s="204"/>
      <c r="O36" s="204"/>
      <c r="P36" s="204"/>
      <c r="Q36" s="204"/>
      <c r="R36" s="204"/>
      <c r="S36" s="204"/>
      <c r="T36" s="204"/>
      <c r="U36" s="204"/>
      <c r="V36" s="204"/>
      <c r="W36" s="204"/>
      <c r="X36" s="204"/>
      <c r="Y36" s="204"/>
      <c r="Z36" s="204"/>
      <c r="AA36" s="204"/>
      <c r="AB36" s="204"/>
      <c r="AC36" s="204"/>
      <c r="AD36" s="204"/>
      <c r="AE36" s="204"/>
    </row>
    <row r="37" spans="5:31">
      <c r="E37" s="356"/>
      <c r="F37" s="204"/>
      <c r="G37" s="204"/>
      <c r="H37" s="204"/>
      <c r="I37" s="204"/>
      <c r="L37" s="204"/>
      <c r="M37" s="204"/>
      <c r="N37" s="204"/>
      <c r="O37" s="204"/>
      <c r="P37" s="204"/>
      <c r="Q37" s="204"/>
      <c r="R37" s="204"/>
      <c r="S37" s="204"/>
      <c r="T37" s="204"/>
      <c r="U37" s="204"/>
      <c r="V37" s="204"/>
      <c r="W37" s="204"/>
      <c r="X37" s="204"/>
      <c r="Y37" s="204"/>
      <c r="Z37" s="204"/>
      <c r="AA37" s="204"/>
      <c r="AB37" s="204"/>
      <c r="AC37" s="204"/>
      <c r="AD37" s="204"/>
      <c r="AE37" s="204"/>
    </row>
    <row r="38" spans="5:31">
      <c r="E38" s="356"/>
      <c r="F38" s="204"/>
      <c r="G38" s="204"/>
      <c r="H38" s="204"/>
      <c r="I38" s="204"/>
      <c r="L38" s="204"/>
      <c r="M38" s="204"/>
      <c r="N38" s="204"/>
      <c r="O38" s="204"/>
      <c r="P38" s="204"/>
      <c r="Q38" s="204"/>
      <c r="R38" s="204"/>
      <c r="S38" s="204"/>
      <c r="T38" s="204"/>
      <c r="U38" s="204"/>
      <c r="V38" s="204"/>
      <c r="W38" s="204"/>
      <c r="X38" s="204"/>
      <c r="Y38" s="204"/>
      <c r="Z38" s="204"/>
      <c r="AA38" s="204"/>
      <c r="AB38" s="204"/>
      <c r="AC38" s="204"/>
      <c r="AD38" s="204"/>
      <c r="AE38" s="204"/>
    </row>
    <row r="39" spans="5:31">
      <c r="E39" s="356"/>
    </row>
    <row r="45" spans="5:31">
      <c r="F45" s="50"/>
      <c r="G45" s="50"/>
      <c r="H45" s="50"/>
      <c r="I45" s="50"/>
    </row>
    <row r="46" spans="5:31">
      <c r="K46" s="50"/>
    </row>
    <row r="48" spans="5:31">
      <c r="H48" s="7"/>
      <c r="I48" s="7"/>
      <c r="J48" s="7"/>
      <c r="K48" s="7"/>
    </row>
  </sheetData>
  <mergeCells count="2">
    <mergeCell ref="I16:J16"/>
    <mergeCell ref="L16:M16"/>
  </mergeCell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4"/>
  <sheetViews>
    <sheetView workbookViewId="0"/>
  </sheetViews>
  <sheetFormatPr defaultRowHeight="12" customHeight="1"/>
  <cols>
    <col min="1" max="1" width="2" style="2" customWidth="1"/>
    <col min="2" max="2" width="25.5703125" style="2" customWidth="1"/>
    <col min="3" max="3" width="12.140625" style="2" customWidth="1"/>
    <col min="4" max="4" width="11.42578125" style="2" customWidth="1"/>
    <col min="5" max="5" width="11.5703125" style="2" bestFit="1" customWidth="1"/>
    <col min="6" max="6" width="11.42578125" style="2" customWidth="1"/>
    <col min="7" max="7" width="10.140625" style="2" customWidth="1"/>
    <col min="8" max="8" width="10.5703125" style="2" customWidth="1"/>
    <col min="9" max="11" width="10.28515625" style="2" customWidth="1"/>
    <col min="12" max="12" width="11.42578125" style="2" customWidth="1"/>
    <col min="13" max="13" width="9.140625" style="2"/>
    <col min="14" max="14" width="18.42578125" style="2" customWidth="1"/>
    <col min="15" max="16384" width="9.140625" style="2"/>
  </cols>
  <sheetData>
    <row r="1" spans="1:20" ht="16.5" customHeight="1">
      <c r="B1" s="18" t="s">
        <v>353</v>
      </c>
    </row>
    <row r="3" spans="1:20" ht="12" customHeight="1">
      <c r="E3" s="47"/>
      <c r="F3" s="34"/>
      <c r="G3" s="365"/>
      <c r="H3" s="33"/>
      <c r="I3" s="3"/>
      <c r="J3" s="3"/>
      <c r="K3" s="3"/>
      <c r="L3" s="3"/>
      <c r="M3" s="3"/>
      <c r="N3" s="3"/>
      <c r="O3" s="3"/>
      <c r="P3" s="3"/>
      <c r="Q3" s="3"/>
      <c r="R3" s="3"/>
      <c r="S3" s="3"/>
      <c r="T3" s="3"/>
    </row>
    <row r="4" spans="1:20" ht="12" customHeight="1">
      <c r="B4" s="397" t="s">
        <v>357</v>
      </c>
      <c r="C4" s="397"/>
      <c r="D4" s="397"/>
      <c r="E4" s="397"/>
      <c r="F4" s="397"/>
      <c r="G4" s="397"/>
      <c r="H4" s="397"/>
      <c r="I4" s="397"/>
      <c r="J4" s="397"/>
      <c r="K4" s="397"/>
      <c r="L4" s="397"/>
      <c r="M4" s="3"/>
      <c r="N4" s="3"/>
      <c r="O4" s="3"/>
      <c r="P4" s="3"/>
      <c r="Q4" s="3"/>
      <c r="R4" s="3"/>
      <c r="S4" s="3"/>
      <c r="T4" s="3"/>
    </row>
    <row r="5" spans="1:20" ht="12" customHeight="1">
      <c r="B5" s="358"/>
      <c r="C5" s="367">
        <v>1</v>
      </c>
      <c r="D5" s="367">
        <v>2</v>
      </c>
      <c r="E5" s="368">
        <v>3</v>
      </c>
      <c r="F5" s="369">
        <v>4</v>
      </c>
      <c r="G5" s="370">
        <v>5</v>
      </c>
      <c r="H5" s="371">
        <v>6</v>
      </c>
      <c r="I5" s="367">
        <v>7</v>
      </c>
      <c r="J5" s="367">
        <v>8</v>
      </c>
      <c r="K5" s="367">
        <v>9</v>
      </c>
      <c r="L5" s="367">
        <v>10</v>
      </c>
      <c r="M5" s="3"/>
      <c r="N5" s="3"/>
      <c r="O5" s="3"/>
      <c r="P5" s="3"/>
      <c r="Q5" s="3"/>
      <c r="R5" s="3"/>
      <c r="S5" s="3"/>
      <c r="T5" s="3"/>
    </row>
    <row r="6" spans="1:20" ht="12" customHeight="1">
      <c r="B6" s="54" t="s">
        <v>355</v>
      </c>
      <c r="C6" s="366">
        <f>'Future Cashflows (10 Yrs)'!F19</f>
        <v>303.30247158426982</v>
      </c>
      <c r="D6" s="366">
        <f>'Future Cashflows (10 Yrs)'!F20</f>
        <v>399.08747735852808</v>
      </c>
      <c r="E6" s="325">
        <f>'Future Cashflows (10 Yrs)'!F21</f>
        <v>496.02850777174012</v>
      </c>
      <c r="F6" s="325">
        <f>'Future Cashflows (10 Yrs)'!F22</f>
        <v>620.03894425662008</v>
      </c>
      <c r="G6" s="325">
        <f>'Future Cashflows (10 Yrs)'!F23</f>
        <v>733.51867704409335</v>
      </c>
      <c r="H6" s="325">
        <f>'Future Cashflows (10 Yrs)'!F24</f>
        <v>848.20970335370453</v>
      </c>
      <c r="I6" s="366">
        <f>'Future Cashflows (10 Yrs)'!F25</f>
        <v>1000.345267183675</v>
      </c>
      <c r="J6" s="366">
        <f>'Future Cashflows (10 Yrs)'!F26</f>
        <v>1066.8908639865215</v>
      </c>
      <c r="K6" s="366">
        <f>'Future Cashflows (10 Yrs)'!F27</f>
        <v>1137.1166722676619</v>
      </c>
      <c r="L6" s="366">
        <f>'Future Cashflows (10 Yrs)'!F28</f>
        <v>1226.2894756201663</v>
      </c>
      <c r="M6" s="3"/>
      <c r="N6" s="3"/>
      <c r="O6" s="3"/>
      <c r="P6" s="3"/>
      <c r="Q6" s="3"/>
      <c r="R6" s="3"/>
      <c r="S6" s="3"/>
      <c r="T6" s="3"/>
    </row>
    <row r="7" spans="1:20" ht="12" customHeight="1">
      <c r="B7" s="54" t="s">
        <v>356</v>
      </c>
      <c r="C7" s="165">
        <f>WACC!$C$14</f>
        <v>0.11076149116410908</v>
      </c>
      <c r="D7" s="165">
        <f>C7</f>
        <v>0.11076149116410908</v>
      </c>
      <c r="E7" s="165">
        <f>AVERAGE(F7,C7)</f>
        <v>0.10770643735760646</v>
      </c>
      <c r="F7" s="95">
        <f>AVERAGE(C7,H7)</f>
        <v>0.10465138355110384</v>
      </c>
      <c r="G7" s="95">
        <f>AVERAGE(F7,H7)</f>
        <v>0.10159632974460123</v>
      </c>
      <c r="H7" s="95">
        <f>AVERAGE(C7,L7)</f>
        <v>9.8541275938098624E-2</v>
      </c>
      <c r="I7" s="165">
        <f>AVERAGE(H7,J7)</f>
        <v>9.5486222131596021E-2</v>
      </c>
      <c r="J7" s="165">
        <f>AVERAGE(H7,L7)</f>
        <v>9.2431168325093405E-2</v>
      </c>
      <c r="K7" s="165">
        <f>AVERAGE(J7,L7)</f>
        <v>8.9376114518590788E-2</v>
      </c>
      <c r="L7" s="165">
        <f>'Terminal Value'!$G$19</f>
        <v>8.6321060712088171E-2</v>
      </c>
      <c r="M7" s="23"/>
      <c r="N7" s="3"/>
      <c r="O7" s="3"/>
      <c r="P7" s="3"/>
      <c r="Q7" s="3"/>
      <c r="R7" s="3"/>
      <c r="S7" s="3"/>
      <c r="T7" s="3"/>
    </row>
    <row r="8" spans="1:20" ht="12" customHeight="1">
      <c r="B8" s="116" t="s">
        <v>354</v>
      </c>
      <c r="C8" s="221">
        <f>C6/(1+C7)^C5</f>
        <v>273.05814434240096</v>
      </c>
      <c r="D8" s="221">
        <f t="shared" ref="D8:K8" si="0">D6/(1+D7)^D5</f>
        <v>323.46438591694999</v>
      </c>
      <c r="E8" s="221">
        <f t="shared" si="0"/>
        <v>364.94935314902932</v>
      </c>
      <c r="F8" s="221">
        <f t="shared" si="0"/>
        <v>416.40698386509933</v>
      </c>
      <c r="G8" s="221">
        <f t="shared" si="0"/>
        <v>452.1669078306553</v>
      </c>
      <c r="H8" s="221">
        <f t="shared" si="0"/>
        <v>482.61960457035093</v>
      </c>
      <c r="I8" s="221">
        <f t="shared" si="0"/>
        <v>528.32539075159548</v>
      </c>
      <c r="J8" s="221">
        <f t="shared" si="0"/>
        <v>525.97770482252838</v>
      </c>
      <c r="K8" s="221">
        <f t="shared" si="0"/>
        <v>526.26487954480388</v>
      </c>
      <c r="L8" s="221">
        <f>L6/(1+L7)^L5</f>
        <v>535.81023765487998</v>
      </c>
      <c r="M8" s="3"/>
      <c r="N8" s="3"/>
      <c r="O8" s="3"/>
      <c r="P8" s="3"/>
      <c r="Q8" s="3"/>
      <c r="R8" s="3"/>
      <c r="S8" s="3"/>
      <c r="T8" s="3"/>
    </row>
    <row r="9" spans="1:20" ht="12" customHeight="1">
      <c r="E9" s="35"/>
      <c r="F9" s="36"/>
      <c r="G9" s="33"/>
      <c r="H9" s="33"/>
      <c r="M9" s="3"/>
      <c r="N9" s="3"/>
      <c r="O9" s="3"/>
      <c r="P9" s="3"/>
      <c r="Q9" s="3"/>
      <c r="R9" s="3"/>
      <c r="S9" s="3"/>
      <c r="T9" s="3"/>
    </row>
    <row r="10" spans="1:20" ht="12" customHeight="1">
      <c r="A10" s="3"/>
      <c r="E10" s="33"/>
      <c r="F10" s="33"/>
      <c r="G10" s="33"/>
      <c r="H10" s="33"/>
      <c r="M10" s="3"/>
      <c r="N10" s="3"/>
      <c r="O10" s="3"/>
      <c r="P10" s="3"/>
      <c r="Q10" s="3"/>
      <c r="R10" s="3"/>
      <c r="S10" s="3"/>
      <c r="T10" s="3"/>
    </row>
    <row r="11" spans="1:20" ht="12" customHeight="1">
      <c r="A11" s="3"/>
      <c r="E11" s="37"/>
      <c r="F11" s="37"/>
      <c r="G11" s="37"/>
      <c r="H11" s="37"/>
      <c r="N11" s="3"/>
      <c r="O11" s="3"/>
      <c r="P11" s="3"/>
      <c r="Q11" s="3"/>
      <c r="R11" s="3"/>
      <c r="S11" s="3"/>
      <c r="T11" s="3"/>
    </row>
    <row r="12" spans="1:20" ht="12" customHeight="1">
      <c r="A12" s="3"/>
      <c r="B12" s="380" t="s">
        <v>352</v>
      </c>
      <c r="C12" s="325">
        <f>SUM(C8:L8)</f>
        <v>4429.0435924482936</v>
      </c>
      <c r="G12" s="33"/>
      <c r="H12" s="33"/>
      <c r="I12" s="33"/>
      <c r="J12" s="33"/>
      <c r="K12" s="33"/>
      <c r="L12" s="3"/>
      <c r="M12" s="3"/>
      <c r="N12" s="3"/>
      <c r="O12" s="3"/>
      <c r="P12" s="3"/>
      <c r="Q12" s="3"/>
      <c r="R12" s="3"/>
      <c r="S12" s="3"/>
      <c r="T12" s="3"/>
    </row>
    <row r="13" spans="1:20" ht="12" customHeight="1">
      <c r="A13" s="3"/>
      <c r="B13" s="380" t="s">
        <v>258</v>
      </c>
      <c r="C13" s="325">
        <f>'Terminal Value'!$C$13</f>
        <v>23141.237860605572</v>
      </c>
      <c r="D13" s="33"/>
      <c r="E13" s="33"/>
      <c r="F13" s="33"/>
      <c r="G13" s="33"/>
      <c r="H13" s="33"/>
      <c r="I13" s="33"/>
      <c r="J13" s="33"/>
      <c r="K13" s="33"/>
      <c r="L13" s="3"/>
      <c r="M13" s="3"/>
      <c r="N13" s="3"/>
      <c r="O13" s="3"/>
      <c r="P13" s="3"/>
      <c r="Q13" s="3"/>
      <c r="R13" s="3"/>
      <c r="S13" s="3"/>
      <c r="T13" s="3"/>
    </row>
    <row r="14" spans="1:20" s="28" customFormat="1" ht="12" customHeight="1">
      <c r="A14" s="27"/>
      <c r="B14" s="380" t="s">
        <v>341</v>
      </c>
      <c r="C14" s="325">
        <f>C13/(1+L7)^'Fair Value of Share'!$L$5</f>
        <v>10111.244044925465</v>
      </c>
      <c r="D14" s="48"/>
      <c r="E14" s="48"/>
      <c r="F14" s="48"/>
      <c r="G14" s="48"/>
      <c r="H14" s="48"/>
      <c r="I14" s="48"/>
      <c r="J14" s="48"/>
      <c r="K14" s="48"/>
      <c r="L14" s="27"/>
      <c r="M14" s="27"/>
      <c r="N14" s="27"/>
      <c r="O14" s="27"/>
      <c r="P14" s="27"/>
      <c r="Q14" s="27"/>
      <c r="R14" s="27"/>
      <c r="S14" s="27"/>
      <c r="T14" s="27"/>
    </row>
    <row r="15" spans="1:20" ht="12" customHeight="1">
      <c r="A15" s="3"/>
      <c r="B15" s="381" t="s">
        <v>358</v>
      </c>
      <c r="C15" s="382">
        <f>C14+C12</f>
        <v>14540.287637373758</v>
      </c>
      <c r="E15" s="14"/>
      <c r="I15" s="33"/>
      <c r="J15" s="33"/>
      <c r="K15" s="33"/>
      <c r="L15" s="3"/>
      <c r="N15" s="3"/>
      <c r="O15" s="3"/>
      <c r="P15" s="3"/>
      <c r="Q15" s="3"/>
      <c r="R15" s="3"/>
      <c r="S15" s="3"/>
      <c r="T15" s="3"/>
    </row>
    <row r="16" spans="1:20" ht="12" customHeight="1">
      <c r="A16" s="372" t="s">
        <v>199</v>
      </c>
      <c r="B16" s="383" t="s">
        <v>316</v>
      </c>
      <c r="C16" s="325">
        <f>'Cash &amp; Marketable Securities'!$C$16</f>
        <v>599.60699015623902</v>
      </c>
      <c r="I16" s="33"/>
      <c r="J16" s="33"/>
      <c r="K16" s="33"/>
      <c r="L16" s="3"/>
      <c r="M16" s="3"/>
      <c r="N16" s="3"/>
      <c r="O16" s="3"/>
      <c r="P16" s="3"/>
      <c r="Q16" s="3"/>
      <c r="R16" s="3"/>
      <c r="S16" s="3"/>
      <c r="T16" s="3"/>
    </row>
    <row r="17" spans="1:20" ht="12" customHeight="1">
      <c r="A17" s="372" t="s">
        <v>199</v>
      </c>
      <c r="B17" s="384" t="s">
        <v>347</v>
      </c>
      <c r="C17" s="325">
        <f ca="1">'Value of Cross Holdings'!$F$19</f>
        <v>10767.268195882469</v>
      </c>
      <c r="I17" s="33"/>
      <c r="J17" s="33"/>
      <c r="K17" s="33"/>
      <c r="L17" s="3"/>
      <c r="M17" s="3"/>
      <c r="N17" s="3"/>
      <c r="O17" s="3"/>
      <c r="P17" s="3"/>
      <c r="Q17" s="3"/>
      <c r="R17" s="3"/>
      <c r="S17" s="3"/>
      <c r="T17" s="3"/>
    </row>
    <row r="18" spans="1:20" ht="12" customHeight="1">
      <c r="A18" s="372" t="s">
        <v>199</v>
      </c>
      <c r="B18" s="32" t="s">
        <v>359</v>
      </c>
      <c r="C18" s="366">
        <v>0</v>
      </c>
      <c r="D18" s="33"/>
      <c r="I18" s="33"/>
      <c r="J18" s="33"/>
      <c r="K18" s="33"/>
      <c r="L18" s="3"/>
      <c r="M18" s="3"/>
      <c r="N18" s="3"/>
      <c r="O18" s="3"/>
      <c r="P18" s="3"/>
      <c r="Q18" s="3"/>
      <c r="R18" s="3"/>
      <c r="S18" s="3"/>
      <c r="T18" s="3"/>
    </row>
    <row r="19" spans="1:20" ht="12" customHeight="1">
      <c r="A19" s="3"/>
      <c r="B19" s="381" t="s">
        <v>344</v>
      </c>
      <c r="C19" s="382">
        <f ca="1">SUM(C15:C18)</f>
        <v>25907.162823412466</v>
      </c>
      <c r="D19" s="33"/>
      <c r="I19" s="33"/>
      <c r="J19" s="33"/>
      <c r="K19" s="33"/>
      <c r="L19" s="3"/>
      <c r="M19" s="3"/>
      <c r="N19" s="3"/>
      <c r="O19" s="3"/>
      <c r="P19" s="3"/>
      <c r="Q19" s="3"/>
      <c r="R19" s="3"/>
      <c r="S19" s="3"/>
      <c r="T19" s="3"/>
    </row>
    <row r="20" spans="1:20" ht="12" customHeight="1">
      <c r="A20" s="9" t="s">
        <v>98</v>
      </c>
      <c r="B20" s="380" t="s">
        <v>343</v>
      </c>
      <c r="C20" s="385">
        <f>WACC!$F$22+(1.54+1.15+90.64+8.39+39.93)</f>
        <v>4747.7886763516035</v>
      </c>
      <c r="D20" s="33"/>
      <c r="I20" s="33"/>
      <c r="J20" s="33"/>
      <c r="K20" s="33"/>
      <c r="L20" s="3"/>
      <c r="M20" s="3"/>
      <c r="N20" s="3"/>
      <c r="O20" s="3"/>
      <c r="P20" s="3"/>
      <c r="Q20" s="3"/>
      <c r="R20" s="3"/>
      <c r="S20" s="3"/>
      <c r="T20" s="3"/>
    </row>
    <row r="21" spans="1:20" ht="12" customHeight="1">
      <c r="A21" s="9"/>
      <c r="B21" s="381" t="s">
        <v>345</v>
      </c>
      <c r="C21" s="219">
        <f ca="1">C19-C20</f>
        <v>21159.374147060862</v>
      </c>
      <c r="D21" s="36"/>
      <c r="I21" s="33"/>
      <c r="J21" s="33"/>
      <c r="K21" s="33"/>
      <c r="L21" s="3"/>
      <c r="M21" s="3"/>
      <c r="N21" s="3"/>
      <c r="O21" s="3"/>
      <c r="P21" s="3"/>
      <c r="Q21" s="3"/>
      <c r="R21" s="3"/>
      <c r="S21" s="3"/>
      <c r="T21" s="3"/>
    </row>
    <row r="22" spans="1:20" ht="12" customHeight="1">
      <c r="A22" s="379" t="s">
        <v>98</v>
      </c>
      <c r="B22" s="32" t="s">
        <v>360</v>
      </c>
      <c r="C22" s="366">
        <v>0</v>
      </c>
      <c r="D22" s="33"/>
      <c r="I22" s="33"/>
      <c r="J22" s="33"/>
      <c r="K22" s="33"/>
      <c r="L22" s="3"/>
      <c r="M22" s="3"/>
      <c r="O22" s="3"/>
      <c r="P22" s="3"/>
      <c r="Q22" s="3"/>
      <c r="R22" s="3"/>
      <c r="S22" s="3"/>
      <c r="T22" s="3"/>
    </row>
    <row r="23" spans="1:20" s="31" customFormat="1" ht="12" customHeight="1">
      <c r="B23" s="381" t="s">
        <v>362</v>
      </c>
      <c r="C23" s="386">
        <f ca="1">C21-C22</f>
        <v>21159.374147060862</v>
      </c>
      <c r="D23" s="33"/>
      <c r="I23" s="37"/>
      <c r="J23" s="37"/>
      <c r="K23" s="37"/>
      <c r="L23" s="30"/>
      <c r="M23" s="30"/>
      <c r="N23" s="30"/>
      <c r="O23" s="30"/>
      <c r="P23" s="30"/>
      <c r="Q23" s="30"/>
      <c r="R23" s="30"/>
      <c r="S23" s="30"/>
      <c r="T23" s="30"/>
    </row>
    <row r="24" spans="1:20" ht="12" customHeight="1">
      <c r="B24" s="32" t="s">
        <v>188</v>
      </c>
      <c r="C24" s="366">
        <v>35.548746100000002</v>
      </c>
      <c r="D24" s="36"/>
      <c r="E24" s="3"/>
      <c r="F24" s="3"/>
      <c r="G24" s="3"/>
      <c r="H24" s="3"/>
      <c r="I24" s="3"/>
      <c r="J24" s="3"/>
      <c r="K24" s="3"/>
      <c r="L24" s="3"/>
      <c r="M24" s="3"/>
      <c r="N24" s="3"/>
      <c r="O24" s="3"/>
      <c r="P24" s="3"/>
      <c r="Q24" s="3"/>
      <c r="R24" s="3"/>
      <c r="S24" s="3"/>
      <c r="T24" s="3"/>
    </row>
    <row r="25" spans="1:20" ht="12" customHeight="1">
      <c r="B25" s="29" t="s">
        <v>361</v>
      </c>
      <c r="C25" s="253">
        <f ca="1">C23/C24</f>
        <v>595.22139226904721</v>
      </c>
      <c r="D25" s="33"/>
      <c r="E25" s="3"/>
      <c r="F25" s="3"/>
      <c r="G25" s="8"/>
      <c r="H25" s="16"/>
      <c r="I25" s="16"/>
      <c r="J25" s="16"/>
      <c r="K25" s="16"/>
      <c r="L25" s="3"/>
      <c r="M25" s="3"/>
      <c r="N25" s="3"/>
      <c r="O25" s="3"/>
      <c r="P25" s="3"/>
      <c r="Q25" s="3"/>
      <c r="R25" s="3"/>
      <c r="S25" s="3"/>
      <c r="T25" s="3"/>
    </row>
    <row r="26" spans="1:20" ht="12" customHeight="1">
      <c r="D26" s="37"/>
      <c r="E26" s="3"/>
      <c r="F26" s="3"/>
      <c r="G26" s="16"/>
      <c r="H26" s="6"/>
      <c r="I26" s="6"/>
      <c r="J26" s="6"/>
      <c r="K26" s="6"/>
      <c r="L26" s="3"/>
      <c r="M26" s="3"/>
      <c r="N26" s="3"/>
      <c r="O26" s="3"/>
      <c r="P26" s="3"/>
      <c r="Q26" s="3"/>
      <c r="R26" s="3"/>
      <c r="S26" s="3"/>
      <c r="T26" s="3"/>
    </row>
    <row r="27" spans="1:20" ht="12" customHeight="1">
      <c r="B27" s="3"/>
      <c r="C27" s="6"/>
      <c r="D27" s="3"/>
      <c r="E27" s="3"/>
      <c r="F27" s="3"/>
      <c r="G27" s="16"/>
      <c r="H27" s="6"/>
      <c r="I27" s="6"/>
      <c r="J27" s="6"/>
      <c r="K27" s="6"/>
      <c r="L27" s="3"/>
      <c r="M27" s="3"/>
      <c r="N27" s="3"/>
      <c r="O27" s="3"/>
      <c r="P27" s="3"/>
      <c r="Q27" s="3"/>
      <c r="R27" s="3"/>
      <c r="S27" s="3"/>
      <c r="T27" s="3"/>
    </row>
    <row r="28" spans="1:20" ht="12" customHeight="1">
      <c r="B28" s="3"/>
      <c r="C28" s="5"/>
      <c r="D28" s="3"/>
      <c r="E28" s="3"/>
      <c r="F28" s="3"/>
      <c r="G28" s="16"/>
      <c r="H28" s="6"/>
      <c r="I28" s="6"/>
      <c r="J28" s="6"/>
      <c r="K28" s="6"/>
      <c r="L28" s="3"/>
      <c r="M28" s="3"/>
      <c r="N28" s="3"/>
      <c r="O28" s="3"/>
      <c r="P28" s="3"/>
      <c r="Q28" s="3"/>
      <c r="R28" s="3"/>
      <c r="S28" s="3"/>
      <c r="T28" s="3"/>
    </row>
    <row r="29" spans="1:20" ht="12" customHeight="1">
      <c r="B29" s="3"/>
      <c r="C29" s="3"/>
      <c r="D29" s="3"/>
      <c r="E29" s="3"/>
      <c r="F29" s="3"/>
      <c r="G29" s="16"/>
      <c r="H29" s="6"/>
      <c r="I29" s="6"/>
      <c r="J29" s="6"/>
      <c r="K29" s="6"/>
      <c r="L29" s="3"/>
      <c r="M29" s="3"/>
      <c r="N29" s="3"/>
      <c r="O29" s="3"/>
      <c r="P29" s="3"/>
      <c r="Q29" s="3"/>
      <c r="R29" s="3"/>
      <c r="S29" s="3"/>
      <c r="T29" s="3"/>
    </row>
    <row r="30" spans="1:20" ht="12" customHeight="1">
      <c r="B30" s="3"/>
      <c r="C30" s="3"/>
      <c r="D30" s="3"/>
      <c r="E30" s="3"/>
      <c r="F30" s="3"/>
      <c r="G30" s="3"/>
      <c r="H30" s="3"/>
      <c r="I30" s="3"/>
      <c r="J30" s="3"/>
      <c r="K30" s="3"/>
      <c r="L30" s="3"/>
      <c r="M30" s="3"/>
      <c r="N30" s="3"/>
      <c r="O30" s="3"/>
      <c r="P30" s="3"/>
      <c r="Q30" s="3"/>
      <c r="R30" s="3"/>
      <c r="S30" s="3"/>
      <c r="T30" s="3"/>
    </row>
    <row r="31" spans="1:20" ht="12" customHeight="1">
      <c r="G31" s="3"/>
      <c r="H31" s="3"/>
      <c r="I31" s="3"/>
      <c r="J31" s="3"/>
      <c r="K31" s="3"/>
      <c r="L31" s="3"/>
      <c r="M31" s="3"/>
    </row>
    <row r="32" spans="1:20" ht="12" customHeight="1">
      <c r="C32" s="15"/>
      <c r="G32" s="3"/>
      <c r="H32" s="3"/>
      <c r="I32" s="3"/>
      <c r="J32" s="3"/>
      <c r="K32" s="3"/>
      <c r="L32" s="3"/>
      <c r="M32" s="3"/>
    </row>
    <row r="34" spans="2:13" ht="12" customHeight="1">
      <c r="B34" s="17"/>
      <c r="G34" s="10"/>
      <c r="K34" s="12"/>
    </row>
    <row r="35" spans="2:13" ht="12" customHeight="1">
      <c r="B35" s="10"/>
      <c r="G35" s="13"/>
      <c r="K35" s="10"/>
      <c r="M35" s="10"/>
    </row>
    <row r="36" spans="2:13" ht="12" customHeight="1">
      <c r="M36" s="10"/>
    </row>
    <row r="37" spans="2:13" ht="12" customHeight="1">
      <c r="G37" s="17"/>
      <c r="K37" s="4"/>
    </row>
    <row r="40" spans="2:13" ht="12" customHeight="1">
      <c r="G40" s="14"/>
    </row>
    <row r="41" spans="2:13" ht="12" customHeight="1">
      <c r="G41" s="10"/>
    </row>
    <row r="42" spans="2:13" ht="12" customHeight="1">
      <c r="G42" s="14"/>
    </row>
    <row r="44" spans="2:13" ht="12" customHeight="1">
      <c r="G44" s="17"/>
    </row>
  </sheetData>
  <mergeCells count="1">
    <mergeCell ref="B4:L4"/>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Cover</vt:lpstr>
      <vt:lpstr>About</vt:lpstr>
      <vt:lpstr>Narrative</vt:lpstr>
      <vt:lpstr>Index</vt:lpstr>
      <vt:lpstr>Risk Free Rate</vt:lpstr>
      <vt:lpstr>Equity Risk Premium</vt:lpstr>
      <vt:lpstr>Beta</vt:lpstr>
      <vt:lpstr>Cost of Equity &amp; Debt</vt:lpstr>
      <vt:lpstr>WACC</vt:lpstr>
      <vt:lpstr>Cash Flows</vt:lpstr>
      <vt:lpstr>EBIT &amp; Operating Lease</vt:lpstr>
      <vt:lpstr>EBIT &amp; Advertising Expense</vt:lpstr>
      <vt:lpstr>Net CapEx</vt:lpstr>
      <vt:lpstr>Working Capital Changes</vt:lpstr>
      <vt:lpstr>FCFF &amp; FCFE</vt:lpstr>
      <vt:lpstr>Growth Rate &amp; TV</vt:lpstr>
      <vt:lpstr>Expected Growth Rate</vt:lpstr>
      <vt:lpstr>Future Cashflows (10 Yrs)</vt:lpstr>
      <vt:lpstr>Terminal Value</vt:lpstr>
      <vt:lpstr>Road to Fair Value of Share</vt:lpstr>
      <vt:lpstr>Cash &amp; Marketable Securities</vt:lpstr>
      <vt:lpstr>Value of Cross Holdings</vt:lpstr>
      <vt:lpstr>Trent HyperMarket Pvt Ltd</vt:lpstr>
      <vt:lpstr>Massimo Dutti Pvt Ltd</vt:lpstr>
      <vt:lpstr>Inditex Retail Pvt Ltd</vt:lpstr>
      <vt:lpstr>Fair Value of Share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2022-07-09T16:25:33Z</dcterms:modified>
</cp:coreProperties>
</file>