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filterPrivacy="1" codeName="ThisWorkbook" defaultThemeVersion="124226"/>
  <bookViews>
    <workbookView xWindow="240" yWindow="585" windowWidth="14805" windowHeight="7530"/>
  </bookViews>
  <sheets>
    <sheet name="Cover" sheetId="28" r:id="rId1"/>
    <sheet name="About" sheetId="29" r:id="rId2"/>
    <sheet name="Narrative" sheetId="50" r:id="rId3"/>
    <sheet name="Index" sheetId="4" r:id="rId4"/>
    <sheet name="Risk Free Rate" sheetId="24" r:id="rId5"/>
    <sheet name="Equity Risk Premium" sheetId="26" r:id="rId6"/>
    <sheet name="Beta" sheetId="30" r:id="rId7"/>
    <sheet name="Cost of Equity &amp; Debt" sheetId="23" r:id="rId8"/>
    <sheet name="WACC" sheetId="31" r:id="rId9"/>
    <sheet name="Cash Flows" sheetId="17" r:id="rId10"/>
    <sheet name="EBIT &amp; Operating Lease" sheetId="33" r:id="rId11"/>
    <sheet name="EBIT &amp; Advertising Expense" sheetId="49" r:id="rId12"/>
    <sheet name="Net CapEx" sheetId="32" r:id="rId13"/>
    <sheet name="Working Capital Changes" sheetId="34" r:id="rId14"/>
    <sheet name="FCFF &amp; FCFE" sheetId="35" r:id="rId15"/>
    <sheet name="Growth Rate &amp; TV" sheetId="36" r:id="rId16"/>
    <sheet name="Expected Growth Rate" sheetId="39" r:id="rId17"/>
    <sheet name="Future Cashflows (10 Yrs)" sheetId="37" r:id="rId18"/>
    <sheet name="Terminal Value" sheetId="40" r:id="rId19"/>
    <sheet name="Road to Fair Value of Share" sheetId="42" r:id="rId20"/>
    <sheet name="Cash &amp; Marketable Securities" sheetId="43" r:id="rId21"/>
    <sheet name="Value of Cross Holdings" sheetId="41" r:id="rId22"/>
    <sheet name="Trent HyperMarket Pvt Ltd" sheetId="44" r:id="rId23"/>
    <sheet name="Massimo Dutti Pvt Ltd" sheetId="45" r:id="rId24"/>
    <sheet name="Inditex Retail Pvt Ltd" sheetId="46" r:id="rId25"/>
    <sheet name="Fair Value of Share" sheetId="48" r:id="rId26"/>
    <sheet name="Sensitivity Analysis" sheetId="52" r:id="rId27"/>
  </sheets>
  <definedNames>
    <definedName name="_xlnm.Print_Area" localSheetId="26">'Sensitivity Analysis'!$E$88:$O$98</definedName>
  </definedNames>
  <calcPr calcId="162913" iterate="1"/>
</workbook>
</file>

<file path=xl/calcChain.xml><?xml version="1.0" encoding="utf-8"?>
<calcChain xmlns="http://schemas.openxmlformats.org/spreadsheetml/2006/main">
  <c r="C8" i="52" l="1"/>
  <c r="C7" i="52"/>
  <c r="G14" i="52" l="1"/>
  <c r="E16" i="52"/>
  <c r="B27" i="4"/>
  <c r="C13" i="40"/>
  <c r="F81" i="52"/>
  <c r="F79" i="52" s="1"/>
  <c r="F78" i="52" s="1"/>
  <c r="K76" i="52"/>
  <c r="K61" i="52"/>
  <c r="G28" i="52"/>
  <c r="I28" i="52"/>
  <c r="H28" i="52"/>
  <c r="K28" i="52"/>
  <c r="M28" i="52"/>
  <c r="L28" i="52"/>
  <c r="J28" i="52"/>
  <c r="E28" i="52"/>
  <c r="E24" i="52"/>
  <c r="J24" i="52"/>
  <c r="M19" i="52"/>
  <c r="M13" i="52"/>
  <c r="D13" i="52"/>
  <c r="E13" i="52"/>
  <c r="F13" i="52"/>
  <c r="G13" i="52"/>
  <c r="H13" i="52"/>
  <c r="I13" i="52"/>
  <c r="J13" i="52"/>
  <c r="K13" i="52"/>
  <c r="L13" i="52"/>
  <c r="C13" i="52"/>
  <c r="C12" i="52" s="1"/>
  <c r="D19" i="52"/>
  <c r="E19" i="52"/>
  <c r="F19" i="52"/>
  <c r="G19" i="52"/>
  <c r="H19" i="52"/>
  <c r="I19" i="52"/>
  <c r="J19" i="52"/>
  <c r="K19" i="52"/>
  <c r="L19" i="52"/>
  <c r="C19" i="52"/>
  <c r="C30" i="52"/>
  <c r="C26" i="52"/>
  <c r="C7" i="48"/>
  <c r="D7" i="48"/>
  <c r="L7" i="48"/>
  <c r="H7" i="48" s="1"/>
  <c r="F80" i="52" l="1"/>
  <c r="F83" i="52"/>
  <c r="E14" i="52"/>
  <c r="J14" i="52"/>
  <c r="C14" i="52"/>
  <c r="C15" i="52" s="1"/>
  <c r="I14" i="52"/>
  <c r="M14" i="52"/>
  <c r="F14" i="52"/>
  <c r="E36" i="52"/>
  <c r="L14" i="52"/>
  <c r="H14" i="52"/>
  <c r="D14" i="52"/>
  <c r="K14" i="52"/>
  <c r="E32" i="52"/>
  <c r="C16" i="52"/>
  <c r="C17" i="52" s="1"/>
  <c r="I16" i="52"/>
  <c r="L16" i="52"/>
  <c r="H16" i="52"/>
  <c r="D16" i="52"/>
  <c r="K16" i="52"/>
  <c r="G16" i="52"/>
  <c r="M16" i="52"/>
  <c r="J16" i="52"/>
  <c r="F16" i="52"/>
  <c r="D12" i="52"/>
  <c r="E12" i="52" s="1"/>
  <c r="F12" i="52" s="1"/>
  <c r="F7" i="48"/>
  <c r="J7" i="48"/>
  <c r="K7" i="48" s="1"/>
  <c r="F82" i="52" l="1"/>
  <c r="F84" i="52"/>
  <c r="D15" i="52"/>
  <c r="D17" i="52"/>
  <c r="E15" i="52"/>
  <c r="E17" i="52"/>
  <c r="G12" i="52"/>
  <c r="G17" i="52" s="1"/>
  <c r="F17" i="52"/>
  <c r="F15" i="52"/>
  <c r="C18" i="52"/>
  <c r="C20" i="52" s="1"/>
  <c r="G7" i="48"/>
  <c r="E7" i="48"/>
  <c r="I7" i="48"/>
  <c r="D18" i="52" l="1"/>
  <c r="D20" i="52" s="1"/>
  <c r="F18" i="52"/>
  <c r="F20" i="52" s="1"/>
  <c r="E18" i="52"/>
  <c r="E20" i="52" s="1"/>
  <c r="H12" i="52"/>
  <c r="G15" i="52"/>
  <c r="G18" i="52" s="1"/>
  <c r="G20" i="52" s="1"/>
  <c r="I12" i="52" l="1"/>
  <c r="H17" i="52"/>
  <c r="H15" i="52"/>
  <c r="H18" i="52" l="1"/>
  <c r="H20" i="52" s="1"/>
  <c r="J12" i="52"/>
  <c r="I15" i="52"/>
  <c r="I17" i="52"/>
  <c r="K12" i="52" l="1"/>
  <c r="J15" i="52"/>
  <c r="J17" i="52"/>
  <c r="I18" i="52"/>
  <c r="I20" i="52" s="1"/>
  <c r="J18" i="52" l="1"/>
  <c r="J20" i="52" s="1"/>
  <c r="L12" i="52"/>
  <c r="K17" i="52"/>
  <c r="K15" i="52"/>
  <c r="K18" i="52" l="1"/>
  <c r="K20" i="52" s="1"/>
  <c r="L17" i="52"/>
  <c r="M12" i="52"/>
  <c r="L15" i="52"/>
  <c r="L18" i="52" l="1"/>
  <c r="L20" i="52" s="1"/>
  <c r="C22" i="52" s="1"/>
  <c r="M15" i="52"/>
  <c r="M17" i="52"/>
  <c r="M18" i="52" l="1"/>
  <c r="C23" i="52" s="1"/>
  <c r="C24" i="52" s="1"/>
  <c r="C25" i="52" s="1"/>
  <c r="M20" i="52" l="1"/>
  <c r="G4" i="37" l="1"/>
  <c r="C4" i="37" l="1"/>
  <c r="D4" i="37"/>
  <c r="C5" i="37"/>
  <c r="C6" i="37" s="1"/>
  <c r="C7" i="37" s="1"/>
  <c r="E4" i="37"/>
  <c r="D7" i="37" l="1"/>
  <c r="C8" i="37"/>
  <c r="C9" i="37" s="1"/>
  <c r="C10" i="37" s="1"/>
  <c r="C11" i="37" s="1"/>
  <c r="C12" i="37" s="1"/>
  <c r="C13" i="37" s="1"/>
  <c r="C14" i="37" s="1"/>
  <c r="J4" i="37" l="1"/>
  <c r="I4" i="37" s="1"/>
  <c r="C3" i="39" l="1"/>
  <c r="I4" i="46" l="1"/>
  <c r="K6" i="45"/>
  <c r="K7" i="45"/>
  <c r="K8" i="45"/>
  <c r="K9" i="45"/>
  <c r="K10" i="45"/>
  <c r="K11" i="45"/>
  <c r="K12" i="45"/>
  <c r="K13" i="45"/>
  <c r="K14" i="45"/>
  <c r="K5" i="45"/>
  <c r="K4" i="45"/>
  <c r="L5" i="44" l="1"/>
  <c r="L6" i="44"/>
  <c r="L7" i="44"/>
  <c r="L8" i="44"/>
  <c r="L9" i="44"/>
  <c r="L10" i="44"/>
  <c r="L11" i="44"/>
  <c r="L12" i="44"/>
  <c r="L13" i="44"/>
  <c r="L14" i="44"/>
  <c r="L4" i="44"/>
  <c r="L4" i="46"/>
  <c r="C9" i="32"/>
  <c r="C8" i="32"/>
  <c r="C7" i="32"/>
  <c r="G5" i="35"/>
  <c r="C10" i="49"/>
  <c r="C7" i="49"/>
  <c r="C6" i="49"/>
  <c r="C5" i="49"/>
  <c r="L8" i="49"/>
  <c r="I8" i="49"/>
  <c r="J8" i="49"/>
  <c r="K8" i="49"/>
  <c r="H8" i="49"/>
  <c r="M8" i="49" s="1"/>
  <c r="H7" i="49"/>
  <c r="I7" i="49"/>
  <c r="J7" i="49"/>
  <c r="K7" i="49"/>
  <c r="L7" i="49"/>
  <c r="G7" i="49"/>
  <c r="M7" i="49" s="1"/>
  <c r="K6" i="49"/>
  <c r="J6" i="49"/>
  <c r="I6" i="49"/>
  <c r="H6" i="49"/>
  <c r="B20" i="4" l="1"/>
  <c r="B21" i="4" s="1"/>
  <c r="B22" i="4" s="1"/>
  <c r="B23" i="4" s="1"/>
  <c r="B24" i="4" s="1"/>
  <c r="B25" i="4" s="1"/>
  <c r="B26" i="4" s="1"/>
  <c r="F16" i="41"/>
  <c r="M21" i="46"/>
  <c r="M23" i="46" s="1"/>
  <c r="F10" i="31"/>
  <c r="G14" i="46"/>
  <c r="J21" i="46"/>
  <c r="J20" i="46"/>
  <c r="J23" i="46"/>
  <c r="F17" i="46"/>
  <c r="C17" i="46"/>
  <c r="C16" i="46"/>
  <c r="C20" i="46" s="1"/>
  <c r="C13" i="46"/>
  <c r="C5" i="46"/>
  <c r="C12" i="46"/>
  <c r="M22" i="46"/>
  <c r="C18" i="46"/>
  <c r="C19" i="46"/>
  <c r="C8" i="46"/>
  <c r="C7" i="46"/>
  <c r="G5" i="46"/>
  <c r="G6" i="46" s="1"/>
  <c r="J4" i="46"/>
  <c r="K4" i="46" s="1"/>
  <c r="C3" i="46"/>
  <c r="C26" i="45"/>
  <c r="F17" i="45"/>
  <c r="M21" i="45"/>
  <c r="J20" i="45"/>
  <c r="J23" i="45"/>
  <c r="C5" i="45"/>
  <c r="C15" i="45"/>
  <c r="I4" i="45"/>
  <c r="H4" i="45"/>
  <c r="C13" i="45"/>
  <c r="C12" i="45"/>
  <c r="C17" i="45"/>
  <c r="C18" i="45" s="1"/>
  <c r="C16" i="45"/>
  <c r="C20" i="45" s="1"/>
  <c r="M22" i="45"/>
  <c r="C8" i="45"/>
  <c r="C7" i="45"/>
  <c r="F5" i="45"/>
  <c r="F6" i="45" s="1"/>
  <c r="C3" i="45"/>
  <c r="C16" i="44"/>
  <c r="C20" i="44" s="1"/>
  <c r="C17" i="44"/>
  <c r="C18" i="44" s="1"/>
  <c r="C26" i="44"/>
  <c r="F17" i="44"/>
  <c r="G14" i="44"/>
  <c r="J14" i="44" s="1"/>
  <c r="K14" i="44" s="1"/>
  <c r="M5" i="44"/>
  <c r="J23" i="44"/>
  <c r="M22" i="44"/>
  <c r="G5" i="44"/>
  <c r="G6" i="44" s="1"/>
  <c r="M6" i="44" s="1"/>
  <c r="C13" i="44"/>
  <c r="C5" i="44"/>
  <c r="C12" i="44"/>
  <c r="C19" i="44" s="1"/>
  <c r="C8" i="44"/>
  <c r="C7" i="44"/>
  <c r="F12" i="31"/>
  <c r="C19" i="30"/>
  <c r="C17" i="30"/>
  <c r="C16" i="30"/>
  <c r="C3" i="44"/>
  <c r="J5" i="46" l="1"/>
  <c r="K5" i="46" s="1"/>
  <c r="J6" i="46"/>
  <c r="K6" i="46" s="1"/>
  <c r="G7" i="46"/>
  <c r="F7" i="45"/>
  <c r="L6" i="45"/>
  <c r="I6" i="45"/>
  <c r="J6" i="45" s="1"/>
  <c r="C19" i="45"/>
  <c r="I5" i="45"/>
  <c r="J5" i="45" s="1"/>
  <c r="L5" i="45"/>
  <c r="L7" i="45"/>
  <c r="I7" i="45"/>
  <c r="J7" i="45" s="1"/>
  <c r="F8" i="45"/>
  <c r="J4" i="45"/>
  <c r="G17" i="45" s="1"/>
  <c r="I4" i="44"/>
  <c r="J4" i="44" s="1"/>
  <c r="M21" i="44"/>
  <c r="M23" i="44" s="1"/>
  <c r="J5" i="44"/>
  <c r="K5" i="44" s="1"/>
  <c r="N5" i="44" s="1"/>
  <c r="G7" i="44"/>
  <c r="M7" i="44" s="1"/>
  <c r="J6" i="44"/>
  <c r="K6" i="44" s="1"/>
  <c r="K4" i="44"/>
  <c r="C10" i="43"/>
  <c r="C5" i="43"/>
  <c r="C6" i="43" s="1"/>
  <c r="G5" i="37"/>
  <c r="F27" i="26"/>
  <c r="G6" i="37" l="1"/>
  <c r="G7" i="37" s="1"/>
  <c r="G8" i="37" s="1"/>
  <c r="G9" i="37" s="1"/>
  <c r="G10" i="37" s="1"/>
  <c r="G11" i="37" s="1"/>
  <c r="G12" i="37" s="1"/>
  <c r="G13" i="37" s="1"/>
  <c r="G14" i="37" s="1"/>
  <c r="J5" i="37"/>
  <c r="G8" i="46"/>
  <c r="J7" i="46"/>
  <c r="K7" i="46" s="1"/>
  <c r="G17" i="46"/>
  <c r="M5" i="45"/>
  <c r="M6" i="45"/>
  <c r="F18" i="45"/>
  <c r="F9" i="45"/>
  <c r="I8" i="45"/>
  <c r="J8" i="45" s="1"/>
  <c r="L8" i="45"/>
  <c r="M7" i="45"/>
  <c r="F18" i="44"/>
  <c r="F19" i="44" s="1"/>
  <c r="F20" i="44" s="1"/>
  <c r="G17" i="44"/>
  <c r="N6" i="44"/>
  <c r="G8" i="44"/>
  <c r="M8" i="44" s="1"/>
  <c r="J7" i="44"/>
  <c r="C15" i="44" s="1"/>
  <c r="G18" i="37"/>
  <c r="L25" i="30"/>
  <c r="G9" i="46" l="1"/>
  <c r="J8" i="46"/>
  <c r="K8" i="46" s="1"/>
  <c r="F19" i="45"/>
  <c r="G18" i="45"/>
  <c r="I9" i="45"/>
  <c r="J9" i="45" s="1"/>
  <c r="L9" i="45"/>
  <c r="F10" i="45"/>
  <c r="M8" i="45"/>
  <c r="G18" i="44"/>
  <c r="G19" i="44"/>
  <c r="F21" i="44"/>
  <c r="K7" i="44"/>
  <c r="G9" i="44"/>
  <c r="M9" i="44" s="1"/>
  <c r="J8" i="44"/>
  <c r="K8" i="44" s="1"/>
  <c r="G4" i="40"/>
  <c r="G12" i="40"/>
  <c r="G15" i="40" s="1"/>
  <c r="G11" i="40"/>
  <c r="C8" i="40"/>
  <c r="G10" i="46" l="1"/>
  <c r="J9" i="46"/>
  <c r="K9" i="46" s="1"/>
  <c r="F20" i="45"/>
  <c r="G19" i="45"/>
  <c r="M9" i="45"/>
  <c r="L10" i="45"/>
  <c r="F11" i="45"/>
  <c r="I10" i="45"/>
  <c r="J10" i="45" s="1"/>
  <c r="G20" i="44"/>
  <c r="N7" i="44"/>
  <c r="G21" i="44"/>
  <c r="N8" i="44"/>
  <c r="F22" i="44"/>
  <c r="G10" i="44"/>
  <c r="M10" i="44" s="1"/>
  <c r="J9" i="44"/>
  <c r="K9" i="44" s="1"/>
  <c r="G13" i="39"/>
  <c r="B20" i="37"/>
  <c r="B21" i="37" s="1"/>
  <c r="B22" i="37" s="1"/>
  <c r="B23" i="37" s="1"/>
  <c r="B24" i="37" s="1"/>
  <c r="B25" i="37" s="1"/>
  <c r="B26" i="37" s="1"/>
  <c r="B27" i="37" s="1"/>
  <c r="B28" i="37" s="1"/>
  <c r="N29" i="37"/>
  <c r="M29" i="37"/>
  <c r="N28" i="37"/>
  <c r="M28" i="37"/>
  <c r="C10" i="30"/>
  <c r="F4" i="37"/>
  <c r="B6" i="37"/>
  <c r="B7" i="37" s="1"/>
  <c r="B8" i="37" s="1"/>
  <c r="B9" i="37" s="1"/>
  <c r="B10" i="37" s="1"/>
  <c r="B11" i="37" s="1"/>
  <c r="B12" i="37" s="1"/>
  <c r="B13" i="37" s="1"/>
  <c r="B14" i="37" s="1"/>
  <c r="D5" i="37" l="1"/>
  <c r="J10" i="46"/>
  <c r="K10" i="46" s="1"/>
  <c r="G11" i="46"/>
  <c r="G20" i="45"/>
  <c r="F21" i="45"/>
  <c r="M10" i="45"/>
  <c r="I11" i="45"/>
  <c r="J11" i="45" s="1"/>
  <c r="F12" i="45"/>
  <c r="L11" i="45"/>
  <c r="G22" i="44"/>
  <c r="N9" i="44"/>
  <c r="F23" i="44"/>
  <c r="G11" i="44"/>
  <c r="M11" i="44" s="1"/>
  <c r="J10" i="44"/>
  <c r="K10" i="44" s="1"/>
  <c r="C25" i="37"/>
  <c r="E25" i="37" s="1"/>
  <c r="J11" i="37"/>
  <c r="K11" i="37" s="1"/>
  <c r="J6" i="37"/>
  <c r="K6" i="37" s="1"/>
  <c r="C22" i="37"/>
  <c r="E22" i="37" s="1"/>
  <c r="J10" i="37"/>
  <c r="K10" i="37" s="1"/>
  <c r="C19" i="37"/>
  <c r="E19" i="37" s="1"/>
  <c r="J7" i="37"/>
  <c r="K7" i="37" s="1"/>
  <c r="C23" i="37"/>
  <c r="E23" i="37" s="1"/>
  <c r="J9" i="37"/>
  <c r="K9" i="37" s="1"/>
  <c r="K5" i="37"/>
  <c r="C21" i="37"/>
  <c r="E21" i="37" s="1"/>
  <c r="J8" i="37"/>
  <c r="K8" i="37" s="1"/>
  <c r="F22" i="37" s="1"/>
  <c r="C24" i="37"/>
  <c r="E24" i="37" s="1"/>
  <c r="C20" i="37"/>
  <c r="E20" i="37" s="1"/>
  <c r="E5" i="37"/>
  <c r="E6" i="37"/>
  <c r="D6" i="37" l="1"/>
  <c r="F6" i="37" s="1"/>
  <c r="F6" i="48"/>
  <c r="G19" i="37"/>
  <c r="H19" i="37" s="1"/>
  <c r="F19" i="37"/>
  <c r="G12" i="46"/>
  <c r="J11" i="46"/>
  <c r="K11" i="46" s="1"/>
  <c r="G21" i="45"/>
  <c r="F22" i="45"/>
  <c r="L12" i="45"/>
  <c r="F13" i="45"/>
  <c r="F14" i="45" s="1"/>
  <c r="I12" i="45"/>
  <c r="J12" i="45" s="1"/>
  <c r="M11" i="45"/>
  <c r="F24" i="44"/>
  <c r="G23" i="44"/>
  <c r="N10" i="44"/>
  <c r="G12" i="44"/>
  <c r="M12" i="44" s="1"/>
  <c r="J11" i="44"/>
  <c r="K11" i="44" s="1"/>
  <c r="F21" i="37"/>
  <c r="F25" i="37"/>
  <c r="F20" i="37"/>
  <c r="D6" i="48" s="1"/>
  <c r="F24" i="37"/>
  <c r="F23" i="37"/>
  <c r="G20" i="37"/>
  <c r="G21" i="37" s="1"/>
  <c r="G22" i="37" s="1"/>
  <c r="G23" i="37" s="1"/>
  <c r="G24" i="37" s="1"/>
  <c r="G25" i="37" s="1"/>
  <c r="H25" i="37" s="1"/>
  <c r="F5" i="37"/>
  <c r="J6" i="34"/>
  <c r="L6" i="34"/>
  <c r="E7" i="37" l="1"/>
  <c r="I6" i="48"/>
  <c r="G6" i="48"/>
  <c r="E6" i="48"/>
  <c r="H6" i="48"/>
  <c r="C6" i="48"/>
  <c r="J12" i="46"/>
  <c r="K12" i="46" s="1"/>
  <c r="G13" i="46"/>
  <c r="G22" i="45"/>
  <c r="F23" i="45"/>
  <c r="I14" i="45"/>
  <c r="J14" i="45" s="1"/>
  <c r="M23" i="45"/>
  <c r="I13" i="45"/>
  <c r="J13" i="45" s="1"/>
  <c r="L13" i="45"/>
  <c r="L14" i="45"/>
  <c r="M12" i="45"/>
  <c r="G24" i="44"/>
  <c r="N11" i="44"/>
  <c r="F25" i="44"/>
  <c r="G13" i="44"/>
  <c r="J12" i="44"/>
  <c r="K12" i="44" s="1"/>
  <c r="H21" i="37"/>
  <c r="H20" i="37"/>
  <c r="H24" i="37"/>
  <c r="H23" i="37"/>
  <c r="H22" i="37"/>
  <c r="F11" i="35"/>
  <c r="C8" i="34"/>
  <c r="C5" i="34"/>
  <c r="J11" i="34"/>
  <c r="L11" i="34"/>
  <c r="L17" i="34"/>
  <c r="H11" i="34"/>
  <c r="I11" i="34"/>
  <c r="K11" i="34"/>
  <c r="H13" i="34"/>
  <c r="H17" i="34" s="1"/>
  <c r="I13" i="34"/>
  <c r="I17" i="34" s="1"/>
  <c r="J13" i="34"/>
  <c r="J17" i="34" s="1"/>
  <c r="K13" i="34"/>
  <c r="K17" i="34" s="1"/>
  <c r="B5" i="35"/>
  <c r="B3" i="35"/>
  <c r="F7" i="37" l="1"/>
  <c r="D8" i="37"/>
  <c r="E8" i="37"/>
  <c r="J13" i="46"/>
  <c r="K13" i="46" s="1"/>
  <c r="M14" i="45"/>
  <c r="G23" i="45"/>
  <c r="F24" i="45"/>
  <c r="M13" i="45"/>
  <c r="M13" i="44"/>
  <c r="F26" i="44" s="1"/>
  <c r="M14" i="44"/>
  <c r="N14" i="44" s="1"/>
  <c r="N12" i="44"/>
  <c r="G25" i="44"/>
  <c r="J13" i="44"/>
  <c r="K13" i="44" s="1"/>
  <c r="L19" i="34"/>
  <c r="L24" i="34" s="1"/>
  <c r="J19" i="34"/>
  <c r="J24" i="34" s="1"/>
  <c r="I19" i="34"/>
  <c r="H19" i="34"/>
  <c r="H24" i="34" s="1"/>
  <c r="K19" i="34"/>
  <c r="K15" i="35"/>
  <c r="K13" i="35"/>
  <c r="J11" i="35"/>
  <c r="K6" i="35"/>
  <c r="F10" i="35"/>
  <c r="G6" i="35"/>
  <c r="K8" i="35" s="1"/>
  <c r="F6" i="35"/>
  <c r="F5" i="35"/>
  <c r="J5" i="35" s="1"/>
  <c r="D25" i="34"/>
  <c r="C4" i="32"/>
  <c r="C5" i="32"/>
  <c r="G10" i="35" s="1"/>
  <c r="C9" i="33"/>
  <c r="C11" i="33" s="1"/>
  <c r="C13" i="33" s="1"/>
  <c r="C26" i="33"/>
  <c r="C23" i="33"/>
  <c r="C20" i="33"/>
  <c r="C19" i="33"/>
  <c r="C21" i="33" s="1"/>
  <c r="B14" i="33"/>
  <c r="F8" i="37" l="1"/>
  <c r="D9" i="37"/>
  <c r="E9" i="37"/>
  <c r="C24" i="33"/>
  <c r="C14" i="33" s="1"/>
  <c r="C15" i="33" s="1"/>
  <c r="C3" i="49" s="1"/>
  <c r="C9" i="49" s="1"/>
  <c r="C11" i="49" s="1"/>
  <c r="C13" i="49" s="1"/>
  <c r="J14" i="46"/>
  <c r="K14" i="46" s="1"/>
  <c r="G24" i="45"/>
  <c r="F25" i="45"/>
  <c r="F27" i="44"/>
  <c r="G27" i="44" s="1"/>
  <c r="G26" i="44"/>
  <c r="N13" i="44"/>
  <c r="K21" i="34"/>
  <c r="K24" i="34"/>
  <c r="I21" i="34"/>
  <c r="I24" i="34"/>
  <c r="L25" i="34" s="1"/>
  <c r="C3" i="34" s="1"/>
  <c r="J21" i="34"/>
  <c r="L21" i="34"/>
  <c r="I26" i="23"/>
  <c r="H26" i="23"/>
  <c r="F9" i="37" l="1"/>
  <c r="D10" i="37"/>
  <c r="E10" i="37"/>
  <c r="K4" i="37"/>
  <c r="H18" i="37" s="1"/>
  <c r="G25" i="45"/>
  <c r="F26" i="45"/>
  <c r="M18" i="44"/>
  <c r="M19" i="44" s="1"/>
  <c r="M25" i="44" s="1"/>
  <c r="C6" i="34"/>
  <c r="C9" i="34"/>
  <c r="C11" i="31"/>
  <c r="B11" i="31"/>
  <c r="B9" i="31"/>
  <c r="B8" i="31"/>
  <c r="C6" i="31"/>
  <c r="B6" i="31"/>
  <c r="B5" i="31"/>
  <c r="F29" i="31"/>
  <c r="F9" i="31"/>
  <c r="F17" i="31" s="1"/>
  <c r="M21" i="30"/>
  <c r="M12" i="30"/>
  <c r="F10" i="37" l="1"/>
  <c r="D11" i="37"/>
  <c r="E11" i="37"/>
  <c r="K5" i="35"/>
  <c r="K7" i="35" s="1"/>
  <c r="K9" i="35" s="1"/>
  <c r="G8" i="35"/>
  <c r="F27" i="45"/>
  <c r="G27" i="45" s="1"/>
  <c r="G26" i="45"/>
  <c r="C11" i="34"/>
  <c r="G11" i="35" s="1"/>
  <c r="G12" i="35" s="1"/>
  <c r="K11" i="35" s="1"/>
  <c r="H27" i="23"/>
  <c r="I27" i="23"/>
  <c r="J26" i="23"/>
  <c r="J27" i="23" s="1"/>
  <c r="K26" i="23"/>
  <c r="K27" i="23" s="1"/>
  <c r="L26" i="23"/>
  <c r="L27" i="23" s="1"/>
  <c r="C17" i="23"/>
  <c r="C16" i="23"/>
  <c r="C5" i="23"/>
  <c r="J26" i="30"/>
  <c r="I26" i="30"/>
  <c r="I25" i="30"/>
  <c r="H26" i="30"/>
  <c r="C9" i="30"/>
  <c r="D9" i="30" s="1"/>
  <c r="N21" i="30"/>
  <c r="N12" i="30"/>
  <c r="I21" i="30"/>
  <c r="K17" i="30"/>
  <c r="L17" i="30"/>
  <c r="L18" i="30"/>
  <c r="K18" i="30"/>
  <c r="L19" i="30"/>
  <c r="K19" i="30"/>
  <c r="I12" i="30"/>
  <c r="L11" i="30"/>
  <c r="K11" i="30"/>
  <c r="K7" i="30"/>
  <c r="L7" i="30"/>
  <c r="K8" i="30"/>
  <c r="L8" i="30"/>
  <c r="K9" i="30"/>
  <c r="L9" i="30"/>
  <c r="K10" i="30"/>
  <c r="L10" i="30"/>
  <c r="L5" i="30"/>
  <c r="K5" i="30"/>
  <c r="C4" i="30"/>
  <c r="C3" i="30"/>
  <c r="F11" i="37" l="1"/>
  <c r="D12" i="37"/>
  <c r="E12" i="37"/>
  <c r="C9" i="44"/>
  <c r="C9" i="45"/>
  <c r="C9" i="46"/>
  <c r="M18" i="45"/>
  <c r="M19" i="45" s="1"/>
  <c r="M25" i="45" s="1"/>
  <c r="K17" i="35"/>
  <c r="C5" i="35" s="1"/>
  <c r="C4" i="39"/>
  <c r="C7" i="39"/>
  <c r="H25" i="30"/>
  <c r="G14" i="35"/>
  <c r="C3" i="35" s="1"/>
  <c r="F18" i="37" s="1"/>
  <c r="L26" i="30"/>
  <c r="C20" i="23"/>
  <c r="L28" i="23"/>
  <c r="D10" i="30"/>
  <c r="J4" i="26"/>
  <c r="J5" i="26"/>
  <c r="J6" i="26"/>
  <c r="J7" i="26"/>
  <c r="J8" i="26"/>
  <c r="I14" i="26"/>
  <c r="J13" i="26"/>
  <c r="J12" i="26"/>
  <c r="J11" i="26"/>
  <c r="E21" i="26"/>
  <c r="M4" i="26"/>
  <c r="C11" i="26"/>
  <c r="J9" i="26"/>
  <c r="J10" i="26"/>
  <c r="C7" i="26"/>
  <c r="C6" i="26"/>
  <c r="C3" i="26"/>
  <c r="B6" i="4"/>
  <c r="B7" i="4" s="1"/>
  <c r="B8" i="4" s="1"/>
  <c r="B9" i="4" s="1"/>
  <c r="B10" i="4" s="1"/>
  <c r="B11" i="4" s="1"/>
  <c r="B12" i="4" s="1"/>
  <c r="B13" i="4" s="1"/>
  <c r="B14" i="4" s="1"/>
  <c r="B15" i="4" s="1"/>
  <c r="B16" i="4" s="1"/>
  <c r="B17" i="4" s="1"/>
  <c r="B18" i="4" s="1"/>
  <c r="B19" i="4" s="1"/>
  <c r="F12" i="37" l="1"/>
  <c r="D13" i="37"/>
  <c r="E13" i="37"/>
  <c r="J18" i="46"/>
  <c r="C11" i="46"/>
  <c r="C21" i="46" s="1"/>
  <c r="C23" i="46" s="1"/>
  <c r="C29" i="46" s="1"/>
  <c r="J18" i="45"/>
  <c r="C11" i="45"/>
  <c r="C21" i="45" s="1"/>
  <c r="C23" i="45" s="1"/>
  <c r="C29" i="45" s="1"/>
  <c r="C11" i="44"/>
  <c r="C21" i="44" s="1"/>
  <c r="C23" i="44" s="1"/>
  <c r="C29" i="44" s="1"/>
  <c r="J18" i="44"/>
  <c r="C12" i="43"/>
  <c r="C8" i="39"/>
  <c r="C10" i="39" s="1"/>
  <c r="J25" i="30"/>
  <c r="H27" i="30"/>
  <c r="C8" i="31"/>
  <c r="F19" i="31"/>
  <c r="F22" i="31" s="1"/>
  <c r="M6" i="26"/>
  <c r="M7" i="26" s="1"/>
  <c r="J14" i="26"/>
  <c r="C4" i="26" s="1"/>
  <c r="C8" i="24"/>
  <c r="C4" i="24" s="1"/>
  <c r="D14" i="37" l="1"/>
  <c r="E14" i="37"/>
  <c r="F14" i="37" s="1"/>
  <c r="F13" i="37"/>
  <c r="J12" i="37"/>
  <c r="K12" i="37" s="1"/>
  <c r="C26" i="37"/>
  <c r="E26" i="37" s="1"/>
  <c r="C9" i="31"/>
  <c r="G17" i="40" s="1"/>
  <c r="G18" i="40" s="1"/>
  <c r="C20" i="48"/>
  <c r="J27" i="30"/>
  <c r="K26" i="30" s="1"/>
  <c r="M5" i="26"/>
  <c r="M9" i="26" s="1"/>
  <c r="C13" i="26" s="1"/>
  <c r="F21" i="26"/>
  <c r="C27" i="37" l="1"/>
  <c r="E27" i="37" s="1"/>
  <c r="J13" i="37"/>
  <c r="K13" i="37" s="1"/>
  <c r="F27" i="37" s="1"/>
  <c r="K6" i="48" s="1"/>
  <c r="F26" i="37"/>
  <c r="J6" i="48" s="1"/>
  <c r="G26" i="37"/>
  <c r="K25" i="30"/>
  <c r="L27" i="30" s="1"/>
  <c r="C7" i="23" s="1"/>
  <c r="K27" i="30"/>
  <c r="G21" i="26"/>
  <c r="H21" i="26" s="1"/>
  <c r="G27" i="37" l="1"/>
  <c r="H26" i="37"/>
  <c r="J14" i="37"/>
  <c r="K14" i="37" s="1"/>
  <c r="C28" i="37"/>
  <c r="E28" i="37" s="1"/>
  <c r="C7" i="40"/>
  <c r="C9" i="40" s="1"/>
  <c r="H27" i="37"/>
  <c r="I21" i="26"/>
  <c r="J21" i="26" s="1"/>
  <c r="K21" i="26" s="1"/>
  <c r="G28" i="37" l="1"/>
  <c r="H28" i="37" s="1"/>
  <c r="C4" i="40" s="1"/>
  <c r="C5" i="40" s="1"/>
  <c r="C11" i="40"/>
  <c r="F28" i="37"/>
  <c r="L6" i="48" s="1"/>
  <c r="F24" i="26"/>
  <c r="F23" i="26"/>
  <c r="F26" i="26" l="1"/>
  <c r="F28" i="26" s="1"/>
  <c r="C4" i="46" l="1"/>
  <c r="C4" i="45"/>
  <c r="C4" i="44"/>
  <c r="C6" i="23"/>
  <c r="C9" i="23" s="1"/>
  <c r="C5" i="31" s="1"/>
  <c r="C14" i="31" s="1"/>
  <c r="G5" i="40"/>
  <c r="G8" i="40" s="1"/>
  <c r="G19" i="40" s="1"/>
  <c r="C8" i="48" l="1"/>
  <c r="J17" i="44"/>
  <c r="J26" i="44" s="1"/>
  <c r="M27" i="44" s="1"/>
  <c r="C25" i="44" s="1"/>
  <c r="C6" i="44"/>
  <c r="C14" i="44" s="1"/>
  <c r="C24" i="44" s="1"/>
  <c r="J17" i="45"/>
  <c r="J26" i="45" s="1"/>
  <c r="M27" i="45" s="1"/>
  <c r="C25" i="45" s="1"/>
  <c r="C6" i="45"/>
  <c r="C14" i="45" s="1"/>
  <c r="C24" i="45" s="1"/>
  <c r="J17" i="46"/>
  <c r="J26" i="46" s="1"/>
  <c r="C6" i="46"/>
  <c r="C14" i="46" s="1"/>
  <c r="L8" i="48"/>
  <c r="C13" i="48"/>
  <c r="C14" i="48" s="1"/>
  <c r="C13" i="43"/>
  <c r="C14" i="43" s="1"/>
  <c r="C16" i="43" s="1"/>
  <c r="C16" i="48" s="1"/>
  <c r="D8" i="48" l="1"/>
  <c r="C28" i="44"/>
  <c r="C30" i="44" s="1"/>
  <c r="F10" i="41" s="1"/>
  <c r="C28" i="45"/>
  <c r="C30" i="45" s="1"/>
  <c r="F14" i="41" s="1"/>
  <c r="I8" i="48" l="1"/>
  <c r="H8" i="48"/>
  <c r="K8" i="48" l="1"/>
  <c r="J8" i="48"/>
  <c r="G8" i="48"/>
  <c r="F8" i="48"/>
  <c r="E8" i="48" l="1"/>
  <c r="C12" i="48" s="1"/>
  <c r="C15" i="48" s="1"/>
  <c r="C17" i="48"/>
  <c r="C19" i="48"/>
  <c r="C21" i="48"/>
  <c r="C23" i="48"/>
  <c r="C25" i="48"/>
  <c r="L5" i="46"/>
  <c r="M5" i="46"/>
  <c r="N5" i="46"/>
  <c r="L6" i="46"/>
  <c r="M6" i="46"/>
  <c r="N6" i="46"/>
  <c r="L7" i="46"/>
  <c r="M7" i="46"/>
  <c r="N7" i="46"/>
  <c r="L8" i="46"/>
  <c r="M8" i="46"/>
  <c r="N8" i="46"/>
  <c r="L9" i="46"/>
  <c r="M9" i="46"/>
  <c r="N9" i="46"/>
  <c r="L10" i="46"/>
  <c r="M10" i="46"/>
  <c r="N10" i="46"/>
  <c r="L11" i="46"/>
  <c r="M11" i="46"/>
  <c r="N11" i="46"/>
  <c r="L12" i="46"/>
  <c r="M12" i="46"/>
  <c r="N12" i="46"/>
  <c r="L13" i="46"/>
  <c r="M13" i="46"/>
  <c r="N13" i="46"/>
  <c r="L14" i="46"/>
  <c r="M14" i="46"/>
  <c r="N14" i="46"/>
  <c r="F18" i="46"/>
  <c r="G18" i="46"/>
  <c r="M18" i="46"/>
  <c r="F19" i="46"/>
  <c r="G19" i="46"/>
  <c r="M19" i="46"/>
  <c r="F20" i="46"/>
  <c r="G20" i="46"/>
  <c r="F21" i="46"/>
  <c r="G21" i="46"/>
  <c r="F22" i="46"/>
  <c r="G22" i="46"/>
  <c r="F23" i="46"/>
  <c r="G23" i="46"/>
  <c r="C24" i="46"/>
  <c r="F24" i="46"/>
  <c r="G24" i="46"/>
  <c r="C25" i="46"/>
  <c r="F25" i="46"/>
  <c r="G25" i="46"/>
  <c r="M25" i="46"/>
  <c r="F26" i="46"/>
  <c r="G26" i="46"/>
  <c r="F27" i="46"/>
  <c r="G27" i="46"/>
  <c r="M27" i="46"/>
  <c r="C28" i="46"/>
  <c r="C30" i="46"/>
  <c r="E25" i="52"/>
  <c r="C27" i="52"/>
  <c r="C29" i="52"/>
  <c r="E29" i="52"/>
  <c r="C31" i="52"/>
  <c r="C33" i="52"/>
  <c r="E33" i="52"/>
  <c r="C35" i="52"/>
  <c r="E37" i="52"/>
  <c r="F61" i="52"/>
  <c r="F76" i="52"/>
  <c r="F89" i="52"/>
  <c r="F15" i="41"/>
  <c r="F19" i="41"/>
</calcChain>
</file>

<file path=xl/comments1.xml><?xml version="1.0" encoding="utf-8"?>
<comments xmlns="http://schemas.openxmlformats.org/spreadsheetml/2006/main">
  <authors>
    <author>Author</author>
  </authors>
  <commentList>
    <comment ref="C9" authorId="0" shapeId="0">
      <text>
        <r>
          <rPr>
            <b/>
            <sz val="9"/>
            <color indexed="81"/>
            <rFont val="Tahoma"/>
            <family val="2"/>
          </rPr>
          <t>Revenue Breakup:
There is no way of knowing how much revenue has come from Fashion Retail and SuperMarkets respectively.
In July 2021, WestSide accounted to 75% of total revenues. And 1338 cr revenue of SuperMarkets (50% Joint Venture.)</t>
        </r>
      </text>
    </comment>
  </commentList>
</comments>
</file>

<file path=xl/sharedStrings.xml><?xml version="1.0" encoding="utf-8"?>
<sst xmlns="http://schemas.openxmlformats.org/spreadsheetml/2006/main" count="742" uniqueCount="393">
  <si>
    <t xml:space="preserve">#                </t>
  </si>
  <si>
    <t>Worksheet</t>
  </si>
  <si>
    <t>D&amp;A</t>
  </si>
  <si>
    <t>EBIT</t>
  </si>
  <si>
    <t>EBT</t>
  </si>
  <si>
    <t>Inventory</t>
  </si>
  <si>
    <t>Total Equity</t>
  </si>
  <si>
    <t>Revenues</t>
  </si>
  <si>
    <t>WACC</t>
  </si>
  <si>
    <t>Current Tax Assets (Net)</t>
  </si>
  <si>
    <t>Other Assets</t>
  </si>
  <si>
    <t>Loans</t>
  </si>
  <si>
    <t>Other Financial Assets</t>
  </si>
  <si>
    <t>Debt</t>
  </si>
  <si>
    <t>Beta</t>
  </si>
  <si>
    <t>Growth Rate</t>
  </si>
  <si>
    <t>Cost of Capital</t>
  </si>
  <si>
    <t>Cost of Equity</t>
  </si>
  <si>
    <t>Cost of Debt</t>
  </si>
  <si>
    <t>Risk Free Rate</t>
  </si>
  <si>
    <t>Equity Risk Premium</t>
  </si>
  <si>
    <t>India 10-Year Government Bond Yield</t>
  </si>
  <si>
    <t>India Credit Rating (Fitch - 06/10/2022)</t>
  </si>
  <si>
    <t>India's Default Spread</t>
  </si>
  <si>
    <t>Cyprus</t>
  </si>
  <si>
    <t>Mexico</t>
  </si>
  <si>
    <t>Panama</t>
  </si>
  <si>
    <t>Romania</t>
  </si>
  <si>
    <t>Uruguay</t>
  </si>
  <si>
    <t>Croatia</t>
  </si>
  <si>
    <t>Kazakhstan</t>
  </si>
  <si>
    <t>Montserrat</t>
  </si>
  <si>
    <t>Trinidad and Tobago</t>
  </si>
  <si>
    <t>Aa2</t>
  </si>
  <si>
    <t>B1</t>
  </si>
  <si>
    <t>Baa2</t>
  </si>
  <si>
    <t>B3</t>
  </si>
  <si>
    <t>Ca</t>
  </si>
  <si>
    <t>Ba3</t>
  </si>
  <si>
    <t>Aaa</t>
  </si>
  <si>
    <t>Aa1</t>
  </si>
  <si>
    <t>Ba2</t>
  </si>
  <si>
    <t>B2</t>
  </si>
  <si>
    <t>Caa1</t>
  </si>
  <si>
    <t>Aa3</t>
  </si>
  <si>
    <t>Caa3</t>
  </si>
  <si>
    <t>A2</t>
  </si>
  <si>
    <t>A3</t>
  </si>
  <si>
    <t>Baa1</t>
  </si>
  <si>
    <t>A1</t>
  </si>
  <si>
    <t>Caa2</t>
  </si>
  <si>
    <t>Ba1</t>
  </si>
  <si>
    <t>Baa3</t>
  </si>
  <si>
    <t>C</t>
  </si>
  <si>
    <t>Credit Rating</t>
  </si>
  <si>
    <t>Avg Default Spread (%)</t>
  </si>
  <si>
    <t>Countries credit rating same as India</t>
  </si>
  <si>
    <t>(Risk Free Rate = 10 Year Gov Bond - Default Spread)</t>
  </si>
  <si>
    <t>Trent Company Analysis</t>
  </si>
  <si>
    <t>Year</t>
  </si>
  <si>
    <t>Dividends from Nifty50 in 2021</t>
  </si>
  <si>
    <t>Dividend Cf</t>
  </si>
  <si>
    <t>Avg Div Yield</t>
  </si>
  <si>
    <t>Adj Avg Div Yield (Last 10 Years)</t>
  </si>
  <si>
    <t>Dividend Yield (as on March 31, 2022)</t>
  </si>
  <si>
    <t>Weights</t>
  </si>
  <si>
    <t>Adj Avg Dividend Cash Flows in 2021</t>
  </si>
  <si>
    <t>Source:</t>
  </si>
  <si>
    <t>Nifty 50 Dividend Yield(DIV) on Trendlyne.com</t>
  </si>
  <si>
    <t>Nifty50 Dividend Points Index Ticker: NIFTYDIVID</t>
  </si>
  <si>
    <t>FY13</t>
  </si>
  <si>
    <t>FY14</t>
  </si>
  <si>
    <t>FY15</t>
  </si>
  <si>
    <t>FY16</t>
  </si>
  <si>
    <t>FY17</t>
  </si>
  <si>
    <t>FY18</t>
  </si>
  <si>
    <t>FY19</t>
  </si>
  <si>
    <t>FY20</t>
  </si>
  <si>
    <t>FY21</t>
  </si>
  <si>
    <t>FY22</t>
  </si>
  <si>
    <t>FY23</t>
  </si>
  <si>
    <t>FY24</t>
  </si>
  <si>
    <t>FY25</t>
  </si>
  <si>
    <t>FY26</t>
  </si>
  <si>
    <t>FY27</t>
  </si>
  <si>
    <t>EPS of Nifty50 (31st Mar 2012)</t>
  </si>
  <si>
    <t>EPS of Nifty50 (31st Mar 2022)</t>
  </si>
  <si>
    <t>Avg EPS growth Nifty50 (Last 10 Years)</t>
  </si>
  <si>
    <t>Exp Growth %</t>
  </si>
  <si>
    <t>Expected Growth % in Nifty50 (Next 5 Years)</t>
  </si>
  <si>
    <t>Nifty 50 Earnings Per share (EPS)</t>
  </si>
  <si>
    <t>India 10-Year Bond Yield</t>
  </si>
  <si>
    <t>Wght Div Cf</t>
  </si>
  <si>
    <t>Nifty50 (as on 31st March 2022)</t>
  </si>
  <si>
    <t>Investment Outflow</t>
  </si>
  <si>
    <t>NPV @ 10%</t>
  </si>
  <si>
    <t>NPV @ 9%</t>
  </si>
  <si>
    <t>Exp Return on Stocks</t>
  </si>
  <si>
    <t>-</t>
  </si>
  <si>
    <t>Implied Market Risk Premium (India)</t>
  </si>
  <si>
    <t>Retailing</t>
  </si>
  <si>
    <t>Sector of Trent</t>
  </si>
  <si>
    <t>Industry of Trent</t>
  </si>
  <si>
    <t>Trent Ltd</t>
  </si>
  <si>
    <t>Fashion Retail Co.</t>
  </si>
  <si>
    <t>#1 Industry</t>
  </si>
  <si>
    <t>Fashion Retail</t>
  </si>
  <si>
    <t>#2 Industry</t>
  </si>
  <si>
    <t>SuperMarkets</t>
  </si>
  <si>
    <t>Vedant Fashions Ltd</t>
  </si>
  <si>
    <t>Ticker</t>
  </si>
  <si>
    <t>MANYAVAR</t>
  </si>
  <si>
    <t>Aditya Birla Fashion &amp; Retail Ltd</t>
  </si>
  <si>
    <t>ABFRL</t>
  </si>
  <si>
    <t>Metro Brands Ltd</t>
  </si>
  <si>
    <t>METROBRAND</t>
  </si>
  <si>
    <t>VMART</t>
  </si>
  <si>
    <t>V-Mart Retail Ltd</t>
  </si>
  <si>
    <t>Shoppers Stop Ltd</t>
  </si>
  <si>
    <t>SHOPERSTOP</t>
  </si>
  <si>
    <t>Arvind Fashions Ltd</t>
  </si>
  <si>
    <t>ARVINDFASN</t>
  </si>
  <si>
    <t>Future Lifestyle Fashions Ltd</t>
  </si>
  <si>
    <t>FLFL</t>
  </si>
  <si>
    <t>V2 Retail Ltd</t>
  </si>
  <si>
    <t>V2RETAIL</t>
  </si>
  <si>
    <t>Not Enough Data</t>
  </si>
  <si>
    <t>Std Error</t>
  </si>
  <si>
    <t>Reg. Beta (5Y, Monthly)</t>
  </si>
  <si>
    <t>Beta Range</t>
  </si>
  <si>
    <t>Low Beta</t>
  </si>
  <si>
    <t>High Beta</t>
  </si>
  <si>
    <t>Avenue Supermarts Ltd</t>
  </si>
  <si>
    <t>DMART</t>
  </si>
  <si>
    <t>Spencers Retail Ltd</t>
  </si>
  <si>
    <t>SPENCERS</t>
  </si>
  <si>
    <t>Future Retail Ltd</t>
  </si>
  <si>
    <t>FRETAIL</t>
  </si>
  <si>
    <t>Osia Hyper Retail Ltd</t>
  </si>
  <si>
    <t>SM : OSIAHYPER</t>
  </si>
  <si>
    <t>Industry #1 - Fashion Retail</t>
  </si>
  <si>
    <t>Industry #2 - SuperMarkets</t>
  </si>
  <si>
    <t>Regression Beta using Python (skLearn.LinearModel)</t>
  </si>
  <si>
    <t>D/E Ratio</t>
  </si>
  <si>
    <t>Yahoo Finance (yahoofinancials module)</t>
  </si>
  <si>
    <t>D/E is outlier!</t>
  </si>
  <si>
    <t>EV/Sales</t>
  </si>
  <si>
    <t>Unlevered Beta (Fashion Retail)</t>
  </si>
  <si>
    <t>Unlevered Beta (SuperMarkets)</t>
  </si>
  <si>
    <t>Revenues (Fashion Retail)</t>
  </si>
  <si>
    <t>Revenues (SuperMarkets)</t>
  </si>
  <si>
    <t>Total Revenues (Trent Ltd)</t>
  </si>
  <si>
    <t>Annual Report 2022</t>
  </si>
  <si>
    <t>Trent Press Release (Oct 5 2021)</t>
  </si>
  <si>
    <t>Bottom-Up Beta</t>
  </si>
  <si>
    <t>Marginal Corporate Tax Rate (%)</t>
  </si>
  <si>
    <t>India Corporate Tax Rate</t>
  </si>
  <si>
    <t>Business</t>
  </si>
  <si>
    <t>Unlevered Beta</t>
  </si>
  <si>
    <t>Value</t>
  </si>
  <si>
    <t>Levered Bottom-Up Beta</t>
  </si>
  <si>
    <t>Risk Free Rate - Rf</t>
  </si>
  <si>
    <t>Beta (Trent Ltd)</t>
  </si>
  <si>
    <t>(Cost of Equity = Risk Free Rate + Beta * Equity Risk Premium)</t>
  </si>
  <si>
    <t>Lambda (λ)</t>
  </si>
  <si>
    <t>US Risk Free Rate - Rf</t>
  </si>
  <si>
    <t>Trent Ltd Risk Premium</t>
  </si>
  <si>
    <t>Interest</t>
  </si>
  <si>
    <t>ICR (%)</t>
  </si>
  <si>
    <t>Average ICR (%)</t>
  </si>
  <si>
    <t>"Synthetic" Trent Ltd Risk Premium</t>
  </si>
  <si>
    <t>(Cost of Debt = Rf + λ* India's Default Spread + Co. Risk Premium)</t>
  </si>
  <si>
    <t>10 Year Bond Yield Historical Data (Investing.com)</t>
  </si>
  <si>
    <t>ICR Synthetic Rating</t>
  </si>
  <si>
    <t>Standard Deviation with Python</t>
  </si>
  <si>
    <t>Cost of Equity &amp; Debt</t>
  </si>
  <si>
    <t>Pre-Tax Cost of Debt</t>
  </si>
  <si>
    <t>Market Value of Debt</t>
  </si>
  <si>
    <t>Book Value of Debt</t>
  </si>
  <si>
    <t>Non Convertible Debentures</t>
  </si>
  <si>
    <t>(in crores)</t>
  </si>
  <si>
    <t>Debt to Equity (Trent Ltd)</t>
  </si>
  <si>
    <t>Interest Expense</t>
  </si>
  <si>
    <t>Operating Lease *</t>
  </si>
  <si>
    <t>Est. Market Value of Debt</t>
  </si>
  <si>
    <t>Average Maturity of Debt (Yrs)</t>
  </si>
  <si>
    <t>Market Value of Equity</t>
  </si>
  <si>
    <t>Stock Price (as on 06/17/2022)</t>
  </si>
  <si>
    <t>Number of Shares Outstanding</t>
  </si>
  <si>
    <t>Market Capitalization</t>
  </si>
  <si>
    <t>Annual Report 2022 (Trent Ltd)</t>
  </si>
  <si>
    <t>Long Term Financial Lease</t>
  </si>
  <si>
    <t>Short Term Financial Lease</t>
  </si>
  <si>
    <t>Cash Flows</t>
  </si>
  <si>
    <t>Operating Lease</t>
  </si>
  <si>
    <t>Valuation Index</t>
  </si>
  <si>
    <t>Revenues (TTM)</t>
  </si>
  <si>
    <t>COGS</t>
  </si>
  <si>
    <t>Operating Expenses</t>
  </si>
  <si>
    <t>+</t>
  </si>
  <si>
    <t>EBIT &amp; Lease</t>
  </si>
  <si>
    <t>Depreciation of OL</t>
  </si>
  <si>
    <t>Adjusted EBIT</t>
  </si>
  <si>
    <t>Additional Right of Use Asset (2022)</t>
  </si>
  <si>
    <t>D&amp;A on Additional ROU (2022)</t>
  </si>
  <si>
    <t>Expected Life of Leased Asset (Yrs)</t>
  </si>
  <si>
    <t>EBIT &amp; Operating Lease</t>
  </si>
  <si>
    <t>Adjusted EBIT (Operating Lease)</t>
  </si>
  <si>
    <t xml:space="preserve">Depreciation on Operating Lease </t>
  </si>
  <si>
    <t>Total Debt</t>
  </si>
  <si>
    <t>Exceptional Items</t>
  </si>
  <si>
    <t>Effective Tax Rate (Trent Ltd)</t>
  </si>
  <si>
    <t>Net CapEx</t>
  </si>
  <si>
    <t>Capital Expenditures (CapEx)</t>
  </si>
  <si>
    <t>Adjusted Net Capital Expenditures</t>
  </si>
  <si>
    <t>Working Capital Changes</t>
  </si>
  <si>
    <t>Account Payables</t>
  </si>
  <si>
    <t>Non Cash Working Capital</t>
  </si>
  <si>
    <t>Non Cash WC</t>
  </si>
  <si>
    <t>% of Revenues</t>
  </si>
  <si>
    <t>Industry Average</t>
  </si>
  <si>
    <t>Cash Flows - FCFF</t>
  </si>
  <si>
    <t>EBIT * (1 - Tax Rate)</t>
  </si>
  <si>
    <t>Aquistion of Companies</t>
  </si>
  <si>
    <t>Free Cash Flow to Firm (FCFF)</t>
  </si>
  <si>
    <t>Reinvestment</t>
  </si>
  <si>
    <t>Cash Flows - FCFE</t>
  </si>
  <si>
    <t>Finance Cost</t>
  </si>
  <si>
    <t>Adjusted EBT</t>
  </si>
  <si>
    <t>Effective Tax (%)</t>
  </si>
  <si>
    <t>Adjusted Net Income</t>
  </si>
  <si>
    <t>Principle Repayments</t>
  </si>
  <si>
    <t>New Debt Issue</t>
  </si>
  <si>
    <t>Free Cash Flow to Equity (FCFE)</t>
  </si>
  <si>
    <t>Net Borrowing (2022)</t>
  </si>
  <si>
    <t>FCFE = Net Income - Net CapEx - Change in non cash working capital + Net Borrowings - Preferred Stock</t>
  </si>
  <si>
    <t>FCFF = EBIT * (1 - tax rate) - Net CapEx - Change in non cash working capital</t>
  </si>
  <si>
    <t>FCFE &amp; FCFF</t>
  </si>
  <si>
    <t>FCFF &amp; FCFE</t>
  </si>
  <si>
    <t>Account Recievables</t>
  </si>
  <si>
    <t>Working capital as % of revenues</t>
  </si>
  <si>
    <t>Other Current Liabilities</t>
  </si>
  <si>
    <t>Current Tax Liabilities</t>
  </si>
  <si>
    <t>Other Current Assets</t>
  </si>
  <si>
    <t>Assets Held For Sale</t>
  </si>
  <si>
    <t>Other Financial Liabilties</t>
  </si>
  <si>
    <t>Non Cash Current Assets</t>
  </si>
  <si>
    <t>Non Debt Current Liabilities</t>
  </si>
  <si>
    <t>Change in Non Cash Working Capital</t>
  </si>
  <si>
    <t>Average WC as % of revenues</t>
  </si>
  <si>
    <t>Revenues (2022)</t>
  </si>
  <si>
    <t>Non Cash Working Capital (2022)</t>
  </si>
  <si>
    <t>Non Cash Working Capital (2021)</t>
  </si>
  <si>
    <t>Revenues (2021)</t>
  </si>
  <si>
    <t>Average WC as % of Revenues</t>
  </si>
  <si>
    <t>Adj Change in Non Cash WC</t>
  </si>
  <si>
    <t>Expected Growth Rate</t>
  </si>
  <si>
    <t>Future Cash Flows (10 Yrs)</t>
  </si>
  <si>
    <t>Terminal Value</t>
  </si>
  <si>
    <t>Growth &amp; TV</t>
  </si>
  <si>
    <t>Reinvestment Rate</t>
  </si>
  <si>
    <t>Return on Invested Capital (ROIC)</t>
  </si>
  <si>
    <t>Future ROIC (After 10 Yr)</t>
  </si>
  <si>
    <t>Growth from New Investments</t>
  </si>
  <si>
    <t>Growth from Existing Investments</t>
  </si>
  <si>
    <t>LTM</t>
  </si>
  <si>
    <t>Lifestyle % of Retail</t>
  </si>
  <si>
    <t>Grocery % of Retail</t>
  </si>
  <si>
    <t>Gross Industry</t>
  </si>
  <si>
    <t>Market Share (%)</t>
  </si>
  <si>
    <t>Rev. Growth</t>
  </si>
  <si>
    <t>Op. Margin</t>
  </si>
  <si>
    <t>EBIT*(1-t)</t>
  </si>
  <si>
    <t>Change in Sales</t>
  </si>
  <si>
    <t>Sales to Capital</t>
  </si>
  <si>
    <t>FCFF</t>
  </si>
  <si>
    <t>Invested Capital</t>
  </si>
  <si>
    <t>ROIC</t>
  </si>
  <si>
    <t>Growth Rate &amp; TV</t>
  </si>
  <si>
    <t>NOTE: Taking Trent Ltd as stage 2 company</t>
  </si>
  <si>
    <t>Lifestyle</t>
  </si>
  <si>
    <t>SuperMarket</t>
  </si>
  <si>
    <t>Retail Ind</t>
  </si>
  <si>
    <t>Sales to Capital Ratio</t>
  </si>
  <si>
    <t>Risk Free Rate - India</t>
  </si>
  <si>
    <t>Growth Rate in perpetuity</t>
  </si>
  <si>
    <t>ROIC in perpetuity</t>
  </si>
  <si>
    <t>EBIT (11th Year)</t>
  </si>
  <si>
    <t>Marginal Tax Rate (%)</t>
  </si>
  <si>
    <t>Mature Company Cost of Capital Estimation</t>
  </si>
  <si>
    <t>FCFF (11th Year)</t>
  </si>
  <si>
    <t>Mature Company's Beta</t>
  </si>
  <si>
    <t>% of Debt</t>
  </si>
  <si>
    <t>% of Equity</t>
  </si>
  <si>
    <t>Mature WACC</t>
  </si>
  <si>
    <t>Lifestyle Retail</t>
  </si>
  <si>
    <t>Interest Coverage Ratio will be above 12.5</t>
  </si>
  <si>
    <t>Trent Hypermarket Private Limited</t>
  </si>
  <si>
    <t>Booker India Limited</t>
  </si>
  <si>
    <t>Fiora Business Support Services Limited</t>
  </si>
  <si>
    <t>Fiora Hypermarket Limited</t>
  </si>
  <si>
    <t>Fiora Online Limited</t>
  </si>
  <si>
    <t>Nahar Retail Trading Services Limited</t>
  </si>
  <si>
    <t>Inditex Trent Retail India Private Limited</t>
  </si>
  <si>
    <t>Common Wealth Developers Limited (CWDL)</t>
  </si>
  <si>
    <t>Cross Holdings</t>
  </si>
  <si>
    <t>Holding Type</t>
  </si>
  <si>
    <t>% Owner</t>
  </si>
  <si>
    <t>Majority Active</t>
  </si>
  <si>
    <t>Massimo Dutti India Private Limited</t>
  </si>
  <si>
    <t>Trent Global Holdings Limited</t>
  </si>
  <si>
    <t>Fully Owned</t>
  </si>
  <si>
    <t>Minority Active</t>
  </si>
  <si>
    <t>How to Deal?</t>
  </si>
  <si>
    <t>Minority Passive</t>
  </si>
  <si>
    <t>Booker Satnam Wholesale Limited</t>
  </si>
  <si>
    <t>Cash &amp; Marketable Securities</t>
  </si>
  <si>
    <t>Marketable Securities</t>
  </si>
  <si>
    <t>Investment in Mutual Funds</t>
  </si>
  <si>
    <t>Investments in Debentures/Bonds</t>
  </si>
  <si>
    <t>Cash and cash equivalents</t>
  </si>
  <si>
    <t>Other Bank Balances</t>
  </si>
  <si>
    <t>Total Cash</t>
  </si>
  <si>
    <t>Return on Capital</t>
  </si>
  <si>
    <t>Adjusted Cash &amp; Marketable Securities</t>
  </si>
  <si>
    <t>Discount for Getting Bad Returns on Projects</t>
  </si>
  <si>
    <t>Trent Hypermarket Risk Premium</t>
  </si>
  <si>
    <t>ICR</t>
  </si>
  <si>
    <t>Book Value of Equity</t>
  </si>
  <si>
    <t>Losses Carry Forward</t>
  </si>
  <si>
    <t>Sales to Cap</t>
  </si>
  <si>
    <t>Inv. Capital</t>
  </si>
  <si>
    <t>Terminal Value Calculation</t>
  </si>
  <si>
    <t>Marginal Tax Rate</t>
  </si>
  <si>
    <t>EBIT * (1 - t)</t>
  </si>
  <si>
    <t>Reinv. Rate</t>
  </si>
  <si>
    <t>Mature Beta</t>
  </si>
  <si>
    <t>% Debt</t>
  </si>
  <si>
    <t>% Equity</t>
  </si>
  <si>
    <t>Risk Premium</t>
  </si>
  <si>
    <t>Present Value of FCFF</t>
  </si>
  <si>
    <t>Present Value of TV</t>
  </si>
  <si>
    <t>Cash and Marketable Securities</t>
  </si>
  <si>
    <t>Value of Debt</t>
  </si>
  <si>
    <t>Value of Firm</t>
  </si>
  <si>
    <t>Value of Equity</t>
  </si>
  <si>
    <t>Trent Hypermarket Private Limited - 50%</t>
  </si>
  <si>
    <t>Value of Cross Holdings</t>
  </si>
  <si>
    <t>Massimo Dutti India Private Limited - 49%</t>
  </si>
  <si>
    <t>Inditex Trent Retail India Private Limited - 49%</t>
  </si>
  <si>
    <t>Massimo Dutti Risk Premium</t>
  </si>
  <si>
    <t>Inditex Retail Risk Premium</t>
  </si>
  <si>
    <t>Present Vaue of FCFF</t>
  </si>
  <si>
    <t>Fair Value of the Share</t>
  </si>
  <si>
    <t>Present Value of Cash Flows</t>
  </si>
  <si>
    <t>Free Cash Flows to Firm</t>
  </si>
  <si>
    <t>Discount Rate (WACC)</t>
  </si>
  <si>
    <t>Discounting Future Cash Flows to Present Value</t>
  </si>
  <si>
    <t>Value of Operating Assets</t>
  </si>
  <si>
    <t>Value of Other Assets</t>
  </si>
  <si>
    <t>Value of Equity Options</t>
  </si>
  <si>
    <t>Fair value of share</t>
  </si>
  <si>
    <t>Value of Common Stock</t>
  </si>
  <si>
    <t>Trent HyperMarket</t>
  </si>
  <si>
    <t>Massimo Dutti</t>
  </si>
  <si>
    <t>Inditex Retail Ltd</t>
  </si>
  <si>
    <t>Fair Value of Share</t>
  </si>
  <si>
    <t>Road to Fair Value of Share</t>
  </si>
  <si>
    <t>Net Capital Expenditure</t>
  </si>
  <si>
    <t>EBIT &amp; Advertising Expense</t>
  </si>
  <si>
    <t xml:space="preserve">Current </t>
  </si>
  <si>
    <t>Amortization (This Year)</t>
  </si>
  <si>
    <t>Advertising Expense</t>
  </si>
  <si>
    <t>Amortization (weights)</t>
  </si>
  <si>
    <t>Amortized Value</t>
  </si>
  <si>
    <t>Capitalizing Advertising Expense as Asset</t>
  </si>
  <si>
    <t>Value of Advertising Asset</t>
  </si>
  <si>
    <t>Amortization Asset</t>
  </si>
  <si>
    <t>Advertising Expense (Current)</t>
  </si>
  <si>
    <t>Amortization: Ad Expense</t>
  </si>
  <si>
    <t>EBIT (1 - Tax)</t>
  </si>
  <si>
    <t>Advertising Expense (Current Year)</t>
  </si>
  <si>
    <t>Trent Narrative</t>
  </si>
  <si>
    <t>Sensitivity Analysis</t>
  </si>
  <si>
    <t>Revenue Growth (CAGR)</t>
  </si>
  <si>
    <t>OPM</t>
  </si>
  <si>
    <t>Sales to Cap Ratio</t>
  </si>
  <si>
    <t>Value Drivers</t>
  </si>
  <si>
    <t>Revenue Growth</t>
  </si>
  <si>
    <t>Growth Rate in Perpetuity</t>
  </si>
  <si>
    <t>TV</t>
  </si>
  <si>
    <t>Revenue Growth CAGR</t>
  </si>
  <si>
    <t>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</si>
</sst>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1">
    <numFmt numFmtId="42" formatCode="_(&quot;$&quot;* #,##0_);_(&quot;$&quot;* \(#,##0\);_(&quot;$&quot;* &quot;-&quot;_);_(@_)"/>
    <numFmt numFmtId="44" formatCode="_(&quot;$&quot;* #,##0.00_);_(&quot;$&quot;* \(#,##0.00\);_(&quot;$&quot;* &quot;-&quot;??_);_(@_)"/>
    <numFmt numFmtId="43" formatCode="_(* #,##0.00_);_(* \(#,##0.00\);_(* &quot;-&quot;??_);_(@_)"/>
    <numFmt numFmtId="164" formatCode="_(* #,##0.0_);_(* \(#,##0.0\);_(* &quot;-&quot;?_);@_)"/>
    <numFmt numFmtId="165" formatCode="_(* #,##0_);_(* \(#,##0\);_(* &quot;-&quot;?_);@_)"/>
    <numFmt numFmtId="166" formatCode="0.0%"/>
    <numFmt numFmtId="167" formatCode="_(* #,##0_);_(* \(#,##0\);_(* &quot;-&quot;?_);@_l"/>
    <numFmt numFmtId="168" formatCode="_-* #,##0.00\ &quot;€&quot;_-;\-* #,##0.00\ &quot;€&quot;_-;_-* &quot;-&quot;??\ &quot;€&quot;_-;_-@_-"/>
    <numFmt numFmtId="169" formatCode="_-* #,##0.00\ _€_-;\-* #,##0.00\ _€_-;_-* &quot;-&quot;??\ _€_-;_-@_-"/>
    <numFmt numFmtId="170" formatCode="_-* #,##0\ _D_M_-;\-* #,##0\ _D_M_-;_-* &quot;-&quot;\ _D_M_-;_-@_-"/>
    <numFmt numFmtId="171" formatCode="_-* #,##0.00\ &quot;Kc&quot;_-;\-* #,##0.00\ &quot;Kc&quot;_-;_-* &quot;-&quot;??\ &quot;Kc&quot;_-;_-@_-"/>
    <numFmt numFmtId="172" formatCode="\(0\'\)"/>
    <numFmt numFmtId="173" formatCode="0.00_)"/>
    <numFmt numFmtId="174" formatCode="#,##0;\(#,##0\);&quot;-&quot;"/>
    <numFmt numFmtId="175" formatCode="_-* #,##0_-;\-* #,##0_-;_-* &quot;-&quot;_-;_-@_-"/>
    <numFmt numFmtId="176" formatCode="#,##0_);\(#,##0\);&quot; - &quot;_);@_)"/>
    <numFmt numFmtId="177" formatCode="\ #,##0.0_);\(#,##0.0\);&quot; - &quot;_);@_)"/>
    <numFmt numFmtId="178" formatCode="_(* #,##0.00_);_(* \(#,##0.00\);_(* &quot;-&quot;?_);@_)"/>
    <numFmt numFmtId="179" formatCode="0.0"/>
    <numFmt numFmtId="180" formatCode="_ [$₹-4009]\ * #,##0.00_ ;_ [$₹-4009]\ * \-#,##0.00_ ;_ [$₹-4009]\ * &quot;-&quot;??_ ;_ @_ "/>
    <numFmt numFmtId="181" formatCode="_ [$₹-4009]\ * #,##0_ ;_ [$₹-4009]\ * \-#,##0_ ;_ [$₹-4009]\ * &quot;-&quot;??_ ;_ @_ "/>
    <numFmt numFmtId="182" formatCode="[$₹-4009]\ #,##0.00;[$₹-4009]\ \-#,##0.00"/>
    <numFmt numFmtId="183" formatCode="_(* #,##0.000_);_(* \(#,##0.000\);_(* &quot;-&quot;?_);@_)"/>
    <numFmt numFmtId="184" formatCode="[$₹-4009]\ #,##0.00"/>
    <numFmt numFmtId="185" formatCode="[$₹-4009]\ #,##0;[$₹-4009]\ \-#,##0"/>
    <numFmt numFmtId="186" formatCode="[$₹-4009]\ #,##0.00;[Red][$₹-4009]\ \-#,##0.00"/>
    <numFmt numFmtId="187" formatCode="[$₹-4009]\ #,##0.0;[$₹-4009]\ \-#,##0.0"/>
    <numFmt numFmtId="188" formatCode="[$₹-4009]\ #,##0.0;[Red][$₹-4009]\ \-#,##0.0"/>
    <numFmt numFmtId="189" formatCode="[$₹-4009]\ #,##0"/>
    <numFmt numFmtId="190" formatCode="_ [$₹-4009]\ * #,##0.0_ ;_ [$₹-4009]\ * \-#,##0.0_ ;_ [$₹-4009]\ * &quot;-&quot;?_ ;_ @_ "/>
    <numFmt numFmtId="191" formatCode="_ [$₹-4009]\ * #,##0.00_ ;_ [$₹-4009]\ * \-#,##0.00_ ;_ [$₹-4009]\ * &quot;-&quot;?_ ;_ @_ "/>
  </numFmts>
  <fonts count="76">
    <font>
      <sz val="11"/>
      <color theme="1"/>
      <name val="Calibri"/>
      <family val="2"/>
      <scheme val="minor"/>
    </font>
    <font>
      <sz val="9"/>
      <color theme="1"/>
      <name val="Arial"/>
      <family val="2"/>
    </font>
    <font>
      <b/>
      <sz val="9"/>
      <color theme="1"/>
      <name val="Arial"/>
      <family val="2"/>
    </font>
    <font>
      <b/>
      <sz val="9"/>
      <color theme="3"/>
      <name val="Calibri"/>
      <family val="2"/>
      <scheme val="minor"/>
    </font>
    <font>
      <b/>
      <sz val="9"/>
      <color rgb="FF002060"/>
      <name val="Arial"/>
      <family val="2"/>
    </font>
    <font>
      <sz val="11"/>
      <color theme="1"/>
      <name val="Calibri"/>
      <family val="2"/>
      <scheme val="minor"/>
    </font>
    <font>
      <i/>
      <sz val="8"/>
      <color theme="1"/>
      <name val="Arial"/>
      <family val="2"/>
    </font>
    <font>
      <sz val="9"/>
      <color theme="0"/>
      <name val="Arial"/>
      <family val="2"/>
    </font>
    <font>
      <b/>
      <sz val="9"/>
      <color theme="0"/>
      <name val="Arial"/>
      <family val="2"/>
    </font>
    <font>
      <sz val="10"/>
      <name val="Arial"/>
      <family val="2"/>
    </font>
    <font>
      <sz val="8"/>
      <name val="Arial"/>
      <family val="2"/>
    </font>
    <font>
      <sz val="10"/>
      <color indexed="10"/>
      <name val="Arial"/>
      <family val="2"/>
    </font>
    <font>
      <sz val="10"/>
      <name val="Helv"/>
      <family val="2"/>
    </font>
    <font>
      <sz val="12"/>
      <name val="Times New Roman"/>
      <family val="1"/>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0"/>
      <name val="Arial CE"/>
      <charset val="238"/>
    </font>
    <font>
      <sz val="10"/>
      <name val="Helv"/>
    </font>
    <font>
      <sz val="11"/>
      <color indexed="60"/>
      <name val="Calibri"/>
      <family val="2"/>
    </font>
    <font>
      <b/>
      <i/>
      <sz val="16"/>
      <name val="Helv"/>
    </font>
    <font>
      <sz val="10"/>
      <name val="MS Sans Serif"/>
      <family val="2"/>
    </font>
    <font>
      <b/>
      <sz val="11"/>
      <color indexed="63"/>
      <name val="Calibri"/>
      <family val="2"/>
    </font>
    <font>
      <b/>
      <sz val="10"/>
      <name val="MS Sans Serif"/>
      <family val="2"/>
    </font>
    <font>
      <sz val="10"/>
      <color indexed="8"/>
      <name val="Arial"/>
      <family val="2"/>
    </font>
    <font>
      <sz val="10"/>
      <color indexed="39"/>
      <name val="Arial"/>
      <family val="2"/>
    </font>
    <font>
      <b/>
      <sz val="10"/>
      <color indexed="8"/>
      <name val="Arial"/>
      <family val="2"/>
    </font>
    <font>
      <b/>
      <sz val="12"/>
      <color indexed="8"/>
      <name val="Arial"/>
      <family val="2"/>
    </font>
    <font>
      <b/>
      <sz val="16"/>
      <color indexed="23"/>
      <name val="Arial"/>
      <family val="2"/>
    </font>
    <font>
      <b/>
      <sz val="18"/>
      <color indexed="56"/>
      <name val="Cambria"/>
      <family val="2"/>
    </font>
    <font>
      <b/>
      <sz val="11"/>
      <color indexed="8"/>
      <name val="Calibri"/>
      <family val="2"/>
    </font>
    <font>
      <b/>
      <sz val="9"/>
      <name val="Arial"/>
      <family val="2"/>
    </font>
    <font>
      <sz val="11"/>
      <color indexed="10"/>
      <name val="Calibri"/>
      <family val="2"/>
    </font>
    <font>
      <sz val="8"/>
      <name val="Verdana"/>
      <family val="2"/>
    </font>
    <font>
      <sz val="10"/>
      <name val="Garamond"/>
      <family val="1"/>
    </font>
    <font>
      <sz val="10"/>
      <color indexed="8"/>
      <name val="MS Sans Serif"/>
      <family val="2"/>
    </font>
    <font>
      <sz val="10"/>
      <name val="Verdana"/>
      <family val="2"/>
    </font>
    <font>
      <sz val="7"/>
      <color indexed="10"/>
      <name val="Arial"/>
      <family val="2"/>
    </font>
    <font>
      <sz val="12"/>
      <name val="Arial"/>
      <family val="2"/>
    </font>
    <font>
      <sz val="10"/>
      <name val="Arial Narrow"/>
      <family val="2"/>
    </font>
    <font>
      <b/>
      <sz val="14"/>
      <color indexed="25"/>
      <name val="Arial"/>
      <family val="2"/>
    </font>
    <font>
      <b/>
      <sz val="10"/>
      <color indexed="25"/>
      <name val="Arial Narrow"/>
      <family val="2"/>
    </font>
    <font>
      <i/>
      <sz val="10"/>
      <color indexed="25"/>
      <name val="Arial Narrow"/>
      <family val="2"/>
    </font>
    <font>
      <sz val="8"/>
      <color indexed="25"/>
      <name val="Arial Narrow"/>
      <family val="2"/>
    </font>
    <font>
      <sz val="10"/>
      <name val="Tahoma"/>
      <family val="2"/>
    </font>
    <font>
      <sz val="12"/>
      <name val="Arial Narrow"/>
      <family val="2"/>
    </font>
    <font>
      <b/>
      <sz val="12"/>
      <color theme="1"/>
      <name val="Tahoma                        "/>
    </font>
    <font>
      <sz val="8"/>
      <color theme="1"/>
      <name val="Tahoma                        "/>
    </font>
    <font>
      <b/>
      <sz val="8"/>
      <color theme="1"/>
      <name val="Tahoma                        "/>
    </font>
    <font>
      <b/>
      <sz val="10"/>
      <color theme="1"/>
      <name val="Tahoma                        "/>
    </font>
    <font>
      <b/>
      <sz val="8"/>
      <color theme="0"/>
      <name val="Arial"/>
      <family val="2"/>
    </font>
    <font>
      <sz val="9"/>
      <name val="Arial"/>
      <family val="2"/>
    </font>
    <font>
      <u/>
      <sz val="11"/>
      <color theme="10"/>
      <name val="Calibri"/>
      <family val="2"/>
      <scheme val="minor"/>
    </font>
    <font>
      <b/>
      <sz val="12"/>
      <name val="Arial"/>
      <family val="2"/>
    </font>
    <font>
      <b/>
      <sz val="12"/>
      <color theme="1"/>
      <name val="Arial"/>
      <family val="2"/>
    </font>
    <font>
      <i/>
      <sz val="9"/>
      <color theme="1"/>
      <name val="Arial"/>
      <family val="2"/>
    </font>
    <font>
      <b/>
      <i/>
      <sz val="9"/>
      <color theme="1"/>
      <name val="Arial"/>
      <family val="2"/>
    </font>
    <font>
      <i/>
      <sz val="9"/>
      <name val="Arial"/>
      <family val="2"/>
    </font>
    <font>
      <b/>
      <i/>
      <sz val="9"/>
      <color theme="0"/>
      <name val="Arial"/>
      <family val="2"/>
    </font>
    <font>
      <b/>
      <sz val="32"/>
      <name val="Arial"/>
      <family val="2"/>
    </font>
    <font>
      <b/>
      <sz val="9"/>
      <name val="Calibri"/>
      <family val="2"/>
      <scheme val="minor"/>
    </font>
    <font>
      <sz val="10"/>
      <name val="Arial"/>
      <family val="2"/>
    </font>
    <font>
      <sz val="10"/>
      <name val="Arial"/>
      <family val="2"/>
      <charset val="204"/>
    </font>
    <font>
      <b/>
      <sz val="40"/>
      <color theme="1" tint="4.9989318521683403E-2"/>
      <name val="Arial"/>
      <family val="2"/>
      <charset val="204"/>
    </font>
    <font>
      <sz val="10"/>
      <color rgb="FF002060"/>
      <name val="Arial"/>
      <family val="2"/>
      <charset val="204"/>
    </font>
    <font>
      <b/>
      <sz val="9"/>
      <color indexed="81"/>
      <name val="Tahoma"/>
      <family val="2"/>
    </font>
    <font>
      <b/>
      <sz val="11"/>
      <color theme="1"/>
      <name val="Arial"/>
      <family val="2"/>
    </font>
  </fonts>
  <fills count="51">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2"/>
        <bgColor indexed="64"/>
      </patternFill>
    </fill>
    <fill>
      <patternFill patternType="solid">
        <fgColor indexed="43"/>
      </patternFill>
    </fill>
    <fill>
      <patternFill patternType="solid">
        <fgColor indexed="26"/>
      </patternFill>
    </fill>
    <fill>
      <patternFill patternType="mediumGray">
        <fgColor indexed="22"/>
      </patternFill>
    </fill>
    <fill>
      <patternFill patternType="solid">
        <fgColor indexed="46"/>
        <bgColor indexed="64"/>
      </patternFill>
    </fill>
    <fill>
      <patternFill patternType="solid">
        <fgColor indexed="43"/>
        <bgColor indexed="64"/>
      </patternFill>
    </fill>
    <fill>
      <patternFill patternType="solid">
        <fgColor indexed="31"/>
        <bgColor indexed="64"/>
      </patternFill>
    </fill>
    <fill>
      <patternFill patternType="solid">
        <fgColor indexed="45"/>
        <bgColor indexed="64"/>
      </patternFill>
    </fill>
    <fill>
      <patternFill patternType="solid">
        <fgColor indexed="29"/>
        <bgColor indexed="64"/>
      </patternFill>
    </fill>
    <fill>
      <patternFill patternType="solid">
        <fgColor indexed="1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1"/>
        <bgColor indexed="64"/>
      </patternFill>
    </fill>
    <fill>
      <patternFill patternType="lightUp">
        <fgColor indexed="22"/>
        <bgColor indexed="35"/>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55"/>
        <bgColor indexed="64"/>
      </patternFill>
    </fill>
    <fill>
      <patternFill patternType="solid">
        <fgColor theme="1"/>
        <bgColor indexed="64"/>
      </patternFill>
    </fill>
    <fill>
      <patternFill patternType="solid">
        <fgColor rgb="FFF8F8F8"/>
        <bgColor indexed="64"/>
      </patternFill>
    </fill>
    <fill>
      <patternFill patternType="solid">
        <fgColor theme="0" tint="-4.9989318521683403E-2"/>
        <bgColor indexed="64"/>
      </patternFill>
    </fill>
    <fill>
      <patternFill patternType="solid">
        <fgColor theme="2"/>
        <bgColor indexed="64"/>
      </patternFill>
    </fill>
    <fill>
      <patternFill patternType="solid">
        <fgColor rgb="FFFFFF00"/>
        <bgColor indexed="64"/>
      </patternFill>
    </fill>
  </fills>
  <borders count="20">
    <border>
      <left/>
      <right/>
      <top/>
      <bottom/>
      <diagonal/>
    </border>
    <border>
      <left/>
      <right/>
      <top/>
      <bottom style="medium">
        <color theme="4"/>
      </bottom>
      <diagonal/>
    </border>
    <border>
      <left/>
      <right/>
      <top/>
      <bottom style="thin">
        <color indexed="64"/>
      </bottom>
      <diagonal/>
    </border>
    <border>
      <left/>
      <right/>
      <top/>
      <bottom style="hair">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medium">
        <color indexed="64"/>
      </bottom>
      <diagonal/>
    </border>
    <border>
      <left style="thin">
        <color indexed="63"/>
      </left>
      <right style="thin">
        <color indexed="63"/>
      </right>
      <top style="thin">
        <color indexed="64"/>
      </top>
      <bottom style="thin">
        <color indexed="63"/>
      </bottom>
      <diagonal/>
    </border>
    <border>
      <left/>
      <right/>
      <top style="thin">
        <color indexed="62"/>
      </top>
      <bottom style="double">
        <color indexed="62"/>
      </bottom>
      <diagonal/>
    </border>
    <border>
      <left/>
      <right/>
      <top style="thin">
        <color indexed="25"/>
      </top>
      <bottom style="thin">
        <color indexed="25"/>
      </bottom>
      <diagonal/>
    </border>
    <border>
      <left/>
      <right/>
      <top style="thin">
        <color indexed="64"/>
      </top>
      <bottom/>
      <diagonal/>
    </border>
    <border>
      <left/>
      <right/>
      <top style="thin">
        <color auto="1"/>
      </top>
      <bottom style="thin">
        <color auto="1"/>
      </bottom>
      <diagonal/>
    </border>
    <border>
      <left/>
      <right/>
      <top style="thin">
        <color indexed="64"/>
      </top>
      <bottom/>
      <diagonal/>
    </border>
  </borders>
  <cellStyleXfs count="169">
    <xf numFmtId="0" fontId="0" fillId="0" borderId="0"/>
    <xf numFmtId="0" fontId="3" fillId="0" borderId="1" applyFill="0" applyProtection="0">
      <alignment horizontal="right" wrapText="1"/>
    </xf>
    <xf numFmtId="9" fontId="5" fillId="0" borderId="0" applyFont="0" applyFill="0" applyBorder="0" applyAlignment="0" applyProtection="0"/>
    <xf numFmtId="0" fontId="9" fillId="0" borderId="0"/>
    <xf numFmtId="0" fontId="9" fillId="0" borderId="0"/>
    <xf numFmtId="0" fontId="12" fillId="0" borderId="0"/>
    <xf numFmtId="0" fontId="9" fillId="0" borderId="0"/>
    <xf numFmtId="0" fontId="12" fillId="0" borderId="0"/>
    <xf numFmtId="0" fontId="12" fillId="0" borderId="0"/>
    <xf numFmtId="0" fontId="12" fillId="0" borderId="0"/>
    <xf numFmtId="0" fontId="12" fillId="0" borderId="0"/>
    <xf numFmtId="0" fontId="9" fillId="0" borderId="0"/>
    <xf numFmtId="0" fontId="12" fillId="0" borderId="0"/>
    <xf numFmtId="0" fontId="12" fillId="0" borderId="0"/>
    <xf numFmtId="0" fontId="9" fillId="0" borderId="0"/>
    <xf numFmtId="0" fontId="9" fillId="0" borderId="0"/>
    <xf numFmtId="0" fontId="9" fillId="0" borderId="0"/>
    <xf numFmtId="0" fontId="9" fillId="0" borderId="0"/>
    <xf numFmtId="0" fontId="9" fillId="4" borderId="3"/>
    <xf numFmtId="0" fontId="12" fillId="0" borderId="0"/>
    <xf numFmtId="0" fontId="9" fillId="0" borderId="0"/>
    <xf numFmtId="0" fontId="9" fillId="0" borderId="0"/>
    <xf numFmtId="0" fontId="12" fillId="0" borderId="0"/>
    <xf numFmtId="0" fontId="12" fillId="0" borderId="0"/>
    <xf numFmtId="0" fontId="13" fillId="0" borderId="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11" borderId="0" applyNumberFormat="0" applyBorder="0" applyAlignment="0" applyProtection="0"/>
    <xf numFmtId="0" fontId="14" fillId="12" borderId="0" applyNumberFormat="0" applyBorder="0" applyAlignment="0" applyProtection="0"/>
    <xf numFmtId="0" fontId="14" fillId="13"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4" fillId="14" borderId="0" applyNumberFormat="0" applyBorder="0" applyAlignment="0" applyProtection="0"/>
    <xf numFmtId="0" fontId="15" fillId="15" borderId="0" applyNumberFormat="0" applyBorder="0" applyAlignment="0" applyProtection="0"/>
    <xf numFmtId="0" fontId="15" fillId="12" borderId="0" applyNumberFormat="0" applyBorder="0" applyAlignment="0" applyProtection="0"/>
    <xf numFmtId="0" fontId="15" fillId="13"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9" borderId="0" applyNumberFormat="0" applyBorder="0" applyAlignment="0" applyProtection="0"/>
    <xf numFmtId="0" fontId="15" fillId="20" borderId="0" applyNumberFormat="0" applyBorder="0" applyAlignment="0" applyProtection="0"/>
    <xf numFmtId="0" fontId="15" fillId="21"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22" borderId="0" applyNumberFormat="0" applyBorder="0" applyAlignment="0" applyProtection="0"/>
    <xf numFmtId="0" fontId="9" fillId="0" borderId="0"/>
    <xf numFmtId="0" fontId="16" fillId="6" borderId="0" applyNumberFormat="0" applyBorder="0" applyAlignment="0" applyProtection="0"/>
    <xf numFmtId="0" fontId="17" fillId="23" borderId="4" applyNumberFormat="0" applyAlignment="0" applyProtection="0"/>
    <xf numFmtId="0" fontId="18" fillId="24" borderId="5" applyNumberFormat="0" applyAlignment="0" applyProtection="0"/>
    <xf numFmtId="49" fontId="10" fillId="0" borderId="0">
      <alignment horizontal="left" vertical="top" wrapText="1"/>
    </xf>
    <xf numFmtId="168" fontId="9" fillId="0" borderId="0" applyFont="0" applyFill="0" applyBorder="0" applyAlignment="0" applyProtection="0"/>
    <xf numFmtId="0" fontId="19" fillId="0" borderId="0" applyNumberFormat="0" applyFill="0" applyBorder="0" applyAlignment="0" applyProtection="0"/>
    <xf numFmtId="0" fontId="20" fillId="7" borderId="0" applyNumberFormat="0" applyBorder="0" applyAlignment="0" applyProtection="0"/>
    <xf numFmtId="38" fontId="10" fillId="25" borderId="0" applyNumberFormat="0" applyBorder="0" applyAlignment="0" applyProtection="0"/>
    <xf numFmtId="0" fontId="21" fillId="0" borderId="6" applyNumberFormat="0" applyFill="0" applyAlignment="0" applyProtection="0"/>
    <xf numFmtId="0" fontId="22" fillId="0" borderId="7" applyNumberFormat="0" applyFill="0" applyAlignment="0" applyProtection="0"/>
    <xf numFmtId="0" fontId="23" fillId="0" borderId="8" applyNumberFormat="0" applyFill="0" applyAlignment="0" applyProtection="0"/>
    <xf numFmtId="0" fontId="23" fillId="0" borderId="0" applyNumberFormat="0" applyFill="0" applyBorder="0" applyAlignment="0" applyProtection="0"/>
    <xf numFmtId="0" fontId="24" fillId="10" borderId="4" applyNumberFormat="0" applyAlignment="0" applyProtection="0"/>
    <xf numFmtId="10" fontId="10" fillId="4" borderId="9" applyNumberFormat="0" applyBorder="0" applyAlignment="0" applyProtection="0"/>
    <xf numFmtId="0" fontId="25" fillId="0" borderId="10" applyNumberFormat="0" applyFill="0" applyAlignment="0" applyProtection="0"/>
    <xf numFmtId="171" fontId="26" fillId="0" borderId="0" applyFont="0" applyFill="0" applyBorder="0" applyAlignment="0" applyProtection="0"/>
    <xf numFmtId="170" fontId="9" fillId="0" borderId="0" applyFont="0" applyFill="0" applyBorder="0" applyAlignment="0" applyProtection="0"/>
    <xf numFmtId="4" fontId="27" fillId="0" borderId="0" applyFont="0" applyFill="0" applyBorder="0" applyAlignment="0" applyProtection="0"/>
    <xf numFmtId="42" fontId="9" fillId="0" borderId="0" applyFont="0" applyFill="0" applyBorder="0" applyAlignment="0" applyProtection="0"/>
    <xf numFmtId="172" fontId="9" fillId="0" borderId="0" applyFont="0" applyFill="0" applyBorder="0" applyAlignment="0" applyProtection="0"/>
    <xf numFmtId="0" fontId="28" fillId="26" borderId="0" applyNumberFormat="0" applyBorder="0" applyAlignment="0" applyProtection="0"/>
    <xf numFmtId="173" fontId="29" fillId="0" borderId="0"/>
    <xf numFmtId="0" fontId="26" fillId="0" borderId="0"/>
    <xf numFmtId="0" fontId="14" fillId="27" borderId="11" applyNumberFormat="0" applyFont="0" applyAlignment="0" applyProtection="0"/>
    <xf numFmtId="0" fontId="9" fillId="0" borderId="0" applyFont="0" applyFill="0" applyBorder="0" applyAlignment="0" applyProtection="0"/>
    <xf numFmtId="0" fontId="9" fillId="0" borderId="0" applyFont="0" applyFill="0" applyBorder="0" applyAlignment="0" applyProtection="0"/>
    <xf numFmtId="0" fontId="31" fillId="23" borderId="12" applyNumberFormat="0" applyAlignment="0" applyProtection="0"/>
    <xf numFmtId="9" fontId="9" fillId="0" borderId="0" applyFont="0" applyFill="0" applyBorder="0" applyAlignment="0" applyProtection="0"/>
    <xf numFmtId="10" fontId="9" fillId="0" borderId="0" applyFont="0" applyFill="0" applyBorder="0" applyAlignment="0" applyProtection="0"/>
    <xf numFmtId="9" fontId="14" fillId="0" borderId="0" applyFont="0" applyFill="0" applyBorder="0" applyAlignment="0" applyProtection="0"/>
    <xf numFmtId="0" fontId="30" fillId="0" borderId="0" applyNumberFormat="0" applyFont="0" applyFill="0" applyBorder="0" applyAlignment="0" applyProtection="0">
      <alignment horizontal="left"/>
    </xf>
    <xf numFmtId="15" fontId="30" fillId="0" borderId="0" applyFont="0" applyFill="0" applyBorder="0" applyAlignment="0" applyProtection="0"/>
    <xf numFmtId="4" fontId="30" fillId="0" borderId="0" applyFont="0" applyFill="0" applyBorder="0" applyAlignment="0" applyProtection="0"/>
    <xf numFmtId="0" fontId="32" fillId="0" borderId="13">
      <alignment horizontal="center"/>
    </xf>
    <xf numFmtId="3" fontId="30" fillId="0" borderId="0" applyFont="0" applyFill="0" applyBorder="0" applyAlignment="0" applyProtection="0"/>
    <xf numFmtId="0" fontId="30" fillId="28" borderId="0" applyNumberFormat="0" applyFont="0" applyBorder="0" applyAlignment="0" applyProtection="0"/>
    <xf numFmtId="3" fontId="42" fillId="29" borderId="0" applyFont="0" applyFill="0" applyBorder="0" applyAlignment="0" applyProtection="0"/>
    <xf numFmtId="4" fontId="33" fillId="30" borderId="12" applyNumberFormat="0" applyProtection="0">
      <alignment vertical="center"/>
    </xf>
    <xf numFmtId="4" fontId="34" fillId="30" borderId="12" applyNumberFormat="0" applyProtection="0">
      <alignment vertical="center"/>
    </xf>
    <xf numFmtId="4" fontId="33" fillId="30" borderId="12" applyNumberFormat="0" applyProtection="0">
      <alignment horizontal="left" vertical="center" indent="1"/>
    </xf>
    <xf numFmtId="4" fontId="33" fillId="30" borderId="12" applyNumberFormat="0" applyProtection="0">
      <alignment horizontal="left" vertical="center" indent="1"/>
    </xf>
    <xf numFmtId="0" fontId="9" fillId="31" borderId="12" applyNumberFormat="0" applyProtection="0">
      <alignment horizontal="left" vertical="center" indent="1"/>
    </xf>
    <xf numFmtId="4" fontId="33" fillId="32" borderId="12" applyNumberFormat="0" applyProtection="0">
      <alignment horizontal="right" vertical="center"/>
    </xf>
    <xf numFmtId="4" fontId="33" fillId="33" borderId="12" applyNumberFormat="0" applyProtection="0">
      <alignment horizontal="right" vertical="center"/>
    </xf>
    <xf numFmtId="4" fontId="33" fillId="34" borderId="12" applyNumberFormat="0" applyProtection="0">
      <alignment horizontal="right" vertical="center"/>
    </xf>
    <xf numFmtId="4" fontId="33" fillId="35" borderId="12" applyNumberFormat="0" applyProtection="0">
      <alignment horizontal="right" vertical="center"/>
    </xf>
    <xf numFmtId="4" fontId="33" fillId="36" borderId="12" applyNumberFormat="0" applyProtection="0">
      <alignment horizontal="right" vertical="center"/>
    </xf>
    <xf numFmtId="4" fontId="33" fillId="37" borderId="12" applyNumberFormat="0" applyProtection="0">
      <alignment horizontal="right" vertical="center"/>
    </xf>
    <xf numFmtId="4" fontId="33" fillId="38" borderId="12" applyNumberFormat="0" applyProtection="0">
      <alignment horizontal="right" vertical="center"/>
    </xf>
    <xf numFmtId="4" fontId="33" fillId="39" borderId="12" applyNumberFormat="0" applyProtection="0">
      <alignment horizontal="right" vertical="center"/>
    </xf>
    <xf numFmtId="4" fontId="33" fillId="40" borderId="12" applyNumberFormat="0" applyProtection="0">
      <alignment horizontal="right" vertical="center"/>
    </xf>
    <xf numFmtId="4" fontId="35" fillId="41" borderId="12" applyNumberFormat="0" applyProtection="0">
      <alignment horizontal="left" vertical="center" indent="1"/>
    </xf>
    <xf numFmtId="4" fontId="33" fillId="42" borderId="14" applyNumberFormat="0" applyProtection="0">
      <alignment horizontal="left" vertical="center" indent="1"/>
    </xf>
    <xf numFmtId="4" fontId="36" fillId="43" borderId="0" applyNumberFormat="0" applyProtection="0">
      <alignment horizontal="left" vertical="center" indent="1"/>
    </xf>
    <xf numFmtId="0" fontId="9" fillId="31" borderId="12" applyNumberFormat="0" applyProtection="0">
      <alignment horizontal="left" vertical="center" indent="1"/>
    </xf>
    <xf numFmtId="4" fontId="33" fillId="42" borderId="12" applyNumberFormat="0" applyProtection="0">
      <alignment horizontal="left" vertical="center" indent="1"/>
    </xf>
    <xf numFmtId="4" fontId="33" fillId="44" borderId="12" applyNumberFormat="0" applyProtection="0">
      <alignment horizontal="left" vertical="center" indent="1"/>
    </xf>
    <xf numFmtId="0" fontId="9" fillId="44" borderId="12" applyNumberFormat="0" applyProtection="0">
      <alignment horizontal="left" vertical="center" indent="1"/>
    </xf>
    <xf numFmtId="0" fontId="9" fillId="44" borderId="12" applyNumberFormat="0" applyProtection="0">
      <alignment horizontal="left" vertical="center" indent="1"/>
    </xf>
    <xf numFmtId="0" fontId="9" fillId="45" borderId="12" applyNumberFormat="0" applyProtection="0">
      <alignment horizontal="left" vertical="center" indent="1"/>
    </xf>
    <xf numFmtId="0" fontId="9" fillId="45" borderId="12" applyNumberFormat="0" applyProtection="0">
      <alignment horizontal="left" vertical="center" indent="1"/>
    </xf>
    <xf numFmtId="0" fontId="9" fillId="25" borderId="12" applyNumberFormat="0" applyProtection="0">
      <alignment horizontal="left" vertical="center" indent="1"/>
    </xf>
    <xf numFmtId="0" fontId="9" fillId="25" borderId="12" applyNumberFormat="0" applyProtection="0">
      <alignment horizontal="left" vertical="center" indent="1"/>
    </xf>
    <xf numFmtId="0" fontId="9" fillId="31" borderId="12" applyNumberFormat="0" applyProtection="0">
      <alignment horizontal="left" vertical="center" indent="1"/>
    </xf>
    <xf numFmtId="0" fontId="9" fillId="31" borderId="12" applyNumberFormat="0" applyProtection="0">
      <alignment horizontal="left" vertical="center" indent="1"/>
    </xf>
    <xf numFmtId="4" fontId="33" fillId="4" borderId="12" applyNumberFormat="0" applyProtection="0">
      <alignment vertical="center"/>
    </xf>
    <xf numFmtId="4" fontId="34" fillId="4" borderId="12" applyNumberFormat="0" applyProtection="0">
      <alignment vertical="center"/>
    </xf>
    <xf numFmtId="4" fontId="33" fillId="4" borderId="12" applyNumberFormat="0" applyProtection="0">
      <alignment horizontal="left" vertical="center" indent="1"/>
    </xf>
    <xf numFmtId="4" fontId="33" fillId="4" borderId="12" applyNumberFormat="0" applyProtection="0">
      <alignment horizontal="left" vertical="center" indent="1"/>
    </xf>
    <xf numFmtId="4" fontId="33" fillId="42" borderId="12" applyNumberFormat="0" applyProtection="0">
      <alignment horizontal="right" vertical="center"/>
    </xf>
    <xf numFmtId="4" fontId="34" fillId="42" borderId="12" applyNumberFormat="0" applyProtection="0">
      <alignment horizontal="right" vertical="center"/>
    </xf>
    <xf numFmtId="0" fontId="9" fillId="31" borderId="12" applyNumberFormat="0" applyProtection="0">
      <alignment horizontal="left" vertical="center" indent="1"/>
    </xf>
    <xf numFmtId="0" fontId="9" fillId="31" borderId="12" applyNumberFormat="0" applyProtection="0">
      <alignment horizontal="left" vertical="center" indent="1"/>
    </xf>
    <xf numFmtId="0" fontId="37" fillId="0" borderId="0"/>
    <xf numFmtId="4" fontId="11" fillId="42" borderId="12" applyNumberFormat="0" applyProtection="0">
      <alignment horizontal="right" vertical="center"/>
    </xf>
    <xf numFmtId="0" fontId="9" fillId="0" borderId="0"/>
    <xf numFmtId="0" fontId="38" fillId="0" borderId="0" applyNumberFormat="0" applyFill="0" applyBorder="0" applyAlignment="0" applyProtection="0"/>
    <xf numFmtId="0" fontId="39" fillId="0" borderId="15" applyNumberFormat="0" applyFill="0" applyAlignment="0" applyProtection="0"/>
    <xf numFmtId="3" fontId="40" fillId="0" borderId="2" applyNumberFormat="0"/>
    <xf numFmtId="0" fontId="41" fillId="0" borderId="0" applyNumberFormat="0" applyFill="0" applyBorder="0" applyAlignment="0" applyProtection="0"/>
    <xf numFmtId="0" fontId="9" fillId="0" borderId="0" applyNumberFormat="0" applyFill="0" applyBorder="0" applyAlignment="0" applyProtection="0"/>
    <xf numFmtId="0" fontId="5" fillId="0" borderId="0"/>
    <xf numFmtId="0" fontId="43" fillId="0" borderId="0"/>
    <xf numFmtId="0" fontId="9" fillId="0" borderId="0" applyNumberFormat="0" applyFill="0" applyBorder="0" applyAlignment="0" applyProtection="0"/>
    <xf numFmtId="9" fontId="5" fillId="0" borderId="0" applyFont="0" applyFill="0" applyBorder="0" applyAlignment="0" applyProtection="0"/>
    <xf numFmtId="0" fontId="44" fillId="0" borderId="0" applyNumberFormat="0" applyFont="0" applyFill="0" applyBorder="0" applyAlignment="0" applyProtection="0"/>
    <xf numFmtId="0" fontId="45" fillId="0" borderId="0"/>
    <xf numFmtId="0" fontId="46" fillId="0" borderId="0"/>
    <xf numFmtId="174" fontId="47" fillId="0" borderId="0"/>
    <xf numFmtId="174" fontId="9" fillId="0" borderId="0"/>
    <xf numFmtId="174" fontId="49" fillId="0" borderId="0"/>
    <xf numFmtId="0" fontId="50" fillId="0" borderId="0">
      <alignment horizontal="left"/>
    </xf>
    <xf numFmtId="175" fontId="48" fillId="0" borderId="16" applyFill="0" applyBorder="0" applyProtection="0">
      <alignment horizontal="right" vertical="top"/>
    </xf>
    <xf numFmtId="174" fontId="51" fillId="0" borderId="16">
      <alignment horizontal="left"/>
    </xf>
    <xf numFmtId="0" fontId="50" fillId="0" borderId="16">
      <alignment horizontal="right" wrapText="1"/>
    </xf>
    <xf numFmtId="0" fontId="48" fillId="0" borderId="0" applyFill="0" applyBorder="0">
      <alignment horizontal="left" vertical="top" wrapText="1"/>
    </xf>
    <xf numFmtId="176" fontId="48" fillId="0" borderId="0" applyFill="0" applyBorder="0">
      <alignment horizontal="right" vertical="top"/>
    </xf>
    <xf numFmtId="177" fontId="48" fillId="0" borderId="0" applyFill="0" applyBorder="0">
      <alignment horizontal="right" vertical="top"/>
    </xf>
    <xf numFmtId="49" fontId="48" fillId="0" borderId="0" applyNumberFormat="0" applyFill="0" applyBorder="0" applyProtection="0">
      <alignment horizontal="center" vertical="top"/>
    </xf>
    <xf numFmtId="174" fontId="52" fillId="0" borderId="0">
      <alignment horizontal="left" vertical="top"/>
    </xf>
    <xf numFmtId="0" fontId="53" fillId="0" borderId="0"/>
    <xf numFmtId="0" fontId="5" fillId="0" borderId="0"/>
    <xf numFmtId="0" fontId="54" fillId="0" borderId="0"/>
    <xf numFmtId="0" fontId="5" fillId="0" borderId="0"/>
    <xf numFmtId="169" fontId="5" fillId="0" borderId="0" applyFont="0" applyFill="0" applyBorder="0" applyAlignment="0" applyProtection="0"/>
    <xf numFmtId="9" fontId="5" fillId="0" borderId="0" applyFont="0" applyFill="0" applyBorder="0" applyAlignment="0" applyProtection="0"/>
    <xf numFmtId="0" fontId="5" fillId="0" borderId="0"/>
    <xf numFmtId="0" fontId="55" fillId="0" borderId="0"/>
    <xf numFmtId="0" fontId="56" fillId="0" borderId="0"/>
    <xf numFmtId="0" fontId="57" fillId="0" borderId="0"/>
    <xf numFmtId="0" fontId="58" fillId="0" borderId="0"/>
    <xf numFmtId="0" fontId="58" fillId="0" borderId="0"/>
    <xf numFmtId="0" fontId="55" fillId="0" borderId="0"/>
    <xf numFmtId="0" fontId="56" fillId="0" borderId="0"/>
    <xf numFmtId="0" fontId="57" fillId="0" borderId="0"/>
    <xf numFmtId="0" fontId="61" fillId="0" borderId="0" applyNumberFormat="0" applyFill="0" applyBorder="0" applyAlignment="0" applyProtection="0"/>
    <xf numFmtId="44" fontId="9" fillId="0" borderId="0" applyFont="0" applyFill="0" applyBorder="0" applyAlignment="0" applyProtection="0"/>
    <xf numFmtId="0" fontId="70" fillId="0" borderId="0">
      <alignment vertical="top"/>
    </xf>
    <xf numFmtId="43" fontId="71" fillId="0" borderId="0">
      <alignment vertical="top"/>
    </xf>
  </cellStyleXfs>
  <cellXfs count="448">
    <xf numFmtId="0" fontId="0" fillId="0" borderId="0" xfId="0"/>
    <xf numFmtId="0" fontId="1" fillId="2" borderId="0" xfId="0" applyFont="1" applyFill="1"/>
    <xf numFmtId="164" fontId="1" fillId="2" borderId="0" xfId="0" applyNumberFormat="1" applyFont="1" applyFill="1"/>
    <xf numFmtId="164" fontId="1" fillId="2" borderId="0" xfId="0" applyNumberFormat="1" applyFont="1" applyFill="1" applyBorder="1"/>
    <xf numFmtId="9" fontId="1" fillId="2" borderId="0" xfId="2" applyFont="1" applyFill="1"/>
    <xf numFmtId="167" fontId="1" fillId="2" borderId="0" xfId="0" applyNumberFormat="1" applyFont="1" applyFill="1"/>
    <xf numFmtId="165" fontId="1" fillId="2" borderId="0" xfId="0" applyNumberFormat="1" applyFont="1" applyFill="1" applyBorder="1"/>
    <xf numFmtId="9" fontId="1" fillId="2" borderId="0" xfId="2" applyFont="1" applyFill="1" applyBorder="1"/>
    <xf numFmtId="164" fontId="7" fillId="2" borderId="0" xfId="0" applyNumberFormat="1" applyFont="1" applyFill="1" applyBorder="1"/>
    <xf numFmtId="164" fontId="1" fillId="2" borderId="0" xfId="0" applyNumberFormat="1" applyFont="1" applyFill="1" applyBorder="1" applyAlignment="1">
      <alignment horizontal="right"/>
    </xf>
    <xf numFmtId="178" fontId="1" fillId="2" borderId="0" xfId="0" applyNumberFormat="1" applyFont="1" applyFill="1"/>
    <xf numFmtId="0" fontId="60" fillId="2" borderId="0" xfId="0" applyFont="1" applyFill="1"/>
    <xf numFmtId="2" fontId="1" fillId="2" borderId="0" xfId="0" applyNumberFormat="1" applyFont="1" applyFill="1"/>
    <xf numFmtId="178" fontId="1" fillId="2" borderId="0" xfId="0" applyNumberFormat="1" applyFont="1" applyFill="1" applyBorder="1"/>
    <xf numFmtId="10" fontId="1" fillId="2" borderId="0" xfId="2" applyNumberFormat="1" applyFont="1" applyFill="1"/>
    <xf numFmtId="0" fontId="1" fillId="2" borderId="0" xfId="0" applyNumberFormat="1" applyFont="1" applyFill="1"/>
    <xf numFmtId="9" fontId="4" fillId="2" borderId="0" xfId="2" applyFont="1" applyFill="1" applyBorder="1"/>
    <xf numFmtId="10" fontId="8" fillId="2" borderId="0" xfId="2" applyNumberFormat="1" applyFont="1" applyFill="1"/>
    <xf numFmtId="164" fontId="63" fillId="2" borderId="0" xfId="0" applyNumberFormat="1" applyFont="1" applyFill="1"/>
    <xf numFmtId="165" fontId="1" fillId="47" borderId="0" xfId="0" applyNumberFormat="1" applyFont="1" applyFill="1" applyBorder="1"/>
    <xf numFmtId="164" fontId="1" fillId="47" borderId="0" xfId="0" applyNumberFormat="1" applyFont="1" applyFill="1" applyBorder="1"/>
    <xf numFmtId="10" fontId="6" fillId="2" borderId="0" xfId="2" applyNumberFormat="1" applyFont="1" applyFill="1" applyBorder="1"/>
    <xf numFmtId="10" fontId="6" fillId="47" borderId="0" xfId="2" applyNumberFormat="1" applyFont="1" applyFill="1" applyBorder="1"/>
    <xf numFmtId="164" fontId="4" fillId="2" borderId="0" xfId="0" applyNumberFormat="1" applyFont="1" applyFill="1" applyBorder="1" applyAlignment="1">
      <alignment wrapText="1"/>
    </xf>
    <xf numFmtId="164" fontId="2" fillId="2" borderId="0" xfId="0" applyNumberFormat="1" applyFont="1" applyFill="1" applyBorder="1" applyAlignment="1">
      <alignment horizontal="right" wrapText="1"/>
    </xf>
    <xf numFmtId="164" fontId="2" fillId="2" borderId="0" xfId="0" applyNumberFormat="1" applyFont="1" applyFill="1" applyBorder="1"/>
    <xf numFmtId="165" fontId="2" fillId="2" borderId="0" xfId="0" applyNumberFormat="1" applyFont="1" applyFill="1" applyBorder="1"/>
    <xf numFmtId="164" fontId="1" fillId="2" borderId="0" xfId="0" applyNumberFormat="1" applyFont="1" applyFill="1" applyBorder="1" applyAlignment="1">
      <alignment vertical="center"/>
    </xf>
    <xf numFmtId="164" fontId="1" fillId="2" borderId="0" xfId="0" applyNumberFormat="1" applyFont="1" applyFill="1" applyAlignment="1">
      <alignment vertical="center"/>
    </xf>
    <xf numFmtId="164" fontId="8" fillId="46" borderId="0" xfId="0" applyNumberFormat="1" applyFont="1" applyFill="1" applyBorder="1" applyAlignment="1">
      <alignment horizontal="left" vertical="center"/>
    </xf>
    <xf numFmtId="164" fontId="1" fillId="2" borderId="0" xfId="0" applyNumberFormat="1" applyFont="1" applyFill="1" applyBorder="1" applyAlignment="1">
      <alignment horizontal="left" vertical="center"/>
    </xf>
    <xf numFmtId="164" fontId="1" fillId="2" borderId="0" xfId="0" applyNumberFormat="1" applyFont="1" applyFill="1" applyAlignment="1">
      <alignment horizontal="left" vertical="center"/>
    </xf>
    <xf numFmtId="164" fontId="1" fillId="47" borderId="0" xfId="0" applyNumberFormat="1" applyFont="1" applyFill="1"/>
    <xf numFmtId="164" fontId="60" fillId="2" borderId="0" xfId="0" applyNumberFormat="1" applyFont="1" applyFill="1" applyBorder="1"/>
    <xf numFmtId="164" fontId="60" fillId="2" borderId="0" xfId="0" applyNumberFormat="1" applyFont="1" applyFill="1" applyBorder="1" applyAlignment="1">
      <alignment horizontal="right"/>
    </xf>
    <xf numFmtId="164" fontId="40" fillId="2" borderId="0" xfId="0" applyNumberFormat="1" applyFont="1" applyFill="1" applyBorder="1"/>
    <xf numFmtId="164" fontId="60" fillId="2" borderId="0" xfId="0" applyNumberFormat="1" applyFont="1" applyFill="1" applyBorder="1" applyAlignment="1">
      <alignment horizontal="left" vertical="center"/>
    </xf>
    <xf numFmtId="9" fontId="67" fillId="46" borderId="0" xfId="2" applyFont="1" applyFill="1" applyBorder="1"/>
    <xf numFmtId="0" fontId="68" fillId="2" borderId="0" xfId="0" applyFont="1" applyFill="1"/>
    <xf numFmtId="0" fontId="62" fillId="2" borderId="0" xfId="0" applyFont="1" applyFill="1"/>
    <xf numFmtId="0" fontId="40" fillId="2" borderId="0" xfId="0" applyFont="1" applyFill="1"/>
    <xf numFmtId="0" fontId="10" fillId="2" borderId="0" xfId="0" applyFont="1" applyFill="1" applyAlignment="1">
      <alignment horizontal="left"/>
    </xf>
    <xf numFmtId="0" fontId="60" fillId="2" borderId="0" xfId="165" applyFont="1" applyFill="1"/>
    <xf numFmtId="0" fontId="59" fillId="46" borderId="0" xfId="0" applyFont="1" applyFill="1" applyAlignment="1">
      <alignment horizontal="left"/>
    </xf>
    <xf numFmtId="0" fontId="8" fillId="46" borderId="0" xfId="0" applyFont="1" applyFill="1"/>
    <xf numFmtId="165" fontId="2" fillId="47" borderId="0" xfId="0" applyNumberFormat="1" applyFont="1" applyFill="1" applyBorder="1"/>
    <xf numFmtId="9" fontId="40" fillId="2" borderId="0" xfId="2" applyFont="1" applyFill="1" applyBorder="1" applyAlignment="1">
      <alignment horizontal="right"/>
    </xf>
    <xf numFmtId="0" fontId="8" fillId="2" borderId="0" xfId="133" applyNumberFormat="1" applyFont="1" applyFill="1" applyBorder="1" applyAlignment="1">
      <alignment vertical="center"/>
    </xf>
    <xf numFmtId="164" fontId="64" fillId="2" borderId="0" xfId="0" applyNumberFormat="1" applyFont="1" applyFill="1" applyBorder="1"/>
    <xf numFmtId="10" fontId="1" fillId="2" borderId="0" xfId="2" applyNumberFormat="1" applyFont="1" applyFill="1" applyBorder="1"/>
    <xf numFmtId="165" fontId="2" fillId="2" borderId="0" xfId="0" applyNumberFormat="1" applyFont="1" applyFill="1" applyBorder="1" applyAlignment="1">
      <alignment horizontal="right"/>
    </xf>
    <xf numFmtId="164" fontId="2" fillId="47" borderId="2" xfId="0" applyNumberFormat="1" applyFont="1" applyFill="1" applyBorder="1"/>
    <xf numFmtId="165" fontId="2" fillId="47" borderId="0" xfId="0" applyNumberFormat="1" applyFont="1" applyFill="1" applyBorder="1" applyAlignment="1">
      <alignment horizontal="right"/>
    </xf>
    <xf numFmtId="164" fontId="2" fillId="47" borderId="0" xfId="0" applyNumberFormat="1" applyFont="1" applyFill="1"/>
    <xf numFmtId="164" fontId="64" fillId="47" borderId="0" xfId="0" applyNumberFormat="1" applyFont="1" applyFill="1"/>
    <xf numFmtId="164" fontId="65" fillId="2" borderId="0" xfId="0" applyNumberFormat="1" applyFont="1" applyFill="1" applyBorder="1"/>
    <xf numFmtId="10" fontId="1" fillId="47" borderId="0" xfId="2" applyNumberFormat="1" applyFont="1" applyFill="1" applyBorder="1"/>
    <xf numFmtId="10" fontId="8" fillId="46" borderId="0" xfId="2" applyNumberFormat="1" applyFont="1" applyFill="1" applyBorder="1"/>
    <xf numFmtId="166" fontId="1" fillId="47" borderId="0" xfId="2" applyNumberFormat="1" applyFont="1" applyFill="1" applyBorder="1"/>
    <xf numFmtId="164" fontId="1" fillId="47" borderId="0" xfId="0" applyNumberFormat="1" applyFont="1" applyFill="1" applyBorder="1" applyAlignment="1">
      <alignment horizontal="right"/>
    </xf>
    <xf numFmtId="10" fontId="8" fillId="2" borderId="0" xfId="2" applyNumberFormat="1" applyFont="1" applyFill="1" applyBorder="1"/>
    <xf numFmtId="0" fontId="70" fillId="2" borderId="0" xfId="167" applyFill="1">
      <alignment vertical="top"/>
    </xf>
    <xf numFmtId="0" fontId="72" fillId="2" borderId="0" xfId="167" applyFont="1" applyFill="1">
      <alignment vertical="top"/>
    </xf>
    <xf numFmtId="0" fontId="73" fillId="2" borderId="0" xfId="167" applyFont="1" applyFill="1">
      <alignment vertical="top"/>
    </xf>
    <xf numFmtId="0" fontId="70" fillId="0" borderId="0" xfId="167">
      <alignment vertical="top"/>
    </xf>
    <xf numFmtId="0" fontId="69" fillId="2" borderId="0" xfId="1" applyFont="1" applyFill="1" applyBorder="1" applyAlignment="1">
      <alignment horizontal="left" wrapText="1"/>
    </xf>
    <xf numFmtId="0" fontId="1" fillId="2" borderId="0" xfId="2" applyNumberFormat="1" applyFont="1" applyFill="1" applyBorder="1"/>
    <xf numFmtId="0" fontId="1" fillId="2" borderId="0" xfId="0" applyNumberFormat="1" applyFont="1" applyFill="1" applyBorder="1"/>
    <xf numFmtId="0" fontId="2" fillId="2" borderId="0" xfId="0" applyNumberFormat="1" applyFont="1" applyFill="1" applyBorder="1"/>
    <xf numFmtId="164" fontId="2" fillId="2" borderId="0" xfId="0" applyNumberFormat="1" applyFont="1" applyFill="1" applyBorder="1" applyAlignment="1">
      <alignment horizontal="right"/>
    </xf>
    <xf numFmtId="0" fontId="1" fillId="2" borderId="0" xfId="2" applyNumberFormat="1" applyFont="1" applyFill="1" applyBorder="1" applyAlignment="1">
      <alignment horizontal="right"/>
    </xf>
    <xf numFmtId="0" fontId="1" fillId="2" borderId="0" xfId="2" applyNumberFormat="1" applyFont="1" applyFill="1" applyBorder="1" applyAlignment="1">
      <alignment horizontal="right" vertical="center"/>
    </xf>
    <xf numFmtId="0" fontId="1" fillId="47" borderId="0" xfId="2" applyNumberFormat="1" applyFont="1" applyFill="1" applyBorder="1" applyAlignment="1">
      <alignment horizontal="right" vertical="center"/>
    </xf>
    <xf numFmtId="0" fontId="8" fillId="46" borderId="0" xfId="0" applyNumberFormat="1" applyFont="1" applyFill="1" applyAlignment="1">
      <alignment horizontal="right" vertical="center"/>
    </xf>
    <xf numFmtId="164" fontId="8" fillId="46" borderId="0" xfId="0" applyNumberFormat="1" applyFont="1" applyFill="1" applyBorder="1" applyAlignment="1">
      <alignment horizontal="right" vertical="center"/>
    </xf>
    <xf numFmtId="182" fontId="1" fillId="47" borderId="0" xfId="0" applyNumberFormat="1" applyFont="1" applyFill="1" applyBorder="1" applyAlignment="1">
      <alignment horizontal="right" vertical="center"/>
    </xf>
    <xf numFmtId="164" fontId="8" fillId="46" borderId="0" xfId="0" applyNumberFormat="1" applyFont="1" applyFill="1" applyBorder="1" applyAlignment="1">
      <alignment horizontal="right"/>
    </xf>
    <xf numFmtId="10" fontId="64" fillId="47" borderId="0" xfId="2" applyNumberFormat="1" applyFont="1" applyFill="1" applyBorder="1" applyAlignment="1">
      <alignment horizontal="right"/>
    </xf>
    <xf numFmtId="10" fontId="40" fillId="2" borderId="0" xfId="2" applyNumberFormat="1" applyFont="1" applyFill="1" applyBorder="1"/>
    <xf numFmtId="10" fontId="2" fillId="2" borderId="0" xfId="2" applyNumberFormat="1" applyFont="1" applyFill="1" applyBorder="1"/>
    <xf numFmtId="165" fontId="2" fillId="2" borderId="18" xfId="0" applyNumberFormat="1" applyFont="1" applyFill="1" applyBorder="1" applyAlignment="1">
      <alignment horizontal="right"/>
    </xf>
    <xf numFmtId="164" fontId="2" fillId="47" borderId="0" xfId="0" applyNumberFormat="1" applyFont="1" applyFill="1" applyBorder="1" applyAlignment="1">
      <alignment horizontal="right"/>
    </xf>
    <xf numFmtId="164" fontId="2" fillId="2" borderId="18" xfId="0" applyNumberFormat="1" applyFont="1" applyFill="1" applyBorder="1"/>
    <xf numFmtId="0" fontId="64" fillId="2" borderId="0" xfId="2" applyNumberFormat="1" applyFont="1" applyFill="1" applyBorder="1"/>
    <xf numFmtId="164" fontId="66" fillId="2" borderId="0" xfId="165" applyNumberFormat="1" applyFont="1" applyFill="1" applyBorder="1"/>
    <xf numFmtId="182" fontId="2" fillId="2" borderId="0" xfId="0" applyNumberFormat="1" applyFont="1" applyFill="1" applyBorder="1" applyAlignment="1">
      <alignment horizontal="right"/>
    </xf>
    <xf numFmtId="10" fontId="2" fillId="2" borderId="0" xfId="2" applyNumberFormat="1" applyFont="1" applyFill="1" applyBorder="1" applyAlignment="1">
      <alignment horizontal="right"/>
    </xf>
    <xf numFmtId="10" fontId="1" fillId="2" borderId="0" xfId="2" applyNumberFormat="1" applyFont="1" applyFill="1" applyBorder="1" applyAlignment="1">
      <alignment horizontal="right"/>
    </xf>
    <xf numFmtId="0" fontId="1" fillId="47" borderId="0" xfId="2" applyNumberFormat="1" applyFont="1" applyFill="1" applyBorder="1" applyAlignment="1">
      <alignment horizontal="right"/>
    </xf>
    <xf numFmtId="10" fontId="1" fillId="47" borderId="0" xfId="2" applyNumberFormat="1" applyFont="1" applyFill="1" applyBorder="1" applyAlignment="1">
      <alignment horizontal="right"/>
    </xf>
    <xf numFmtId="0" fontId="8" fillId="46" borderId="0" xfId="0" applyNumberFormat="1" applyFont="1" applyFill="1" applyAlignment="1">
      <alignment horizontal="right"/>
    </xf>
    <xf numFmtId="10" fontId="1" fillId="2" borderId="18" xfId="2" applyNumberFormat="1" applyFont="1" applyFill="1" applyBorder="1" applyAlignment="1">
      <alignment horizontal="right"/>
    </xf>
    <xf numFmtId="164" fontId="64" fillId="2" borderId="0" xfId="165" applyNumberFormat="1" applyFont="1" applyFill="1" applyBorder="1"/>
    <xf numFmtId="182" fontId="2" fillId="47" borderId="0" xfId="0" applyNumberFormat="1" applyFont="1" applyFill="1" applyBorder="1"/>
    <xf numFmtId="10" fontId="40" fillId="47" borderId="0" xfId="2" applyNumberFormat="1" applyFont="1" applyFill="1" applyBorder="1"/>
    <xf numFmtId="10" fontId="2" fillId="47" borderId="0" xfId="2" applyNumberFormat="1" applyFont="1" applyFill="1" applyBorder="1"/>
    <xf numFmtId="182" fontId="2" fillId="47" borderId="0" xfId="0" applyNumberFormat="1" applyFont="1" applyFill="1" applyBorder="1" applyAlignment="1">
      <alignment horizontal="right"/>
    </xf>
    <xf numFmtId="10" fontId="2" fillId="47" borderId="0" xfId="2" applyNumberFormat="1" applyFont="1" applyFill="1" applyBorder="1" applyAlignment="1">
      <alignment horizontal="right"/>
    </xf>
    <xf numFmtId="182" fontId="8" fillId="46" borderId="0" xfId="0" applyNumberFormat="1" applyFont="1" applyFill="1" applyBorder="1"/>
    <xf numFmtId="182" fontId="1" fillId="47" borderId="0" xfId="0" applyNumberFormat="1" applyFont="1" applyFill="1" applyAlignment="1">
      <alignment horizontal="right"/>
    </xf>
    <xf numFmtId="164" fontId="1" fillId="47" borderId="0" xfId="0" applyNumberFormat="1" applyFont="1" applyFill="1" applyAlignment="1">
      <alignment horizontal="right"/>
    </xf>
    <xf numFmtId="178" fontId="8" fillId="46" borderId="0" xfId="0" applyNumberFormat="1" applyFont="1" applyFill="1" applyBorder="1" applyAlignment="1">
      <alignment horizontal="right"/>
    </xf>
    <xf numFmtId="165" fontId="8" fillId="46" borderId="0" xfId="0" applyNumberFormat="1" applyFont="1" applyFill="1" applyBorder="1" applyAlignment="1">
      <alignment horizontal="right"/>
    </xf>
    <xf numFmtId="178" fontId="2" fillId="2" borderId="0" xfId="0" applyNumberFormat="1" applyFont="1" applyFill="1" applyBorder="1" applyAlignment="1">
      <alignment horizontal="right"/>
    </xf>
    <xf numFmtId="0" fontId="1" fillId="2" borderId="0" xfId="0" applyNumberFormat="1" applyFont="1" applyFill="1" applyBorder="1" applyAlignment="1">
      <alignment horizontal="right"/>
    </xf>
    <xf numFmtId="179" fontId="1" fillId="2" borderId="0" xfId="2" applyNumberFormat="1" applyFont="1" applyFill="1"/>
    <xf numFmtId="183" fontId="1" fillId="2" borderId="0" xfId="0" applyNumberFormat="1" applyFont="1" applyFill="1"/>
    <xf numFmtId="164" fontId="8" fillId="2" borderId="0" xfId="0" applyNumberFormat="1" applyFont="1" applyFill="1" applyBorder="1" applyAlignment="1">
      <alignment horizontal="right"/>
    </xf>
    <xf numFmtId="178" fontId="2" fillId="47" borderId="0" xfId="0" applyNumberFormat="1" applyFont="1" applyFill="1" applyBorder="1" applyAlignment="1">
      <alignment horizontal="right"/>
    </xf>
    <xf numFmtId="0" fontId="1" fillId="47" borderId="0" xfId="0" applyNumberFormat="1" applyFont="1" applyFill="1"/>
    <xf numFmtId="0" fontId="1" fillId="47" borderId="0" xfId="0" applyNumberFormat="1" applyFont="1" applyFill="1" applyBorder="1" applyAlignment="1">
      <alignment horizontal="right"/>
    </xf>
    <xf numFmtId="0" fontId="1" fillId="47" borderId="0" xfId="2" applyNumberFormat="1" applyFont="1" applyFill="1"/>
    <xf numFmtId="10" fontId="1" fillId="47" borderId="0" xfId="2" applyNumberFormat="1" applyFont="1" applyFill="1"/>
    <xf numFmtId="164" fontId="2" fillId="47" borderId="0" xfId="0" applyNumberFormat="1" applyFont="1" applyFill="1" applyBorder="1"/>
    <xf numFmtId="10" fontId="1" fillId="47" borderId="0" xfId="0" applyNumberFormat="1" applyFont="1" applyFill="1"/>
    <xf numFmtId="164" fontId="2" fillId="47" borderId="18" xfId="0" applyNumberFormat="1" applyFont="1" applyFill="1" applyBorder="1"/>
    <xf numFmtId="10" fontId="1" fillId="47" borderId="18" xfId="0" applyNumberFormat="1" applyFont="1" applyFill="1" applyBorder="1"/>
    <xf numFmtId="0" fontId="64" fillId="47" borderId="0" xfId="2" applyNumberFormat="1" applyFont="1" applyFill="1" applyBorder="1"/>
    <xf numFmtId="164" fontId="66" fillId="47" borderId="0" xfId="165" applyNumberFormat="1" applyFont="1" applyFill="1" applyBorder="1"/>
    <xf numFmtId="0" fontId="1" fillId="47" borderId="0" xfId="2" applyNumberFormat="1" applyFont="1" applyFill="1" applyBorder="1"/>
    <xf numFmtId="164" fontId="8" fillId="2" borderId="0" xfId="0" applyNumberFormat="1" applyFont="1" applyFill="1" applyBorder="1" applyAlignment="1">
      <alignment horizontal="right" vertical="center"/>
    </xf>
    <xf numFmtId="182" fontId="1" fillId="2" borderId="0" xfId="0" applyNumberFormat="1" applyFont="1" applyFill="1" applyBorder="1" applyAlignment="1">
      <alignment horizontal="right" vertical="center"/>
    </xf>
    <xf numFmtId="10" fontId="64" fillId="2" borderId="0" xfId="2" applyNumberFormat="1" applyFont="1" applyFill="1" applyBorder="1" applyAlignment="1">
      <alignment horizontal="right"/>
    </xf>
    <xf numFmtId="165" fontId="8" fillId="2" borderId="0" xfId="0" applyNumberFormat="1" applyFont="1" applyFill="1" applyBorder="1" applyAlignment="1">
      <alignment horizontal="right"/>
    </xf>
    <xf numFmtId="0" fontId="8" fillId="2" borderId="0" xfId="0" applyNumberFormat="1" applyFont="1" applyFill="1" applyBorder="1" applyAlignment="1">
      <alignment horizontal="right" vertical="center"/>
    </xf>
    <xf numFmtId="0" fontId="8" fillId="2" borderId="0" xfId="0" applyNumberFormat="1" applyFont="1" applyFill="1" applyBorder="1" applyAlignment="1">
      <alignment horizontal="right"/>
    </xf>
    <xf numFmtId="182" fontId="1" fillId="2" borderId="0" xfId="0" applyNumberFormat="1" applyFont="1" applyFill="1" applyBorder="1" applyAlignment="1">
      <alignment horizontal="right"/>
    </xf>
    <xf numFmtId="179" fontId="1" fillId="2" borderId="0" xfId="2" applyNumberFormat="1" applyFont="1" applyFill="1" applyBorder="1"/>
    <xf numFmtId="183" fontId="1" fillId="2" borderId="0" xfId="0" applyNumberFormat="1" applyFont="1" applyFill="1" applyBorder="1"/>
    <xf numFmtId="10" fontId="1" fillId="2" borderId="0" xfId="0" applyNumberFormat="1" applyFont="1" applyFill="1" applyBorder="1"/>
    <xf numFmtId="178" fontId="8" fillId="2" borderId="0" xfId="0" applyNumberFormat="1" applyFont="1" applyFill="1" applyBorder="1" applyAlignment="1">
      <alignment horizontal="right"/>
    </xf>
    <xf numFmtId="182" fontId="40" fillId="2" borderId="0" xfId="0" applyNumberFormat="1" applyFont="1" applyFill="1" applyBorder="1"/>
    <xf numFmtId="0" fontId="64" fillId="2" borderId="0" xfId="2" applyNumberFormat="1" applyFont="1" applyFill="1" applyBorder="1" applyAlignment="1">
      <alignment horizontal="right"/>
    </xf>
    <xf numFmtId="165" fontId="6" fillId="2" borderId="0" xfId="0" applyNumberFormat="1" applyFont="1" applyFill="1" applyBorder="1" applyAlignment="1">
      <alignment horizontal="left"/>
    </xf>
    <xf numFmtId="165" fontId="6" fillId="2" borderId="0" xfId="0" applyNumberFormat="1" applyFont="1" applyFill="1" applyBorder="1" applyAlignment="1">
      <alignment horizontal="right"/>
    </xf>
    <xf numFmtId="183" fontId="64" fillId="2" borderId="0" xfId="0" applyNumberFormat="1" applyFont="1" applyFill="1"/>
    <xf numFmtId="164" fontId="40" fillId="48" borderId="0" xfId="0" applyNumberFormat="1" applyFont="1" applyFill="1" applyBorder="1" applyAlignment="1">
      <alignment horizontal="right"/>
    </xf>
    <xf numFmtId="164" fontId="2" fillId="48" borderId="0" xfId="0" applyNumberFormat="1" applyFont="1" applyFill="1" applyBorder="1" applyAlignment="1">
      <alignment horizontal="right"/>
    </xf>
    <xf numFmtId="0" fontId="1" fillId="47" borderId="0" xfId="0" applyNumberFormat="1" applyFont="1" applyFill="1" applyBorder="1"/>
    <xf numFmtId="0" fontId="40" fillId="47" borderId="0" xfId="0" applyNumberFormat="1" applyFont="1" applyFill="1" applyBorder="1" applyAlignment="1">
      <alignment horizontal="right"/>
    </xf>
    <xf numFmtId="164" fontId="40" fillId="47" borderId="0" xfId="0" applyNumberFormat="1" applyFont="1" applyFill="1" applyBorder="1" applyAlignment="1">
      <alignment horizontal="right"/>
    </xf>
    <xf numFmtId="183" fontId="1" fillId="47" borderId="0" xfId="0" applyNumberFormat="1" applyFont="1" applyFill="1"/>
    <xf numFmtId="164" fontId="64" fillId="2" borderId="0" xfId="0" applyNumberFormat="1" applyFont="1" applyFill="1" applyBorder="1" applyAlignment="1">
      <alignment horizontal="left"/>
    </xf>
    <xf numFmtId="178" fontId="1" fillId="47" borderId="0" xfId="0" applyNumberFormat="1" applyFont="1" applyFill="1"/>
    <xf numFmtId="2" fontId="64" fillId="47" borderId="0" xfId="2" applyNumberFormat="1" applyFont="1" applyFill="1" applyBorder="1" applyAlignment="1">
      <alignment horizontal="right"/>
    </xf>
    <xf numFmtId="2" fontId="64" fillId="47" borderId="0" xfId="0" applyNumberFormat="1" applyFont="1" applyFill="1"/>
    <xf numFmtId="2" fontId="64" fillId="2" borderId="18" xfId="2" applyNumberFormat="1" applyFont="1" applyFill="1" applyBorder="1" applyAlignment="1">
      <alignment horizontal="right"/>
    </xf>
    <xf numFmtId="179" fontId="64" fillId="47" borderId="0" xfId="0" applyNumberFormat="1" applyFont="1" applyFill="1"/>
    <xf numFmtId="164" fontId="8" fillId="46" borderId="0" xfId="0" applyNumberFormat="1" applyFont="1" applyFill="1" applyBorder="1" applyAlignment="1">
      <alignment horizontal="center"/>
    </xf>
    <xf numFmtId="182" fontId="64" fillId="2" borderId="0" xfId="0" applyNumberFormat="1" applyFont="1" applyFill="1" applyBorder="1" applyAlignment="1">
      <alignment horizontal="left" vertical="center"/>
    </xf>
    <xf numFmtId="182" fontId="40" fillId="47" borderId="0" xfId="0" applyNumberFormat="1" applyFont="1" applyFill="1" applyBorder="1"/>
    <xf numFmtId="2" fontId="64" fillId="48" borderId="0" xfId="0" applyNumberFormat="1" applyFont="1" applyFill="1"/>
    <xf numFmtId="2" fontId="64" fillId="3" borderId="0" xfId="0" applyNumberFormat="1" applyFont="1" applyFill="1"/>
    <xf numFmtId="178" fontId="64" fillId="48" borderId="0" xfId="0" applyNumberFormat="1" applyFont="1" applyFill="1" applyAlignment="1">
      <alignment horizontal="right"/>
    </xf>
    <xf numFmtId="178" fontId="64" fillId="48" borderId="0" xfId="0" applyNumberFormat="1" applyFont="1" applyFill="1"/>
    <xf numFmtId="178" fontId="64" fillId="2" borderId="18" xfId="0" applyNumberFormat="1" applyFont="1" applyFill="1" applyBorder="1"/>
    <xf numFmtId="165" fontId="65" fillId="2" borderId="0" xfId="0" applyNumberFormat="1" applyFont="1" applyFill="1" applyBorder="1" applyAlignment="1">
      <alignment horizontal="right"/>
    </xf>
    <xf numFmtId="164" fontId="65" fillId="2" borderId="0" xfId="0" applyNumberFormat="1" applyFont="1" applyFill="1" applyBorder="1" applyAlignment="1">
      <alignment horizontal="right"/>
    </xf>
    <xf numFmtId="178" fontId="64" fillId="2" borderId="18" xfId="0" applyNumberFormat="1" applyFont="1" applyFill="1" applyBorder="1" applyAlignment="1">
      <alignment horizontal="right"/>
    </xf>
    <xf numFmtId="0" fontId="8" fillId="46" borderId="0" xfId="2" applyNumberFormat="1" applyFont="1" applyFill="1" applyBorder="1" applyAlignment="1">
      <alignment horizontal="right"/>
    </xf>
    <xf numFmtId="184" fontId="40" fillId="47" borderId="0" xfId="2" applyNumberFormat="1" applyFont="1" applyFill="1" applyBorder="1" applyAlignment="1">
      <alignment horizontal="right"/>
    </xf>
    <xf numFmtId="9" fontId="64" fillId="47" borderId="0" xfId="2" applyFont="1" applyFill="1" applyBorder="1"/>
    <xf numFmtId="184" fontId="40" fillId="47" borderId="18" xfId="2" applyNumberFormat="1" applyFont="1" applyFill="1" applyBorder="1" applyAlignment="1">
      <alignment horizontal="right"/>
    </xf>
    <xf numFmtId="9" fontId="64" fillId="47" borderId="18" xfId="2" applyFont="1" applyFill="1" applyBorder="1"/>
    <xf numFmtId="10" fontId="2" fillId="47" borderId="0" xfId="2" applyNumberFormat="1" applyFont="1" applyFill="1"/>
    <xf numFmtId="164" fontId="40" fillId="46" borderId="0" xfId="0" applyNumberFormat="1" applyFont="1" applyFill="1" applyBorder="1" applyAlignment="1">
      <alignment horizontal="center"/>
    </xf>
    <xf numFmtId="183" fontId="8" fillId="46" borderId="0" xfId="0" applyNumberFormat="1" applyFont="1" applyFill="1" applyAlignment="1">
      <alignment horizontal="right"/>
    </xf>
    <xf numFmtId="183" fontId="8" fillId="46" borderId="0" xfId="0" applyNumberFormat="1" applyFont="1" applyFill="1"/>
    <xf numFmtId="183" fontId="7" fillId="46" borderId="0" xfId="0" applyNumberFormat="1" applyFont="1" applyFill="1"/>
    <xf numFmtId="185" fontId="64" fillId="47" borderId="0" xfId="0" applyNumberFormat="1" applyFont="1" applyFill="1" applyBorder="1" applyAlignment="1">
      <alignment horizontal="right" vertical="center"/>
    </xf>
    <xf numFmtId="178" fontId="64" fillId="47" borderId="0" xfId="2" applyNumberFormat="1" applyFont="1" applyFill="1" applyBorder="1" applyAlignment="1">
      <alignment horizontal="right"/>
    </xf>
    <xf numFmtId="165" fontId="64" fillId="47" borderId="0" xfId="0" applyNumberFormat="1" applyFont="1" applyFill="1"/>
    <xf numFmtId="9" fontId="1" fillId="47" borderId="0" xfId="2" applyNumberFormat="1" applyFont="1" applyFill="1"/>
    <xf numFmtId="9" fontId="1" fillId="47" borderId="0" xfId="2" applyFont="1" applyFill="1" applyBorder="1" applyAlignment="1">
      <alignment horizontal="right"/>
    </xf>
    <xf numFmtId="178" fontId="1" fillId="47" borderId="0" xfId="0" applyNumberFormat="1" applyFont="1" applyFill="1" applyBorder="1"/>
    <xf numFmtId="178" fontId="8" fillId="46" borderId="0" xfId="0" applyNumberFormat="1" applyFont="1" applyFill="1" applyBorder="1"/>
    <xf numFmtId="164" fontId="64" fillId="47" borderId="18" xfId="0" applyNumberFormat="1" applyFont="1" applyFill="1" applyBorder="1"/>
    <xf numFmtId="2" fontId="40" fillId="47" borderId="0" xfId="0" applyNumberFormat="1" applyFont="1" applyFill="1" applyBorder="1" applyAlignment="1">
      <alignment horizontal="right"/>
    </xf>
    <xf numFmtId="178" fontId="2" fillId="47" borderId="0" xfId="0" applyNumberFormat="1" applyFont="1" applyFill="1" applyBorder="1"/>
    <xf numFmtId="164" fontId="63" fillId="47" borderId="0" xfId="0" applyNumberFormat="1" applyFont="1" applyFill="1"/>
    <xf numFmtId="164" fontId="65" fillId="47" borderId="0" xfId="0" applyNumberFormat="1" applyFont="1" applyFill="1" applyBorder="1"/>
    <xf numFmtId="164" fontId="65" fillId="47" borderId="0" xfId="0" applyNumberFormat="1" applyFont="1" applyFill="1"/>
    <xf numFmtId="0" fontId="2" fillId="47" borderId="0" xfId="0" applyNumberFormat="1" applyFont="1" applyFill="1"/>
    <xf numFmtId="182" fontId="66" fillId="2" borderId="0" xfId="165" applyNumberFormat="1" applyFont="1" applyFill="1" applyBorder="1" applyAlignment="1">
      <alignment horizontal="left" vertical="center"/>
    </xf>
    <xf numFmtId="164" fontId="8" fillId="2" borderId="0" xfId="0" applyNumberFormat="1" applyFont="1" applyFill="1" applyBorder="1" applyAlignment="1"/>
    <xf numFmtId="164" fontId="64" fillId="2" borderId="0" xfId="0" applyNumberFormat="1" applyFont="1" applyFill="1" applyBorder="1" applyAlignment="1"/>
    <xf numFmtId="180" fontId="2" fillId="2" borderId="0" xfId="2" applyNumberFormat="1" applyFont="1" applyFill="1" applyBorder="1"/>
    <xf numFmtId="2" fontId="8" fillId="46" borderId="0" xfId="2" applyNumberFormat="1" applyFont="1" applyFill="1" applyBorder="1"/>
    <xf numFmtId="180" fontId="2" fillId="47" borderId="0" xfId="2" applyNumberFormat="1" applyFont="1" applyFill="1" applyBorder="1"/>
    <xf numFmtId="180" fontId="2" fillId="47" borderId="18" xfId="2" applyNumberFormat="1" applyFont="1" applyFill="1" applyBorder="1"/>
    <xf numFmtId="164" fontId="64" fillId="47" borderId="0" xfId="0" applyNumberFormat="1" applyFont="1" applyFill="1" applyAlignment="1">
      <alignment horizontal="right"/>
    </xf>
    <xf numFmtId="0" fontId="2" fillId="47" borderId="0" xfId="2" applyNumberFormat="1" applyFont="1" applyFill="1" applyBorder="1"/>
    <xf numFmtId="186" fontId="8" fillId="46" borderId="0" xfId="2" applyNumberFormat="1" applyFont="1" applyFill="1" applyBorder="1" applyAlignment="1">
      <alignment horizontal="right"/>
    </xf>
    <xf numFmtId="187" fontId="2" fillId="47" borderId="0" xfId="0" applyNumberFormat="1" applyFont="1" applyFill="1"/>
    <xf numFmtId="188" fontId="8" fillId="46" borderId="0" xfId="2" applyNumberFormat="1" applyFont="1" applyFill="1" applyBorder="1" applyAlignment="1">
      <alignment horizontal="right"/>
    </xf>
    <xf numFmtId="10" fontId="8" fillId="46" borderId="0" xfId="2" applyNumberFormat="1" applyFont="1" applyFill="1"/>
    <xf numFmtId="0" fontId="62" fillId="2" borderId="0" xfId="0" applyFont="1" applyFill="1" applyBorder="1" applyAlignment="1">
      <alignment vertical="center"/>
    </xf>
    <xf numFmtId="0" fontId="1" fillId="2" borderId="0" xfId="0" applyFont="1" applyFill="1" applyBorder="1" applyAlignment="1">
      <alignment vertical="center"/>
    </xf>
    <xf numFmtId="0" fontId="1" fillId="2" borderId="0" xfId="0" applyFont="1" applyFill="1" applyBorder="1"/>
    <xf numFmtId="0" fontId="40" fillId="2" borderId="0" xfId="0" applyFont="1" applyFill="1" applyBorder="1" applyAlignment="1">
      <alignment horizontal="right"/>
    </xf>
    <xf numFmtId="0" fontId="1" fillId="2" borderId="0" xfId="0" applyFont="1" applyFill="1" applyBorder="1" applyAlignment="1">
      <alignment horizontal="right" vertical="center"/>
    </xf>
    <xf numFmtId="0" fontId="2" fillId="2" borderId="0" xfId="0" applyFont="1" applyFill="1" applyBorder="1"/>
    <xf numFmtId="1" fontId="1" fillId="2" borderId="0" xfId="0" applyNumberFormat="1" applyFont="1" applyFill="1" applyBorder="1"/>
    <xf numFmtId="0" fontId="64" fillId="2" borderId="0" xfId="0" applyFont="1" applyFill="1" applyBorder="1"/>
    <xf numFmtId="0" fontId="65" fillId="2" borderId="0" xfId="0" applyFont="1" applyFill="1"/>
    <xf numFmtId="0" fontId="1" fillId="2" borderId="0" xfId="0" applyFont="1" applyFill="1" applyBorder="1" applyAlignment="1">
      <alignment horizontal="right"/>
    </xf>
    <xf numFmtId="0" fontId="6" fillId="2" borderId="0" xfId="0" applyFont="1" applyFill="1" applyBorder="1"/>
    <xf numFmtId="0" fontId="2" fillId="2" borderId="0" xfId="0" applyFont="1" applyFill="1" applyBorder="1" applyAlignment="1">
      <alignment horizontal="right"/>
    </xf>
    <xf numFmtId="179" fontId="64" fillId="2" borderId="0" xfId="0" applyNumberFormat="1" applyFont="1" applyFill="1" applyBorder="1"/>
    <xf numFmtId="1" fontId="64" fillId="2" borderId="0" xfId="0" applyNumberFormat="1" applyFont="1" applyFill="1" applyBorder="1"/>
    <xf numFmtId="179" fontId="1" fillId="2" borderId="0" xfId="0" applyNumberFormat="1" applyFont="1" applyFill="1" applyBorder="1"/>
    <xf numFmtId="0" fontId="1" fillId="47" borderId="0" xfId="0" applyFont="1" applyFill="1" applyBorder="1"/>
    <xf numFmtId="0" fontId="64" fillId="47" borderId="0" xfId="0" applyFont="1" applyFill="1" applyBorder="1" applyAlignment="1">
      <alignment horizontal="right"/>
    </xf>
    <xf numFmtId="0" fontId="40" fillId="47" borderId="0" xfId="0" applyFont="1" applyFill="1" applyBorder="1" applyAlignment="1">
      <alignment horizontal="left"/>
    </xf>
    <xf numFmtId="180" fontId="40" fillId="47" borderId="0" xfId="0" applyNumberFormat="1" applyFont="1" applyFill="1" applyBorder="1" applyAlignment="1">
      <alignment horizontal="right"/>
    </xf>
    <xf numFmtId="0" fontId="2" fillId="47" borderId="0" xfId="0" applyFont="1" applyFill="1" applyBorder="1"/>
    <xf numFmtId="180" fontId="2" fillId="47" borderId="0" xfId="0" applyNumberFormat="1" applyFont="1" applyFill="1" applyBorder="1"/>
    <xf numFmtId="0" fontId="2" fillId="47" borderId="19" xfId="0" applyFont="1" applyFill="1" applyBorder="1"/>
    <xf numFmtId="180" fontId="2" fillId="47" borderId="19" xfId="0" applyNumberFormat="1" applyFont="1" applyFill="1" applyBorder="1"/>
    <xf numFmtId="0" fontId="2" fillId="47" borderId="18" xfId="0" applyFont="1" applyFill="1" applyBorder="1"/>
    <xf numFmtId="180" fontId="2" fillId="47" borderId="18" xfId="0" applyNumberFormat="1" applyFont="1" applyFill="1" applyBorder="1"/>
    <xf numFmtId="0" fontId="40" fillId="47" borderId="0" xfId="0" applyFont="1" applyFill="1" applyBorder="1" applyAlignment="1">
      <alignment horizontal="right"/>
    </xf>
    <xf numFmtId="1" fontId="2" fillId="47" borderId="0" xfId="2" applyNumberFormat="1" applyFont="1" applyFill="1" applyBorder="1"/>
    <xf numFmtId="0" fontId="75" fillId="47" borderId="0" xfId="0" applyFont="1" applyFill="1" applyBorder="1"/>
    <xf numFmtId="180" fontId="8" fillId="46" borderId="0" xfId="0" applyNumberFormat="1" applyFont="1" applyFill="1" applyBorder="1"/>
    <xf numFmtId="0" fontId="75" fillId="2" borderId="0" xfId="0" applyFont="1" applyFill="1" applyBorder="1"/>
    <xf numFmtId="0" fontId="64" fillId="2" borderId="0" xfId="0" applyFont="1" applyFill="1" applyBorder="1" applyAlignment="1">
      <alignment horizontal="right"/>
    </xf>
    <xf numFmtId="180" fontId="2" fillId="2" borderId="0" xfId="0" applyNumberFormat="1" applyFont="1" applyFill="1" applyBorder="1"/>
    <xf numFmtId="1" fontId="2" fillId="2" borderId="0" xfId="2" applyNumberFormat="1" applyFont="1" applyFill="1" applyBorder="1"/>
    <xf numFmtId="0" fontId="2" fillId="47" borderId="0" xfId="0" applyFont="1" applyFill="1" applyBorder="1" applyAlignment="1">
      <alignment horizontal="left" vertical="center"/>
    </xf>
    <xf numFmtId="180" fontId="2" fillId="47" borderId="0" xfId="0" applyNumberFormat="1" applyFont="1" applyFill="1" applyBorder="1" applyAlignment="1">
      <alignment horizontal="right" vertical="center"/>
    </xf>
    <xf numFmtId="180" fontId="2" fillId="47" borderId="18" xfId="0" applyNumberFormat="1" applyFont="1" applyFill="1" applyBorder="1" applyAlignment="1">
      <alignment horizontal="right" vertical="center"/>
    </xf>
    <xf numFmtId="180" fontId="64" fillId="2" borderId="0" xfId="0" applyNumberFormat="1" applyFont="1" applyFill="1" applyBorder="1"/>
    <xf numFmtId="0" fontId="2" fillId="47" borderId="0" xfId="0" applyFont="1" applyFill="1" applyBorder="1" applyAlignment="1">
      <alignment horizontal="right"/>
    </xf>
    <xf numFmtId="180" fontId="64" fillId="47" borderId="0" xfId="0" applyNumberFormat="1" applyFont="1" applyFill="1" applyBorder="1"/>
    <xf numFmtId="10" fontId="64" fillId="2" borderId="0" xfId="2" applyNumberFormat="1" applyFont="1" applyFill="1" applyBorder="1"/>
    <xf numFmtId="10" fontId="64" fillId="47" borderId="0" xfId="2" applyNumberFormat="1" applyFont="1" applyFill="1" applyBorder="1"/>
    <xf numFmtId="10" fontId="65" fillId="2" borderId="18" xfId="0" applyNumberFormat="1" applyFont="1" applyFill="1" applyBorder="1"/>
    <xf numFmtId="181" fontId="2" fillId="47" borderId="0" xfId="0" applyNumberFormat="1" applyFont="1" applyFill="1" applyBorder="1"/>
    <xf numFmtId="181" fontId="40" fillId="47" borderId="0" xfId="0" applyNumberFormat="1" applyFont="1" applyFill="1" applyBorder="1" applyAlignment="1">
      <alignment horizontal="right"/>
    </xf>
    <xf numFmtId="181" fontId="2" fillId="47" borderId="0" xfId="0" applyNumberFormat="1" applyFont="1" applyFill="1" applyBorder="1" applyAlignment="1">
      <alignment horizontal="right" vertical="center"/>
    </xf>
    <xf numFmtId="181" fontId="1" fillId="2" borderId="0" xfId="0" applyNumberFormat="1" applyFont="1" applyFill="1" applyBorder="1"/>
    <xf numFmtId="10" fontId="65" fillId="2" borderId="0" xfId="0" applyNumberFormat="1" applyFont="1" applyFill="1" applyBorder="1"/>
    <xf numFmtId="0" fontId="65" fillId="2" borderId="0" xfId="0" applyFont="1" applyFill="1" applyBorder="1" applyAlignment="1"/>
    <xf numFmtId="0" fontId="8" fillId="2" borderId="0" xfId="0" applyFont="1" applyFill="1" applyBorder="1" applyAlignment="1"/>
    <xf numFmtId="0" fontId="2" fillId="2" borderId="0" xfId="0" applyFont="1" applyFill="1" applyBorder="1" applyAlignment="1"/>
    <xf numFmtId="181" fontId="8" fillId="2" borderId="0" xfId="0" applyNumberFormat="1" applyFont="1" applyFill="1" applyBorder="1"/>
    <xf numFmtId="10" fontId="65" fillId="47" borderId="0" xfId="0" applyNumberFormat="1" applyFont="1" applyFill="1" applyBorder="1" applyAlignment="1">
      <alignment horizontal="right"/>
    </xf>
    <xf numFmtId="180" fontId="1" fillId="2" borderId="0" xfId="0" applyNumberFormat="1" applyFont="1" applyFill="1" applyBorder="1"/>
    <xf numFmtId="180" fontId="40" fillId="47" borderId="18" xfId="2" applyNumberFormat="1" applyFont="1" applyFill="1" applyBorder="1"/>
    <xf numFmtId="10" fontId="2" fillId="47" borderId="0" xfId="2" applyNumberFormat="1" applyFont="1" applyFill="1" applyBorder="1" applyAlignment="1">
      <alignment horizontal="right" vertical="center"/>
    </xf>
    <xf numFmtId="0" fontId="2" fillId="47" borderId="0" xfId="0" applyFont="1" applyFill="1" applyBorder="1" applyAlignment="1">
      <alignment vertical="center"/>
    </xf>
    <xf numFmtId="180" fontId="8" fillId="46" borderId="0" xfId="0" applyNumberFormat="1" applyFont="1" applyFill="1" applyBorder="1" applyAlignment="1">
      <alignment horizontal="left" vertical="center"/>
    </xf>
    <xf numFmtId="180" fontId="8" fillId="46" borderId="0" xfId="0" applyNumberFormat="1" applyFont="1" applyFill="1" applyBorder="1" applyAlignment="1">
      <alignment vertical="center"/>
    </xf>
    <xf numFmtId="180" fontId="64" fillId="47" borderId="0" xfId="0" applyNumberFormat="1" applyFont="1" applyFill="1" applyBorder="1" applyAlignment="1">
      <alignment vertical="center"/>
    </xf>
    <xf numFmtId="180" fontId="64" fillId="47" borderId="0" xfId="0" applyNumberFormat="1" applyFont="1" applyFill="1" applyBorder="1" applyAlignment="1">
      <alignment horizontal="right" vertical="center"/>
    </xf>
    <xf numFmtId="0" fontId="1" fillId="47" borderId="0" xfId="0" applyFont="1" applyFill="1" applyBorder="1" applyAlignment="1">
      <alignment horizontal="right"/>
    </xf>
    <xf numFmtId="179" fontId="1" fillId="47" borderId="0" xfId="0" applyNumberFormat="1" applyFont="1" applyFill="1" applyBorder="1" applyAlignment="1">
      <alignment horizontal="right"/>
    </xf>
    <xf numFmtId="0" fontId="2" fillId="47" borderId="18" xfId="0" applyFont="1" applyFill="1" applyBorder="1" applyAlignment="1">
      <alignment horizontal="right"/>
    </xf>
    <xf numFmtId="2" fontId="2" fillId="47" borderId="18" xfId="0" applyNumberFormat="1" applyFont="1" applyFill="1" applyBorder="1"/>
    <xf numFmtId="0" fontId="8" fillId="46" borderId="0" xfId="0" applyFont="1" applyFill="1" applyBorder="1" applyAlignment="1">
      <alignment horizontal="right"/>
    </xf>
    <xf numFmtId="0" fontId="8" fillId="46" borderId="0" xfId="0" applyFont="1" applyFill="1" applyBorder="1"/>
    <xf numFmtId="2" fontId="1" fillId="47" borderId="0" xfId="0" applyNumberFormat="1" applyFont="1" applyFill="1" applyBorder="1"/>
    <xf numFmtId="10" fontId="64" fillId="2" borderId="18" xfId="0" applyNumberFormat="1" applyFont="1" applyFill="1" applyBorder="1"/>
    <xf numFmtId="10" fontId="40" fillId="47" borderId="0" xfId="2" applyNumberFormat="1" applyFont="1" applyFill="1" applyBorder="1" applyAlignment="1">
      <alignment horizontal="right"/>
    </xf>
    <xf numFmtId="2" fontId="2" fillId="47" borderId="0" xfId="0" applyNumberFormat="1" applyFont="1" applyFill="1" applyBorder="1"/>
    <xf numFmtId="181" fontId="2" fillId="2" borderId="0" xfId="0" applyNumberFormat="1" applyFont="1" applyFill="1" applyBorder="1"/>
    <xf numFmtId="2" fontId="64" fillId="2" borderId="0" xfId="0" applyNumberFormat="1" applyFont="1" applyFill="1" applyBorder="1"/>
    <xf numFmtId="0" fontId="65" fillId="2" borderId="0" xfId="0" applyFont="1" applyFill="1" applyBorder="1" applyAlignment="1">
      <alignment horizontal="right"/>
    </xf>
    <xf numFmtId="10" fontId="40" fillId="47" borderId="0" xfId="2" applyNumberFormat="1" applyFont="1" applyFill="1" applyBorder="1" applyAlignment="1">
      <alignment horizontal="right" vertical="center"/>
    </xf>
    <xf numFmtId="164" fontId="40" fillId="2" borderId="0" xfId="0" applyNumberFormat="1" applyFont="1" applyFill="1" applyBorder="1" applyAlignment="1">
      <alignment horizontal="center"/>
    </xf>
    <xf numFmtId="2" fontId="64" fillId="2" borderId="0" xfId="2" applyNumberFormat="1" applyFont="1" applyFill="1" applyBorder="1" applyAlignment="1">
      <alignment horizontal="right"/>
    </xf>
    <xf numFmtId="178" fontId="64" fillId="2" borderId="0" xfId="0" applyNumberFormat="1" applyFont="1" applyFill="1" applyBorder="1"/>
    <xf numFmtId="178" fontId="64" fillId="2" borderId="0" xfId="0" applyNumberFormat="1" applyFont="1" applyFill="1" applyBorder="1" applyAlignment="1">
      <alignment horizontal="right"/>
    </xf>
    <xf numFmtId="164" fontId="8" fillId="2" borderId="0" xfId="0" applyNumberFormat="1" applyFont="1" applyFill="1" applyBorder="1" applyAlignment="1">
      <alignment horizontal="center"/>
    </xf>
    <xf numFmtId="0" fontId="40" fillId="2" borderId="0" xfId="0" applyNumberFormat="1" applyFont="1" applyFill="1" applyBorder="1" applyAlignment="1">
      <alignment horizontal="right"/>
    </xf>
    <xf numFmtId="179" fontId="64" fillId="2" borderId="0" xfId="0" applyNumberFormat="1" applyFont="1" applyFill="1"/>
    <xf numFmtId="10" fontId="64" fillId="2" borderId="0" xfId="2" applyNumberFormat="1" applyFont="1" applyFill="1"/>
    <xf numFmtId="2" fontId="64" fillId="2" borderId="0" xfId="0" applyNumberFormat="1" applyFont="1" applyFill="1"/>
    <xf numFmtId="2" fontId="64" fillId="2" borderId="0" xfId="2" applyNumberFormat="1" applyFont="1" applyFill="1" applyBorder="1" applyAlignment="1"/>
    <xf numFmtId="178" fontId="64" fillId="2" borderId="0" xfId="0" applyNumberFormat="1" applyFont="1" applyFill="1"/>
    <xf numFmtId="10" fontId="8" fillId="46" borderId="0" xfId="0" applyNumberFormat="1" applyFont="1" applyFill="1" applyBorder="1"/>
    <xf numFmtId="182" fontId="1" fillId="2" borderId="0" xfId="0" applyNumberFormat="1" applyFont="1" applyFill="1" applyBorder="1"/>
    <xf numFmtId="182" fontId="2" fillId="49" borderId="0" xfId="0" applyNumberFormat="1" applyFont="1" applyFill="1" applyBorder="1"/>
    <xf numFmtId="0" fontId="1" fillId="49" borderId="0" xfId="0" applyFont="1" applyFill="1" applyBorder="1"/>
    <xf numFmtId="182" fontId="1" fillId="47" borderId="0" xfId="0" applyNumberFormat="1" applyFont="1" applyFill="1" applyBorder="1"/>
    <xf numFmtId="0" fontId="2" fillId="47" borderId="0" xfId="0" applyNumberFormat="1" applyFont="1" applyFill="1" applyBorder="1" applyAlignment="1">
      <alignment horizontal="right" vertical="center"/>
    </xf>
    <xf numFmtId="0" fontId="64" fillId="47" borderId="0" xfId="0" applyFont="1" applyFill="1" applyBorder="1"/>
    <xf numFmtId="184" fontId="2" fillId="49" borderId="0" xfId="0" applyNumberFormat="1" applyFont="1" applyFill="1" applyBorder="1"/>
    <xf numFmtId="184" fontId="2" fillId="47" borderId="0" xfId="0" applyNumberFormat="1" applyFont="1" applyFill="1" applyBorder="1"/>
    <xf numFmtId="184" fontId="1" fillId="47" borderId="0" xfId="0" applyNumberFormat="1" applyFont="1" applyFill="1" applyBorder="1"/>
    <xf numFmtId="10" fontId="40" fillId="2" borderId="0" xfId="2" applyNumberFormat="1" applyFont="1" applyFill="1" applyBorder="1" applyAlignment="1"/>
    <xf numFmtId="0" fontId="2" fillId="49" borderId="0" xfId="0" applyNumberFormat="1" applyFont="1" applyFill="1" applyBorder="1" applyAlignment="1">
      <alignment horizontal="right"/>
    </xf>
    <xf numFmtId="10" fontId="64" fillId="47" borderId="0" xfId="0" applyNumberFormat="1" applyFont="1" applyFill="1" applyBorder="1"/>
    <xf numFmtId="180" fontId="1" fillId="49" borderId="0" xfId="0" applyNumberFormat="1" applyFont="1" applyFill="1" applyBorder="1"/>
    <xf numFmtId="180" fontId="1" fillId="47" borderId="0" xfId="0" applyNumberFormat="1" applyFont="1" applyFill="1" applyBorder="1"/>
    <xf numFmtId="180" fontId="2" fillId="49" borderId="0" xfId="0" applyNumberFormat="1" applyFont="1" applyFill="1" applyBorder="1"/>
    <xf numFmtId="2" fontId="2" fillId="49" borderId="0" xfId="0" applyNumberFormat="1" applyFont="1" applyFill="1" applyBorder="1"/>
    <xf numFmtId="182" fontId="2" fillId="49" borderId="0" xfId="0" applyNumberFormat="1" applyFont="1" applyFill="1" applyBorder="1" applyAlignment="1">
      <alignment horizontal="right" vertical="center"/>
    </xf>
    <xf numFmtId="10" fontId="65" fillId="49" borderId="0" xfId="2" applyNumberFormat="1" applyFont="1" applyFill="1" applyBorder="1" applyAlignment="1">
      <alignment horizontal="right"/>
    </xf>
    <xf numFmtId="9" fontId="67" fillId="46" borderId="0" xfId="0" applyNumberFormat="1" applyFont="1" applyFill="1" applyBorder="1"/>
    <xf numFmtId="9" fontId="67" fillId="46" borderId="0" xfId="0" applyNumberFormat="1" applyFont="1" applyFill="1" applyBorder="1" applyAlignment="1">
      <alignment horizontal="right"/>
    </xf>
    <xf numFmtId="10" fontId="67" fillId="46" borderId="0" xfId="0" applyNumberFormat="1" applyFont="1" applyFill="1" applyBorder="1"/>
    <xf numFmtId="164" fontId="63" fillId="2" borderId="0" xfId="0" applyNumberFormat="1" applyFont="1" applyFill="1" applyBorder="1"/>
    <xf numFmtId="180" fontId="64" fillId="2" borderId="0" xfId="0" applyNumberFormat="1" applyFont="1" applyFill="1" applyBorder="1" applyAlignment="1">
      <alignment vertical="center"/>
    </xf>
    <xf numFmtId="0" fontId="40" fillId="2" borderId="0" xfId="0" applyFont="1" applyFill="1" applyBorder="1" applyAlignment="1">
      <alignment horizontal="left"/>
    </xf>
    <xf numFmtId="0" fontId="2" fillId="2" borderId="0" xfId="0" applyFont="1" applyFill="1" applyBorder="1" applyAlignment="1">
      <alignment horizontal="left" vertical="center"/>
    </xf>
    <xf numFmtId="10" fontId="2" fillId="2" borderId="0" xfId="2" applyNumberFormat="1" applyFont="1" applyFill="1" applyBorder="1" applyAlignment="1">
      <alignment horizontal="right" vertical="center"/>
    </xf>
    <xf numFmtId="180" fontId="8" fillId="2" borderId="0" xfId="0" applyNumberFormat="1" applyFont="1" applyFill="1" applyBorder="1"/>
    <xf numFmtId="0" fontId="7" fillId="46" borderId="0" xfId="0" applyFont="1" applyFill="1" applyBorder="1"/>
    <xf numFmtId="0" fontId="65" fillId="2" borderId="18" xfId="0" applyFont="1" applyFill="1" applyBorder="1" applyAlignment="1"/>
    <xf numFmtId="0" fontId="64" fillId="47" borderId="0" xfId="0" applyNumberFormat="1" applyFont="1" applyFill="1" applyBorder="1"/>
    <xf numFmtId="0" fontId="64" fillId="2" borderId="0" xfId="0" applyNumberFormat="1" applyFont="1" applyFill="1" applyBorder="1"/>
    <xf numFmtId="10" fontId="65" fillId="49" borderId="0" xfId="0" applyNumberFormat="1" applyFont="1" applyFill="1" applyBorder="1"/>
    <xf numFmtId="0" fontId="40" fillId="47" borderId="0" xfId="0" applyFont="1" applyFill="1" applyBorder="1"/>
    <xf numFmtId="10" fontId="2" fillId="47" borderId="18" xfId="2" applyNumberFormat="1" applyFont="1" applyFill="1" applyBorder="1"/>
    <xf numFmtId="178" fontId="2" fillId="2" borderId="0" xfId="0" applyNumberFormat="1" applyFont="1" applyFill="1" applyBorder="1"/>
    <xf numFmtId="164" fontId="64" fillId="47" borderId="0" xfId="0" applyNumberFormat="1" applyFont="1" applyFill="1" applyBorder="1"/>
    <xf numFmtId="0" fontId="6" fillId="47" borderId="0" xfId="0" applyFont="1" applyFill="1" applyBorder="1"/>
    <xf numFmtId="180" fontId="8" fillId="47" borderId="0" xfId="0" applyNumberFormat="1" applyFont="1" applyFill="1" applyBorder="1"/>
    <xf numFmtId="10" fontId="6" fillId="47" borderId="0" xfId="0" applyNumberFormat="1" applyFont="1" applyFill="1" applyBorder="1"/>
    <xf numFmtId="10" fontId="2" fillId="2" borderId="18" xfId="2" applyNumberFormat="1" applyFont="1" applyFill="1" applyBorder="1"/>
    <xf numFmtId="0" fontId="2" fillId="2" borderId="18" xfId="0" applyFont="1" applyFill="1" applyBorder="1"/>
    <xf numFmtId="10" fontId="8" fillId="47" borderId="0" xfId="0" applyNumberFormat="1" applyFont="1" applyFill="1" applyBorder="1"/>
    <xf numFmtId="180" fontId="40" fillId="47" borderId="0" xfId="0" applyNumberFormat="1" applyFont="1" applyFill="1" applyBorder="1"/>
    <xf numFmtId="180" fontId="8" fillId="46" borderId="0" xfId="2" applyNumberFormat="1" applyFont="1" applyFill="1"/>
    <xf numFmtId="2" fontId="64" fillId="2" borderId="0" xfId="2" quotePrefix="1" applyNumberFormat="1" applyFont="1" applyFill="1" applyBorder="1" applyAlignment="1">
      <alignment horizontal="right"/>
    </xf>
    <xf numFmtId="10" fontId="40" fillId="2" borderId="0" xfId="2" applyNumberFormat="1" applyFont="1" applyFill="1" applyBorder="1" applyAlignment="1">
      <alignment horizontal="right" vertical="center"/>
    </xf>
    <xf numFmtId="0" fontId="40" fillId="2" borderId="0" xfId="0" applyFont="1" applyFill="1" applyBorder="1"/>
    <xf numFmtId="10" fontId="6" fillId="2" borderId="0" xfId="0" applyNumberFormat="1" applyFont="1" applyFill="1" applyBorder="1"/>
    <xf numFmtId="9" fontId="64" fillId="47" borderId="0" xfId="0" applyNumberFormat="1" applyFont="1" applyFill="1" applyBorder="1"/>
    <xf numFmtId="10" fontId="8" fillId="46" borderId="0" xfId="2" applyNumberFormat="1" applyFont="1" applyFill="1" applyBorder="1" applyAlignment="1">
      <alignment horizontal="right"/>
    </xf>
    <xf numFmtId="0" fontId="40" fillId="2" borderId="0" xfId="2" applyNumberFormat="1" applyFont="1" applyFill="1" applyBorder="1" applyAlignment="1">
      <alignment horizontal="right"/>
    </xf>
    <xf numFmtId="2" fontId="40" fillId="2" borderId="0" xfId="2" applyNumberFormat="1" applyFont="1" applyFill="1" applyBorder="1" applyAlignment="1">
      <alignment horizontal="right"/>
    </xf>
    <xf numFmtId="179" fontId="40" fillId="2" borderId="0" xfId="2" applyNumberFormat="1" applyFont="1" applyFill="1" applyBorder="1" applyAlignment="1">
      <alignment horizontal="right"/>
    </xf>
    <xf numFmtId="0" fontId="40" fillId="47" borderId="0" xfId="2" applyNumberFormat="1" applyFont="1" applyFill="1" applyBorder="1" applyAlignment="1">
      <alignment horizontal="right"/>
    </xf>
    <xf numFmtId="0" fontId="2" fillId="47" borderId="18" xfId="0" applyFont="1" applyFill="1" applyBorder="1" applyAlignment="1">
      <alignment horizontal="left" vertical="center"/>
    </xf>
    <xf numFmtId="180" fontId="40" fillId="47" borderId="0" xfId="2" applyNumberFormat="1" applyFont="1" applyFill="1" applyBorder="1" applyAlignment="1">
      <alignment horizontal="right"/>
    </xf>
    <xf numFmtId="180" fontId="40" fillId="47" borderId="18" xfId="2" applyNumberFormat="1" applyFont="1" applyFill="1" applyBorder="1" applyAlignment="1">
      <alignment horizontal="right"/>
    </xf>
    <xf numFmtId="10" fontId="66" fillId="47" borderId="0" xfId="2" applyNumberFormat="1" applyFont="1" applyFill="1" applyBorder="1" applyAlignment="1">
      <alignment horizontal="right" vertical="center"/>
    </xf>
    <xf numFmtId="10" fontId="2" fillId="47" borderId="18" xfId="0" applyNumberFormat="1" applyFont="1" applyFill="1" applyBorder="1"/>
    <xf numFmtId="9" fontId="64" fillId="2" borderId="0" xfId="0" applyNumberFormat="1" applyFont="1" applyFill="1" applyBorder="1"/>
    <xf numFmtId="10" fontId="64" fillId="2" borderId="0" xfId="0" applyNumberFormat="1" applyFont="1" applyFill="1" applyBorder="1"/>
    <xf numFmtId="2" fontId="1" fillId="2" borderId="0" xfId="0" applyNumberFormat="1" applyFont="1" applyFill="1" applyBorder="1"/>
    <xf numFmtId="10" fontId="2" fillId="47" borderId="0" xfId="0" applyNumberFormat="1" applyFont="1" applyFill="1" applyBorder="1"/>
    <xf numFmtId="2" fontId="2" fillId="47" borderId="0" xfId="2" applyNumberFormat="1" applyFont="1" applyFill="1" applyBorder="1" applyAlignment="1">
      <alignment horizontal="right"/>
    </xf>
    <xf numFmtId="184" fontId="64" fillId="2" borderId="0" xfId="0" applyNumberFormat="1" applyFont="1" applyFill="1" applyBorder="1"/>
    <xf numFmtId="10" fontId="2" fillId="49" borderId="0" xfId="2" applyNumberFormat="1" applyFont="1" applyFill="1" applyBorder="1"/>
    <xf numFmtId="184" fontId="1" fillId="47" borderId="0" xfId="2" applyNumberFormat="1" applyFont="1" applyFill="1" applyBorder="1"/>
    <xf numFmtId="2" fontId="2" fillId="47" borderId="18" xfId="2" applyNumberFormat="1" applyFont="1" applyFill="1" applyBorder="1"/>
    <xf numFmtId="9" fontId="64" fillId="47" borderId="0" xfId="2" applyNumberFormat="1" applyFont="1" applyFill="1" applyBorder="1"/>
    <xf numFmtId="0" fontId="64" fillId="47" borderId="18" xfId="0" applyFont="1" applyFill="1" applyBorder="1"/>
    <xf numFmtId="10" fontId="64" fillId="47" borderId="18" xfId="2" applyNumberFormat="1" applyFont="1" applyFill="1" applyBorder="1"/>
    <xf numFmtId="184" fontId="1" fillId="2" borderId="0" xfId="0" applyNumberFormat="1" applyFont="1" applyFill="1" applyBorder="1"/>
    <xf numFmtId="0" fontId="2" fillId="2" borderId="0" xfId="0" applyNumberFormat="1" applyFont="1" applyFill="1" applyBorder="1" applyAlignment="1">
      <alignment horizontal="right" vertical="center"/>
    </xf>
    <xf numFmtId="2" fontId="1" fillId="2" borderId="0" xfId="0" applyNumberFormat="1" applyFont="1" applyFill="1" applyBorder="1" applyAlignment="1">
      <alignment horizontal="right"/>
    </xf>
    <xf numFmtId="10" fontId="2" fillId="47" borderId="18" xfId="2" applyNumberFormat="1" applyFont="1" applyFill="1" applyBorder="1" applyAlignment="1">
      <alignment horizontal="right"/>
    </xf>
    <xf numFmtId="164" fontId="2" fillId="49" borderId="0" xfId="0" applyNumberFormat="1" applyFont="1" applyFill="1"/>
    <xf numFmtId="180" fontId="2" fillId="47" borderId="0" xfId="2" applyNumberFormat="1" applyFont="1" applyFill="1" applyBorder="1" applyAlignment="1">
      <alignment horizontal="right"/>
    </xf>
    <xf numFmtId="180" fontId="8" fillId="46" borderId="18" xfId="0" applyNumberFormat="1" applyFont="1" applyFill="1" applyBorder="1"/>
    <xf numFmtId="180" fontId="40" fillId="47" borderId="0" xfId="0" applyNumberFormat="1" applyFont="1" applyFill="1" applyBorder="1" applyAlignment="1"/>
    <xf numFmtId="9" fontId="1" fillId="2" borderId="0" xfId="0" applyNumberFormat="1" applyFont="1" applyFill="1" applyBorder="1"/>
    <xf numFmtId="2" fontId="2" fillId="49" borderId="0" xfId="0" applyNumberFormat="1" applyFont="1" applyFill="1" applyBorder="1" applyAlignment="1">
      <alignment horizontal="right"/>
    </xf>
    <xf numFmtId="2" fontId="2" fillId="47" borderId="0" xfId="0" applyNumberFormat="1" applyFont="1" applyFill="1" applyBorder="1" applyAlignment="1">
      <alignment horizontal="right" vertical="center"/>
    </xf>
    <xf numFmtId="9" fontId="60" fillId="2" borderId="0" xfId="2" applyFont="1" applyFill="1" applyBorder="1"/>
    <xf numFmtId="180" fontId="2" fillId="47" borderId="0" xfId="0" applyNumberFormat="1" applyFont="1" applyFill="1"/>
    <xf numFmtId="0" fontId="2" fillId="49" borderId="0" xfId="0" applyNumberFormat="1" applyFont="1" applyFill="1"/>
    <xf numFmtId="0" fontId="40" fillId="49" borderId="0" xfId="2" applyNumberFormat="1" applyFont="1" applyFill="1" applyBorder="1" applyAlignment="1">
      <alignment horizontal="right"/>
    </xf>
    <xf numFmtId="0" fontId="40" fillId="49" borderId="0" xfId="0" applyNumberFormat="1" applyFont="1" applyFill="1" applyBorder="1" applyAlignment="1">
      <alignment horizontal="right"/>
    </xf>
    <xf numFmtId="0" fontId="40" fillId="49" borderId="0" xfId="2" applyNumberFormat="1" applyFont="1" applyFill="1" applyBorder="1"/>
    <xf numFmtId="0" fontId="40" fillId="49" borderId="0" xfId="0" applyNumberFormat="1" applyFont="1" applyFill="1" applyBorder="1"/>
    <xf numFmtId="164" fontId="1" fillId="2" borderId="0" xfId="0" applyNumberFormat="1" applyFont="1" applyFill="1" applyBorder="1" applyAlignment="1">
      <alignment horizontal="left"/>
    </xf>
    <xf numFmtId="2" fontId="64" fillId="47" borderId="0" xfId="0" applyNumberFormat="1" applyFont="1" applyFill="1" applyBorder="1"/>
    <xf numFmtId="0" fontId="40" fillId="47" borderId="0" xfId="0" applyFont="1" applyFill="1" applyBorder="1" applyAlignment="1"/>
    <xf numFmtId="0" fontId="40" fillId="47" borderId="2" xfId="0" applyFont="1" applyFill="1" applyBorder="1" applyAlignment="1"/>
    <xf numFmtId="0" fontId="2" fillId="49" borderId="0" xfId="0" applyFont="1" applyFill="1" applyBorder="1"/>
    <xf numFmtId="0" fontId="2" fillId="49" borderId="0" xfId="0" applyFont="1" applyFill="1" applyBorder="1" applyAlignment="1">
      <alignment horizontal="right"/>
    </xf>
    <xf numFmtId="0" fontId="2" fillId="49" borderId="0" xfId="0" applyFont="1" applyFill="1" applyBorder="1" applyAlignment="1"/>
    <xf numFmtId="164" fontId="1" fillId="2" borderId="0" xfId="0" applyNumberFormat="1" applyFont="1" applyFill="1" applyAlignment="1">
      <alignment horizontal="right"/>
    </xf>
    <xf numFmtId="164" fontId="60" fillId="47" borderId="0" xfId="0" applyNumberFormat="1" applyFont="1" applyFill="1" applyBorder="1"/>
    <xf numFmtId="164" fontId="40" fillId="47" borderId="17" xfId="0" applyNumberFormat="1" applyFont="1" applyFill="1" applyBorder="1"/>
    <xf numFmtId="180" fontId="40" fillId="47" borderId="17" xfId="0" applyNumberFormat="1" applyFont="1" applyFill="1" applyBorder="1"/>
    <xf numFmtId="49" fontId="60" fillId="47" borderId="0" xfId="0" quotePrefix="1" applyNumberFormat="1" applyFont="1" applyFill="1" applyBorder="1"/>
    <xf numFmtId="49" fontId="60" fillId="47" borderId="0" xfId="0" applyNumberFormat="1" applyFont="1" applyFill="1" applyBorder="1"/>
    <xf numFmtId="180" fontId="40" fillId="47" borderId="0" xfId="0" applyNumberFormat="1" applyFont="1" applyFill="1"/>
    <xf numFmtId="180" fontId="2" fillId="47" borderId="19" xfId="0" applyNumberFormat="1" applyFont="1" applyFill="1" applyBorder="1" applyAlignment="1">
      <alignment horizontal="left" vertical="center"/>
    </xf>
    <xf numFmtId="43" fontId="1" fillId="2" borderId="0" xfId="0" applyNumberFormat="1" applyFont="1" applyFill="1" applyBorder="1"/>
    <xf numFmtId="0" fontId="2" fillId="48" borderId="0" xfId="0" applyFont="1" applyFill="1" applyBorder="1"/>
    <xf numFmtId="10" fontId="2" fillId="48" borderId="0" xfId="2" applyNumberFormat="1" applyFont="1" applyFill="1" applyBorder="1" applyAlignment="1">
      <alignment horizontal="right"/>
    </xf>
    <xf numFmtId="9" fontId="64" fillId="48" borderId="0" xfId="0" applyNumberFormat="1" applyFont="1" applyFill="1" applyBorder="1"/>
    <xf numFmtId="0" fontId="1" fillId="48" borderId="0" xfId="0" applyFont="1" applyFill="1" applyBorder="1" applyAlignment="1">
      <alignment horizontal="right"/>
    </xf>
    <xf numFmtId="180" fontId="40" fillId="48" borderId="0" xfId="0" applyNumberFormat="1" applyFont="1" applyFill="1" applyBorder="1" applyAlignment="1"/>
    <xf numFmtId="0" fontId="1" fillId="48" borderId="0" xfId="0" applyFont="1" applyFill="1" applyBorder="1"/>
    <xf numFmtId="180" fontId="40" fillId="47" borderId="18" xfId="0" applyNumberFormat="1" applyFont="1" applyFill="1" applyBorder="1" applyAlignment="1"/>
    <xf numFmtId="189" fontId="2" fillId="49" borderId="0" xfId="0" applyNumberFormat="1" applyFont="1" applyFill="1" applyBorder="1"/>
    <xf numFmtId="189" fontId="1" fillId="47" borderId="0" xfId="0" applyNumberFormat="1" applyFont="1" applyFill="1" applyBorder="1"/>
    <xf numFmtId="185" fontId="2" fillId="49" borderId="0" xfId="0" applyNumberFormat="1" applyFont="1" applyFill="1" applyBorder="1"/>
    <xf numFmtId="185" fontId="1" fillId="47" borderId="0" xfId="0" applyNumberFormat="1" applyFont="1" applyFill="1" applyBorder="1"/>
    <xf numFmtId="189" fontId="2" fillId="47" borderId="0" xfId="0" applyNumberFormat="1" applyFont="1" applyFill="1" applyBorder="1"/>
    <xf numFmtId="180" fontId="2" fillId="2" borderId="0" xfId="0" applyNumberFormat="1" applyFont="1" applyFill="1"/>
    <xf numFmtId="180" fontId="8" fillId="2" borderId="0" xfId="0" applyNumberFormat="1" applyFont="1" applyFill="1" applyBorder="1" applyAlignment="1">
      <alignment horizontal="left" vertical="center"/>
    </xf>
    <xf numFmtId="180" fontId="2" fillId="2" borderId="0" xfId="0" applyNumberFormat="1" applyFont="1" applyFill="1" applyBorder="1" applyAlignment="1">
      <alignment horizontal="left" vertical="center"/>
    </xf>
    <xf numFmtId="164" fontId="60" fillId="2" borderId="0" xfId="0" applyNumberFormat="1" applyFont="1" applyFill="1" applyBorder="1" applyAlignment="1"/>
    <xf numFmtId="10" fontId="1" fillId="2" borderId="0" xfId="0" applyNumberFormat="1" applyFont="1" applyFill="1"/>
    <xf numFmtId="166" fontId="60" fillId="2" borderId="0" xfId="2" applyNumberFormat="1" applyFont="1" applyFill="1" applyBorder="1" applyAlignment="1"/>
    <xf numFmtId="164" fontId="64" fillId="2" borderId="0" xfId="0" applyNumberFormat="1" applyFont="1" applyFill="1"/>
    <xf numFmtId="166" fontId="64" fillId="2" borderId="0" xfId="2" applyNumberFormat="1" applyFont="1" applyFill="1"/>
    <xf numFmtId="164" fontId="66" fillId="2" borderId="0" xfId="0" applyNumberFormat="1" applyFont="1" applyFill="1" applyBorder="1" applyAlignment="1"/>
    <xf numFmtId="166" fontId="66" fillId="2" borderId="0" xfId="2" applyNumberFormat="1" applyFont="1" applyFill="1" applyBorder="1" applyAlignment="1"/>
    <xf numFmtId="166" fontId="64" fillId="47" borderId="0" xfId="2" applyNumberFormat="1" applyFont="1" applyFill="1"/>
    <xf numFmtId="164" fontId="66" fillId="47" borderId="0" xfId="0" applyNumberFormat="1" applyFont="1" applyFill="1" applyBorder="1" applyAlignment="1"/>
    <xf numFmtId="166" fontId="66" fillId="47" borderId="0" xfId="2" applyNumberFormat="1" applyFont="1" applyFill="1" applyBorder="1" applyAlignment="1"/>
    <xf numFmtId="164" fontId="8" fillId="46" borderId="0" xfId="0" applyNumberFormat="1" applyFont="1" applyFill="1"/>
    <xf numFmtId="0" fontId="60" fillId="2" borderId="0" xfId="2" applyNumberFormat="1" applyFont="1" applyFill="1" applyBorder="1"/>
    <xf numFmtId="180" fontId="60" fillId="2" borderId="0" xfId="0" applyNumberFormat="1" applyFont="1" applyFill="1" applyBorder="1"/>
    <xf numFmtId="10" fontId="60" fillId="2" borderId="0" xfId="2" applyNumberFormat="1" applyFont="1" applyFill="1" applyBorder="1"/>
    <xf numFmtId="0" fontId="1" fillId="2" borderId="0" xfId="2" applyNumberFormat="1" applyFont="1" applyFill="1"/>
    <xf numFmtId="180" fontId="40" fillId="47" borderId="0" xfId="0" applyNumberFormat="1" applyFont="1" applyFill="1" applyBorder="1" applyAlignment="1">
      <alignment horizontal="left" vertical="center"/>
    </xf>
    <xf numFmtId="164" fontId="2" fillId="47" borderId="0" xfId="0" applyNumberFormat="1" applyFont="1" applyFill="1" applyAlignment="1">
      <alignment vertical="center"/>
    </xf>
    <xf numFmtId="178" fontId="1" fillId="47" borderId="0" xfId="0" applyNumberFormat="1" applyFont="1" applyFill="1" applyAlignment="1">
      <alignment vertical="center"/>
    </xf>
    <xf numFmtId="191" fontId="2" fillId="47" borderId="0" xfId="0" applyNumberFormat="1" applyFont="1" applyFill="1"/>
    <xf numFmtId="9" fontId="66" fillId="47" borderId="0" xfId="2" applyFont="1" applyFill="1" applyBorder="1" applyAlignment="1">
      <alignment horizontal="right"/>
    </xf>
    <xf numFmtId="10" fontId="66" fillId="47" borderId="0" xfId="2" applyNumberFormat="1" applyFont="1" applyFill="1" applyBorder="1" applyAlignment="1">
      <alignment horizontal="right"/>
    </xf>
    <xf numFmtId="10" fontId="64" fillId="47" borderId="0" xfId="2" applyNumberFormat="1" applyFont="1" applyFill="1"/>
    <xf numFmtId="0" fontId="2" fillId="49" borderId="0" xfId="0" applyNumberFormat="1" applyFont="1" applyFill="1" applyAlignment="1">
      <alignment horizontal="right"/>
    </xf>
    <xf numFmtId="2" fontId="2" fillId="47" borderId="0" xfId="0" applyNumberFormat="1" applyFont="1" applyFill="1"/>
    <xf numFmtId="9" fontId="8" fillId="2" borderId="0" xfId="2" applyFont="1" applyFill="1" applyBorder="1" applyAlignment="1">
      <alignment horizontal="right"/>
    </xf>
    <xf numFmtId="10" fontId="66" fillId="47" borderId="0" xfId="2" applyNumberFormat="1" applyFont="1" applyFill="1" applyBorder="1" applyAlignment="1"/>
    <xf numFmtId="2" fontId="64" fillId="2" borderId="0" xfId="2" applyNumberFormat="1" applyFont="1" applyFill="1"/>
    <xf numFmtId="0" fontId="66" fillId="47" borderId="0" xfId="2" applyNumberFormat="1" applyFont="1" applyFill="1" applyBorder="1" applyAlignment="1"/>
    <xf numFmtId="180" fontId="64" fillId="2" borderId="0" xfId="2" applyNumberFormat="1" applyFont="1" applyFill="1"/>
    <xf numFmtId="0" fontId="66" fillId="2" borderId="0" xfId="2" applyNumberFormat="1" applyFont="1" applyFill="1" applyBorder="1" applyAlignment="1"/>
    <xf numFmtId="164" fontId="8" fillId="2" borderId="0" xfId="0" applyNumberFormat="1" applyFont="1" applyFill="1" applyAlignment="1">
      <alignment vertical="center"/>
    </xf>
    <xf numFmtId="180" fontId="1" fillId="2" borderId="0" xfId="0" applyNumberFormat="1" applyFont="1" applyFill="1"/>
    <xf numFmtId="10" fontId="66" fillId="2" borderId="0" xfId="2" applyNumberFormat="1" applyFont="1" applyFill="1" applyBorder="1" applyAlignment="1"/>
    <xf numFmtId="190" fontId="1" fillId="2" borderId="0" xfId="0" applyNumberFormat="1" applyFont="1" applyFill="1"/>
    <xf numFmtId="164" fontId="8" fillId="2" borderId="0" xfId="0" applyNumberFormat="1" applyFont="1" applyFill="1"/>
    <xf numFmtId="2" fontId="64" fillId="3" borderId="0" xfId="2" applyNumberFormat="1" applyFont="1" applyFill="1" applyBorder="1" applyAlignment="1">
      <alignment horizontal="center"/>
    </xf>
    <xf numFmtId="164" fontId="8" fillId="46" borderId="0" xfId="0" applyNumberFormat="1" applyFont="1" applyFill="1" applyBorder="1" applyAlignment="1">
      <alignment horizontal="center"/>
    </xf>
    <xf numFmtId="164" fontId="8" fillId="46" borderId="0" xfId="0" applyNumberFormat="1" applyFont="1" applyFill="1" applyAlignment="1">
      <alignment horizontal="center"/>
    </xf>
    <xf numFmtId="164" fontId="64" fillId="2" borderId="0" xfId="0" applyNumberFormat="1" applyFont="1" applyFill="1" applyAlignment="1">
      <alignment horizontal="right"/>
    </xf>
    <xf numFmtId="0" fontId="8" fillId="46" borderId="0" xfId="0" applyFont="1" applyFill="1" applyBorder="1" applyAlignment="1">
      <alignment horizontal="center" vertical="center"/>
    </xf>
    <xf numFmtId="0" fontId="8" fillId="46" borderId="0" xfId="0" applyFont="1" applyFill="1" applyBorder="1" applyAlignment="1">
      <alignment horizontal="center"/>
    </xf>
    <xf numFmtId="0" fontId="65" fillId="2" borderId="0" xfId="0" applyFont="1" applyFill="1" applyBorder="1" applyAlignment="1">
      <alignment horizontal="right"/>
    </xf>
    <xf numFmtId="164" fontId="8" fillId="46" borderId="0" xfId="0" applyNumberFormat="1" applyFont="1" applyFill="1" applyAlignment="1">
      <alignment horizontal="center" vertical="center"/>
    </xf>
    <xf numFmtId="190" fontId="1" fillId="50" borderId="0" xfId="0" applyNumberFormat="1" applyFont="1" applyFill="1"/>
    <xf numFmtId="190" fontId="1" fillId="50" borderId="0" xfId="0" applyNumberFormat="1" applyFont="1" applyFill="1" applyBorder="1"/>
    <xf numFmtId="190" fontId="1" fillId="2" borderId="0" xfId="0" applyNumberFormat="1" applyFont="1" applyFill="1" applyBorder="1"/>
  </cellXfs>
  <cellStyles count="169">
    <cellStyle name="%" xfId="135"/>
    <cellStyle name="_x0002_._x0011__x0002_._x001b__x0002_ _x0015_%_x0018__x0001_" xfId="4"/>
    <cellStyle name="_060510 Goal Setting CNV" xfId="5"/>
    <cellStyle name="_2008-08-18 WC SRL" xfId="6"/>
    <cellStyle name="_2008-10-06 Goodwill Test KPMG incl PL 19 (2)" xfId="7"/>
    <cellStyle name="_2008-10-06 Goodwill Test KPMG incl PL 19 (3)" xfId="8"/>
    <cellStyle name="_2009-03-17 Version für 53-19" xfId="9"/>
    <cellStyle name="_Access Bluebook 2007 DCL V7" xfId="10"/>
    <cellStyle name="_AL_cost_outlook_070405_Bluebook2007" xfId="11"/>
    <cellStyle name="_BB_08_BG_COM" xfId="12"/>
    <cellStyle name="_Bluebook-2005-PL-Projections-COM-SR2" xfId="13"/>
    <cellStyle name="_COM Cash Flow Bluebook 2008" xfId="14"/>
    <cellStyle name="_Cordless_Bizcase_070524" xfId="15"/>
    <cellStyle name="_Cordless_Bizcase_Bluebook (2)" xfId="16"/>
    <cellStyle name="_Cordless_Bizcase_Master" xfId="17"/>
    <cellStyle name="_Data" xfId="18"/>
    <cellStyle name="_Foundry Wafer Price Database - BU" xfId="19"/>
    <cellStyle name="_Segment_DCL_FRFC_2007_03" xfId="20"/>
    <cellStyle name="_SR_CSP_Segments" xfId="21"/>
    <cellStyle name="_Wireless_MPP_FRFC0810_V3" xfId="22"/>
    <cellStyle name="_WLS_MPP_BB2008_vs_VRFC0904_bw (2)" xfId="23"/>
    <cellStyle name="0,0_x000d__x000a_NA_x000d__x000a_" xfId="24"/>
    <cellStyle name="20% - Accent1 2" xfId="25"/>
    <cellStyle name="20% - Accent2 2" xfId="26"/>
    <cellStyle name="20% - Accent3 2" xfId="27"/>
    <cellStyle name="20% - Accent4 2" xfId="28"/>
    <cellStyle name="20% - Accent5 2" xfId="29"/>
    <cellStyle name="20% - Accent6 2" xfId="30"/>
    <cellStyle name="40% - Accent1 2" xfId="31"/>
    <cellStyle name="40% - Accent2 2" xfId="32"/>
    <cellStyle name="40% - Accent3 2" xfId="33"/>
    <cellStyle name="40% - Accent4 2" xfId="34"/>
    <cellStyle name="40% - Accent5 2" xfId="35"/>
    <cellStyle name="40% - Accent6 2" xfId="36"/>
    <cellStyle name="60% - Accent1 2" xfId="37"/>
    <cellStyle name="60% - Accent2 2" xfId="38"/>
    <cellStyle name="60% - Accent3 2" xfId="39"/>
    <cellStyle name="60% - Accent4 2" xfId="40"/>
    <cellStyle name="60% - Accent5 2" xfId="41"/>
    <cellStyle name="60% - Accent6 2" xfId="42"/>
    <cellStyle name="Accent1 2" xfId="43"/>
    <cellStyle name="Accent2 2" xfId="44"/>
    <cellStyle name="Accent3 2" xfId="45"/>
    <cellStyle name="Accent4 2" xfId="46"/>
    <cellStyle name="Accent5 2" xfId="47"/>
    <cellStyle name="Accent6 2" xfId="48"/>
    <cellStyle name="AFE" xfId="49"/>
    <cellStyle name="AFE 2" xfId="132"/>
    <cellStyle name="Bad 2" xfId="50"/>
    <cellStyle name="Calculation 2" xfId="51"/>
    <cellStyle name="Check Cell 2" xfId="52"/>
    <cellStyle name="Comma 2" xfId="154"/>
    <cellStyle name="Comma 3" xfId="168"/>
    <cellStyle name="Currency 2" xfId="166"/>
    <cellStyle name="Detail" xfId="53"/>
    <cellStyle name="Euro" xfId="54"/>
    <cellStyle name="Explanatory Text 2" xfId="55"/>
    <cellStyle name="EY Narrative text" xfId="148"/>
    <cellStyle name="EY0dp" xfId="146"/>
    <cellStyle name="EY1dp" xfId="147"/>
    <cellStyle name="EYChartTitle" xfId="141"/>
    <cellStyle name="EYColumnHeading" xfId="144"/>
    <cellStyle name="EYCurrency" xfId="143"/>
    <cellStyle name="EYnumber" xfId="142"/>
    <cellStyle name="EYSectionHeading" xfId="138"/>
    <cellStyle name="EYSheetHeading" xfId="140"/>
    <cellStyle name="EYsmallheading" xfId="139"/>
    <cellStyle name="EYSource" xfId="149"/>
    <cellStyle name="EYtext" xfId="145"/>
    <cellStyle name="Good 2" xfId="56"/>
    <cellStyle name="Grey" xfId="57"/>
    <cellStyle name="Heading 1 2" xfId="58"/>
    <cellStyle name="Heading 2 2" xfId="59"/>
    <cellStyle name="Heading 3 2" xfId="60"/>
    <cellStyle name="Heading 4 2" xfId="61"/>
    <cellStyle name="Hyperlink" xfId="165" builtinId="8"/>
    <cellStyle name="Input [yellow]" xfId="63"/>
    <cellStyle name="Input 2" xfId="62"/>
    <cellStyle name="Linked Cell 2" xfId="64"/>
    <cellStyle name="meny_33-34" xfId="65"/>
    <cellStyle name="Milliers [0]_foxz" xfId="66"/>
    <cellStyle name="Milliers_foxz" xfId="67"/>
    <cellStyle name="Monétaire [0]_foxz" xfId="68"/>
    <cellStyle name="Monétaire_foxz" xfId="69"/>
    <cellStyle name="Neutral 2" xfId="70"/>
    <cellStyle name="Normal" xfId="0" builtinId="0"/>
    <cellStyle name="Normal - Style1" xfId="71"/>
    <cellStyle name="Normal 2" xfId="150"/>
    <cellStyle name="Normal 2 2" xfId="152"/>
    <cellStyle name="Normal 3" xfId="151"/>
    <cellStyle name="Normal 4" xfId="153"/>
    <cellStyle name="Normal 5" xfId="3"/>
    <cellStyle name="Normal 6" xfId="167"/>
    <cellStyle name="Normal_Project Accel Valuation v56" xfId="133"/>
    <cellStyle name="normální_33-34" xfId="72"/>
    <cellStyle name="Note 2" xfId="73"/>
    <cellStyle name="Œ…‹æØ‚è [0.00]_laroux" xfId="74"/>
    <cellStyle name="Œ…‹æØ‚è_laroux" xfId="75"/>
    <cellStyle name="Output 2" xfId="76"/>
    <cellStyle name="Percent" xfId="2" builtinId="5"/>
    <cellStyle name="Percent [2]" xfId="78"/>
    <cellStyle name="Percent 2" xfId="155"/>
    <cellStyle name="Percent 3" xfId="77"/>
    <cellStyle name="Percent 5" xfId="79"/>
    <cellStyle name="Prozent 2" xfId="134"/>
    <cellStyle name="PSChar" xfId="80"/>
    <cellStyle name="PSDate" xfId="81"/>
    <cellStyle name="PSDec" xfId="82"/>
    <cellStyle name="PSHeading" xfId="83"/>
    <cellStyle name="PSInt" xfId="84"/>
    <cellStyle name="PSSpacer" xfId="85"/>
    <cellStyle name="Revenue" xfId="86"/>
    <cellStyle name="SAPBEXaggData" xfId="87"/>
    <cellStyle name="SAPBEXaggDataEmph" xfId="88"/>
    <cellStyle name="SAPBEXaggItem" xfId="89"/>
    <cellStyle name="SAPBEXaggItemX" xfId="90"/>
    <cellStyle name="SAPBEXchaText" xfId="91"/>
    <cellStyle name="SAPBEXexcBad7" xfId="92"/>
    <cellStyle name="SAPBEXexcBad8" xfId="93"/>
    <cellStyle name="SAPBEXexcBad9" xfId="94"/>
    <cellStyle name="SAPBEXexcCritical4" xfId="95"/>
    <cellStyle name="SAPBEXexcCritical5" xfId="96"/>
    <cellStyle name="SAPBEXexcCritical6" xfId="97"/>
    <cellStyle name="SAPBEXexcGood1" xfId="98"/>
    <cellStyle name="SAPBEXexcGood2" xfId="99"/>
    <cellStyle name="SAPBEXexcGood3" xfId="100"/>
    <cellStyle name="SAPBEXfilterDrill" xfId="101"/>
    <cellStyle name="SAPBEXfilterItem" xfId="102"/>
    <cellStyle name="SAPBEXfilterText" xfId="103"/>
    <cellStyle name="SAPBEXformats" xfId="104"/>
    <cellStyle name="SAPBEXheaderItem" xfId="105"/>
    <cellStyle name="SAPBEXheaderText" xfId="106"/>
    <cellStyle name="SAPBEXHLevel0" xfId="107"/>
    <cellStyle name="SAPBEXHLevel0X" xfId="108"/>
    <cellStyle name="SAPBEXHLevel1" xfId="109"/>
    <cellStyle name="SAPBEXHLevel1X" xfId="110"/>
    <cellStyle name="SAPBEXHLevel2" xfId="111"/>
    <cellStyle name="SAPBEXHLevel2X" xfId="112"/>
    <cellStyle name="SAPBEXHLevel3" xfId="113"/>
    <cellStyle name="SAPBEXHLevel3X" xfId="114"/>
    <cellStyle name="SAPBEXresData" xfId="115"/>
    <cellStyle name="SAPBEXresDataEmph" xfId="116"/>
    <cellStyle name="SAPBEXresItem" xfId="117"/>
    <cellStyle name="SAPBEXresItemX" xfId="118"/>
    <cellStyle name="SAPBEXstdData" xfId="119"/>
    <cellStyle name="SAPBEXstdDataEmph" xfId="120"/>
    <cellStyle name="SAPBEXstdItem" xfId="121"/>
    <cellStyle name="SAPBEXstdItemX" xfId="122"/>
    <cellStyle name="SAPBEXtitle" xfId="123"/>
    <cellStyle name="SAPBEXundefined" xfId="124"/>
    <cellStyle name="Smart Subtitle 1" xfId="1"/>
    <cellStyle name="Standard 2" xfId="131"/>
    <cellStyle name="Standard 3" xfId="136"/>
    <cellStyle name="Standard 4" xfId="156"/>
    <cellStyle name="Stil 1" xfId="130"/>
    <cellStyle name="Style 1" xfId="125"/>
    <cellStyle name="Tahoma:10:1" xfId="160"/>
    <cellStyle name="Tahoma:10:129" xfId="161"/>
    <cellStyle name="Tahoma:12:1" xfId="157"/>
    <cellStyle name="Tahoma:12:129" xfId="162"/>
    <cellStyle name="Tahoma:8:0" xfId="158"/>
    <cellStyle name="Tahoma:8:1" xfId="159"/>
    <cellStyle name="Tahoma:8:128" xfId="163"/>
    <cellStyle name="Tahoma:8:129" xfId="164"/>
    <cellStyle name="Title 2" xfId="126"/>
    <cellStyle name="Total 2" xfId="127"/>
    <cellStyle name="Total Row" xfId="128"/>
    <cellStyle name="TTS" xfId="137"/>
    <cellStyle name="Warning Text 2" xfId="129"/>
  </cellStyles>
  <dxfs count="0"/>
  <tableStyles count="0" defaultTableStyle="TableStyleMedium2" defaultPivotStyle="PivotStyleMedium9"/>
  <colors>
    <mruColors>
      <color rgb="FFF8F8F8"/>
      <color rgb="FFDDDDD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Growth Affect</a:t>
            </a:r>
            <a:r>
              <a:rPr lang="en-US" baseline="0"/>
              <a:t> Price</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'Sensitivity Analysis'!$F$24:$N$24</c:f>
              <c:numCache>
                <c:formatCode>0.0%</c:formatCode>
                <c:ptCount val="9"/>
                <c:pt idx="0">
                  <c:v>0.105</c:v>
                </c:pt>
                <c:pt idx="1">
                  <c:v>0.1</c:v>
                </c:pt>
                <c:pt idx="2">
                  <c:v>9.5000000000000001E-2</c:v>
                </c:pt>
                <c:pt idx="3">
                  <c:v>0.09</c:v>
                </c:pt>
                <c:pt idx="4">
                  <c:v>8.5000000000000006E-2</c:v>
                </c:pt>
                <c:pt idx="5">
                  <c:v>0.08</c:v>
                </c:pt>
                <c:pt idx="6">
                  <c:v>7.4999999999999997E-2</c:v>
                </c:pt>
                <c:pt idx="7">
                  <c:v>7.0000000000000007E-2</c:v>
                </c:pt>
                <c:pt idx="8">
                  <c:v>6.5000000000000002E-2</c:v>
                </c:pt>
              </c:numCache>
            </c:numRef>
          </c:cat>
          <c:val>
            <c:numRef>
              <c:f>'Sensitivity Analysis'!$F$25:$N$25</c:f>
              <c:numCache>
                <c:formatCode>_ [$₹-4009]\ * #,##0.00_ ;_ [$₹-4009]\ * \-#,##0.00_ ;_ [$₹-4009]\ * "-"??_ ;_ @_ </c:formatCode>
                <c:ptCount val="9"/>
                <c:pt idx="0">
                  <c:v>632.69401077974601</c:v>
                </c:pt>
                <c:pt idx="1">
                  <c:v>622.95494305959187</c:v>
                </c:pt>
                <c:pt idx="2">
                  <c:v>613.32099215611845</c:v>
                </c:pt>
                <c:pt idx="3">
                  <c:v>603.79994894938557</c:v>
                </c:pt>
                <c:pt idx="4">
                  <c:v>594.39890970362205</c:v>
                </c:pt>
                <c:pt idx="5">
                  <c:v>585.12431083174442</c:v>
                </c:pt>
                <c:pt idx="6">
                  <c:v>575.98196236975139</c:v>
                </c:pt>
                <c:pt idx="7">
                  <c:v>566.97708019818106</c:v>
                </c:pt>
                <c:pt idx="8">
                  <c:v>558.11431704694746</c:v>
                </c:pt>
              </c:numCache>
            </c:numRef>
          </c:val>
          <c:extLst>
            <c:ext xmlns:c16="http://schemas.microsoft.com/office/drawing/2014/chart" uri="{C3380CC4-5D6E-409C-BE32-E72D297353CC}">
              <c16:uniqueId val="{00000000-3D9E-4AB9-AECC-6A17745F2857}"/>
            </c:ext>
          </c:extLst>
        </c:ser>
        <c:dLbls>
          <c:showLegendKey val="0"/>
          <c:showVal val="0"/>
          <c:showCatName val="0"/>
          <c:showSerName val="0"/>
          <c:showPercent val="0"/>
          <c:showBubbleSize val="0"/>
        </c:dLbls>
        <c:gapWidth val="219"/>
        <c:overlap val="-27"/>
        <c:axId val="1191681535"/>
        <c:axId val="1202287359"/>
      </c:barChart>
      <c:catAx>
        <c:axId val="1191681535"/>
        <c:scaling>
          <c:orientation val="minMax"/>
        </c:scaling>
        <c:delete val="0"/>
        <c:axPos val="b"/>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287359"/>
        <c:crosses val="autoZero"/>
        <c:auto val="1"/>
        <c:lblAlgn val="ctr"/>
        <c:lblOffset val="100"/>
        <c:noMultiLvlLbl val="0"/>
      </c:catAx>
      <c:valAx>
        <c:axId val="1202287359"/>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168153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WACC</a:t>
            </a:r>
            <a:r>
              <a:rPr lang="en-US" baseline="0"/>
              <a:t> Affect Price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numRef>
              <c:f>'Sensitivity Analysis'!$F$28:$N$28</c:f>
              <c:numCache>
                <c:formatCode>0.0%</c:formatCode>
                <c:ptCount val="9"/>
                <c:pt idx="0" formatCode="0.00%">
                  <c:v>0.1108</c:v>
                </c:pt>
                <c:pt idx="1">
                  <c:v>0.107575</c:v>
                </c:pt>
                <c:pt idx="2">
                  <c:v>0.10435</c:v>
                </c:pt>
                <c:pt idx="3">
                  <c:v>0.10112499999999999</c:v>
                </c:pt>
                <c:pt idx="4">
                  <c:v>9.7900000000000001E-2</c:v>
                </c:pt>
                <c:pt idx="5">
                  <c:v>9.4675000000000009E-2</c:v>
                </c:pt>
                <c:pt idx="6">
                  <c:v>9.1450000000000004E-2</c:v>
                </c:pt>
                <c:pt idx="7">
                  <c:v>8.8224999999999998E-2</c:v>
                </c:pt>
                <c:pt idx="8">
                  <c:v>8.5000000000000006E-2</c:v>
                </c:pt>
              </c:numCache>
            </c:numRef>
          </c:cat>
          <c:val>
            <c:numRef>
              <c:f>'Sensitivity Analysis'!$F$29:$N$29</c:f>
              <c:numCache>
                <c:formatCode>_ [$₹-4009]\ * #,##0.00_ ;_ [$₹-4009]\ * \-#,##0.00_ ;_ [$₹-4009]\ * "-"??_ ;_ @_ </c:formatCode>
                <c:ptCount val="9"/>
                <c:pt idx="0">
                  <c:v>455.54675412780784</c:v>
                </c:pt>
                <c:pt idx="1">
                  <c:v>469.45748701393569</c:v>
                </c:pt>
                <c:pt idx="2">
                  <c:v>484.78852984638871</c:v>
                </c:pt>
                <c:pt idx="3">
                  <c:v>501.76548159334942</c:v>
                </c:pt>
                <c:pt idx="4">
                  <c:v>520.66423196366077</c:v>
                </c:pt>
                <c:pt idx="5">
                  <c:v>541.82579447868875</c:v>
                </c:pt>
                <c:pt idx="6">
                  <c:v>565.676718210991</c:v>
                </c:pt>
                <c:pt idx="7">
                  <c:v>592.7576896675298</c:v>
                </c:pt>
                <c:pt idx="8">
                  <c:v>623.76443354250512</c:v>
                </c:pt>
              </c:numCache>
            </c:numRef>
          </c:val>
          <c:extLst>
            <c:ext xmlns:c16="http://schemas.microsoft.com/office/drawing/2014/chart" uri="{C3380CC4-5D6E-409C-BE32-E72D297353CC}">
              <c16:uniqueId val="{00000000-747D-42A3-A2CC-0C6BB8168378}"/>
            </c:ext>
          </c:extLst>
        </c:ser>
        <c:dLbls>
          <c:showLegendKey val="0"/>
          <c:showVal val="0"/>
          <c:showCatName val="0"/>
          <c:showSerName val="0"/>
          <c:showPercent val="0"/>
          <c:showBubbleSize val="0"/>
        </c:dLbls>
        <c:gapWidth val="219"/>
        <c:overlap val="-27"/>
        <c:axId val="1202277375"/>
        <c:axId val="1202286943"/>
      </c:barChart>
      <c:catAx>
        <c:axId val="1202277375"/>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286943"/>
        <c:crosses val="autoZero"/>
        <c:auto val="1"/>
        <c:lblAlgn val="ctr"/>
        <c:lblOffset val="100"/>
        <c:noMultiLvlLbl val="0"/>
      </c:catAx>
      <c:valAx>
        <c:axId val="1202286943"/>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22773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to Cap Affect</a:t>
            </a:r>
            <a:r>
              <a:rPr lang="en-US" baseline="0"/>
              <a:t> Price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4"/>
            </a:solidFill>
            <a:ln>
              <a:noFill/>
            </a:ln>
            <a:effectLst/>
          </c:spPr>
          <c:invertIfNegative val="0"/>
          <c:cat>
            <c:numRef>
              <c:f>'Sensitivity Analysis'!$F$32:$N$32</c:f>
              <c:numCache>
                <c:formatCode>General</c:formatCode>
                <c:ptCount val="9"/>
                <c:pt idx="0">
                  <c:v>3</c:v>
                </c:pt>
                <c:pt idx="1">
                  <c:v>2.5</c:v>
                </c:pt>
                <c:pt idx="2">
                  <c:v>2.25</c:v>
                </c:pt>
                <c:pt idx="3">
                  <c:v>2</c:v>
                </c:pt>
                <c:pt idx="4">
                  <c:v>1.75</c:v>
                </c:pt>
                <c:pt idx="5">
                  <c:v>1.5</c:v>
                </c:pt>
                <c:pt idx="6">
                  <c:v>1.25</c:v>
                </c:pt>
                <c:pt idx="7">
                  <c:v>1</c:v>
                </c:pt>
                <c:pt idx="8">
                  <c:v>0.75</c:v>
                </c:pt>
              </c:numCache>
            </c:numRef>
          </c:cat>
          <c:val>
            <c:numRef>
              <c:f>'Sensitivity Analysis'!$F$33:$N$33</c:f>
              <c:numCache>
                <c:formatCode>_ [$₹-4009]\ * #,##0.00_ ;_ [$₹-4009]\ * \-#,##0.00_ ;_ [$₹-4009]\ * "-"??_ ;_ @_ </c:formatCode>
                <c:ptCount val="9"/>
                <c:pt idx="0">
                  <c:v>631.69986209057663</c:v>
                </c:pt>
                <c:pt idx="1">
                  <c:v>610.3807485903302</c:v>
                </c:pt>
                <c:pt idx="2">
                  <c:v>596.16800625683265</c:v>
                </c:pt>
                <c:pt idx="3">
                  <c:v>578.40207833996078</c:v>
                </c:pt>
                <c:pt idx="4">
                  <c:v>555.56017101826819</c:v>
                </c:pt>
                <c:pt idx="5">
                  <c:v>525.10429458934493</c:v>
                </c:pt>
                <c:pt idx="6">
                  <c:v>482.46606758885218</c:v>
                </c:pt>
                <c:pt idx="7">
                  <c:v>418.50872708811312</c:v>
                </c:pt>
                <c:pt idx="8">
                  <c:v>311.91315958688148</c:v>
                </c:pt>
              </c:numCache>
            </c:numRef>
          </c:val>
          <c:extLst>
            <c:ext xmlns:c16="http://schemas.microsoft.com/office/drawing/2014/chart" uri="{C3380CC4-5D6E-409C-BE32-E72D297353CC}">
              <c16:uniqueId val="{00000000-C4CE-4CEE-8165-AA89FA3A2D8C}"/>
            </c:ext>
          </c:extLst>
        </c:ser>
        <c:dLbls>
          <c:showLegendKey val="0"/>
          <c:showVal val="0"/>
          <c:showCatName val="0"/>
          <c:showSerName val="0"/>
          <c:showPercent val="0"/>
          <c:showBubbleSize val="0"/>
        </c:dLbls>
        <c:gapWidth val="219"/>
        <c:overlap val="-27"/>
        <c:axId val="1203762399"/>
        <c:axId val="1203769887"/>
      </c:barChart>
      <c:catAx>
        <c:axId val="1203762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769887"/>
        <c:crosses val="autoZero"/>
        <c:auto val="1"/>
        <c:lblAlgn val="ctr"/>
        <c:lblOffset val="100"/>
        <c:noMultiLvlLbl val="0"/>
      </c:catAx>
      <c:valAx>
        <c:axId val="1203769887"/>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0376239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OPM Affect</a:t>
            </a:r>
            <a:r>
              <a:rPr lang="en-US" baseline="0"/>
              <a:t> Price</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6"/>
            </a:solidFill>
            <a:ln>
              <a:noFill/>
            </a:ln>
            <a:effectLst/>
          </c:spPr>
          <c:invertIfNegative val="0"/>
          <c:cat>
            <c:numRef>
              <c:f>'Sensitivity Analysis'!$F$36:$N$36</c:f>
              <c:numCache>
                <c:formatCode>0.0%</c:formatCode>
                <c:ptCount val="9"/>
                <c:pt idx="0" formatCode="0.00%">
                  <c:v>0.15</c:v>
                </c:pt>
                <c:pt idx="1">
                  <c:v>0.16</c:v>
                </c:pt>
                <c:pt idx="2">
                  <c:v>0.17</c:v>
                </c:pt>
                <c:pt idx="3">
                  <c:v>0.18</c:v>
                </c:pt>
                <c:pt idx="4">
                  <c:v>0.19</c:v>
                </c:pt>
                <c:pt idx="5">
                  <c:v>0.2</c:v>
                </c:pt>
                <c:pt idx="6">
                  <c:v>0.21</c:v>
                </c:pt>
                <c:pt idx="7">
                  <c:v>0.22</c:v>
                </c:pt>
                <c:pt idx="8">
                  <c:v>0.23</c:v>
                </c:pt>
              </c:numCache>
            </c:numRef>
          </c:cat>
          <c:val>
            <c:numRef>
              <c:f>'Sensitivity Analysis'!$F$37:$N$37</c:f>
              <c:numCache>
                <c:formatCode>_ [$₹-4009]\ * #,##0.00_ ;_ [$₹-4009]\ * \-#,##0.00_ ;_ [$₹-4009]\ * "-"??_ ;_ @_ </c:formatCode>
                <c:ptCount val="9"/>
                <c:pt idx="0">
                  <c:v>505.68680958257852</c:v>
                </c:pt>
                <c:pt idx="1">
                  <c:v>536.70354900528866</c:v>
                </c:pt>
                <c:pt idx="2">
                  <c:v>567.72028842799875</c:v>
                </c:pt>
                <c:pt idx="3">
                  <c:v>598.73702785070884</c:v>
                </c:pt>
                <c:pt idx="4">
                  <c:v>629.75376727341893</c:v>
                </c:pt>
                <c:pt idx="5">
                  <c:v>660.77050669612902</c:v>
                </c:pt>
                <c:pt idx="6">
                  <c:v>691.78724611883911</c:v>
                </c:pt>
                <c:pt idx="7">
                  <c:v>722.80398554154931</c:v>
                </c:pt>
                <c:pt idx="8">
                  <c:v>753.8207249642594</c:v>
                </c:pt>
              </c:numCache>
            </c:numRef>
          </c:val>
          <c:extLst>
            <c:ext xmlns:c16="http://schemas.microsoft.com/office/drawing/2014/chart" uri="{C3380CC4-5D6E-409C-BE32-E72D297353CC}">
              <c16:uniqueId val="{00000000-DE42-4DC0-956B-829A77101E1A}"/>
            </c:ext>
          </c:extLst>
        </c:ser>
        <c:dLbls>
          <c:showLegendKey val="0"/>
          <c:showVal val="0"/>
          <c:showCatName val="0"/>
          <c:showSerName val="0"/>
          <c:showPercent val="0"/>
          <c:showBubbleSize val="0"/>
        </c:dLbls>
        <c:gapWidth val="219"/>
        <c:overlap val="-27"/>
        <c:axId val="1348182271"/>
        <c:axId val="1348182687"/>
      </c:barChart>
      <c:catAx>
        <c:axId val="1348182271"/>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182687"/>
        <c:crosses val="autoZero"/>
        <c:auto val="1"/>
        <c:lblAlgn val="ctr"/>
        <c:lblOffset val="100"/>
        <c:noMultiLvlLbl val="0"/>
      </c:catAx>
      <c:valAx>
        <c:axId val="1348182687"/>
        <c:scaling>
          <c:orientation val="minMax"/>
        </c:scaling>
        <c:delete val="0"/>
        <c:axPos val="l"/>
        <c:majorGridlines>
          <c:spPr>
            <a:ln w="9525" cap="flat" cmpd="sng" algn="ctr">
              <a:solidFill>
                <a:schemeClr val="tx1">
                  <a:lumMod val="15000"/>
                  <a:lumOff val="85000"/>
                </a:schemeClr>
              </a:solidFill>
              <a:round/>
            </a:ln>
            <a:effectLst/>
          </c:spPr>
        </c:majorGridlines>
        <c:numFmt formatCode="_ [$₹-4009]\ * #,##0.00_ ;_ [$₹-4009]\ * \-#,##0.00_ ;_ [$₹-4009]\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818227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6">
  <a:schemeClr val="accent3"/>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9">
  <a:schemeClr val="accent6"/>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image" Target="../media/image12.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1" Type="http://schemas.openxmlformats.org/officeDocument/2006/relationships/image" Target="../media/image17.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20.png"/><Relationship Id="rId1" Type="http://schemas.openxmlformats.org/officeDocument/2006/relationships/image" Target="../media/image19.png"/><Relationship Id="rId6" Type="http://schemas.openxmlformats.org/officeDocument/2006/relationships/image" Target="../media/image24.png"/><Relationship Id="rId5" Type="http://schemas.openxmlformats.org/officeDocument/2006/relationships/image" Target="../media/image23.png"/><Relationship Id="rId4" Type="http://schemas.openxmlformats.org/officeDocument/2006/relationships/image" Target="../media/image22.png"/></Relationships>
</file>

<file path=xl/drawings/_rels/drawing1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2</xdr:row>
      <xdr:rowOff>57149</xdr:rowOff>
    </xdr:from>
    <xdr:to>
      <xdr:col>10</xdr:col>
      <xdr:colOff>238125</xdr:colOff>
      <xdr:row>22</xdr:row>
      <xdr:rowOff>9525</xdr:rowOff>
    </xdr:to>
    <xdr:pic>
      <xdr:nvPicPr>
        <xdr:cNvPr id="4" name="Picture 3" descr="TRENT Stock Price and Chart — NSE:TRENT — TradingView — India"/>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666" b="22334"/>
        <a:stretch/>
      </xdr:blipFill>
      <xdr:spPr bwMode="auto">
        <a:xfrm>
          <a:off x="295275" y="857249"/>
          <a:ext cx="5715000" cy="32575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28576</xdr:colOff>
      <xdr:row>5</xdr:row>
      <xdr:rowOff>0</xdr:rowOff>
    </xdr:from>
    <xdr:to>
      <xdr:col>6</xdr:col>
      <xdr:colOff>533400</xdr:colOff>
      <xdr:row>10</xdr:row>
      <xdr:rowOff>47625</xdr:rowOff>
    </xdr:to>
    <xdr:sp macro="" textlink="">
      <xdr:nvSpPr>
        <xdr:cNvPr id="2" name="TextBox 1"/>
        <xdr:cNvSpPr txBox="1"/>
      </xdr:nvSpPr>
      <xdr:spPr>
        <a:xfrm>
          <a:off x="161926" y="809625"/>
          <a:ext cx="4905374" cy="809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About Trent Ltd:</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Retailing of apparels, footwear, accessories, toys, games, food, grocery &amp; non food products through various of its retail formats/ concepts.</a:t>
          </a:r>
        </a:p>
      </xdr:txBody>
    </xdr:sp>
    <xdr:clientData/>
  </xdr:twoCellAnchor>
  <xdr:twoCellAnchor>
    <xdr:from>
      <xdr:col>1</xdr:col>
      <xdr:colOff>28574</xdr:colOff>
      <xdr:row>11</xdr:row>
      <xdr:rowOff>19049</xdr:rowOff>
    </xdr:from>
    <xdr:to>
      <xdr:col>6</xdr:col>
      <xdr:colOff>523874</xdr:colOff>
      <xdr:row>28</xdr:row>
      <xdr:rowOff>76200</xdr:rowOff>
    </xdr:to>
    <xdr:sp macro="" textlink="">
      <xdr:nvSpPr>
        <xdr:cNvPr id="6" name="TextBox 5"/>
        <xdr:cNvSpPr txBox="1"/>
      </xdr:nvSpPr>
      <xdr:spPr>
        <a:xfrm>
          <a:off x="161924" y="1743074"/>
          <a:ext cx="4962525" cy="26479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Retail Stores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Westside (174 stores) - It offers branded fashion apparel, footwear and accessories for women, men and children, along with a wide range of home furnishings &amp; decor.</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Zudio (133 stores) - It is the company's value fashion concept and offers fashion at competitive prices for women, men and children.</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Star Market (60 stores) - It is a hypermarket and supermarket store chain and offers various products including staples, beverages, health &amp; beauty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vegetables, fruits, dairy and non-vegetarian products,</a:t>
          </a:r>
          <a:r>
            <a:rPr lang="en-US" sz="900" baseline="0">
              <a:latin typeface="Arial" panose="020B0604020202020204" pitchFamily="34" charset="0"/>
              <a:cs typeface="Arial" panose="020B0604020202020204" pitchFamily="34" charset="0"/>
            </a:rPr>
            <a:t> </a:t>
          </a:r>
          <a:r>
            <a:rPr lang="en-US" sz="900">
              <a:latin typeface="Arial" panose="020B0604020202020204" pitchFamily="34" charset="0"/>
              <a:cs typeface="Arial" panose="020B0604020202020204" pitchFamily="34" charset="0"/>
            </a:rPr>
            <a:t>cleaning-aids, home care products, packaged foods, beverages and personal care products.</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Zara &amp; Massima Dutti (24 stores) - The company has 2 separate associations with Inditex Group wherein it holds 49% stake. One entity is engaged in operating 21 stores of Zara and other entity is engaged in operating 3 stores of Massimo Dutti in India.</a:t>
          </a:r>
        </a:p>
        <a:p>
          <a:endParaRPr lang="en-US" sz="900">
            <a:latin typeface="Arial" panose="020B0604020202020204" pitchFamily="34" charset="0"/>
            <a:cs typeface="Arial" panose="020B0604020202020204" pitchFamily="34" charset="0"/>
          </a:endParaRPr>
        </a:p>
        <a:p>
          <a:r>
            <a:rPr lang="en-US" sz="900">
              <a:latin typeface="Arial" panose="020B0604020202020204" pitchFamily="34" charset="0"/>
              <a:cs typeface="Arial" panose="020B0604020202020204" pitchFamily="34" charset="0"/>
            </a:rPr>
            <a:t>Other Concepts (19 stores) - The other concepts of the co. with a smaller footprint includes Booker Wholesale, Value Mandi, Landmark and Utsa.</a:t>
          </a:r>
        </a:p>
      </xdr:txBody>
    </xdr:sp>
    <xdr:clientData/>
  </xdr:twoCellAnchor>
  <xdr:twoCellAnchor editAs="oneCell">
    <xdr:from>
      <xdr:col>6</xdr:col>
      <xdr:colOff>695325</xdr:colOff>
      <xdr:row>0</xdr:row>
      <xdr:rowOff>25797</xdr:rowOff>
    </xdr:from>
    <xdr:to>
      <xdr:col>11</xdr:col>
      <xdr:colOff>160700</xdr:colOff>
      <xdr:row>11</xdr:row>
      <xdr:rowOff>38101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29225" y="25797"/>
          <a:ext cx="3132500" cy="1736329"/>
        </a:xfrm>
        <a:prstGeom prst="rect">
          <a:avLst/>
        </a:prstGeom>
      </xdr:spPr>
    </xdr:pic>
    <xdr:clientData/>
  </xdr:twoCellAnchor>
  <xdr:twoCellAnchor editAs="oneCell">
    <xdr:from>
      <xdr:col>10</xdr:col>
      <xdr:colOff>571501</xdr:colOff>
      <xdr:row>11</xdr:row>
      <xdr:rowOff>8356</xdr:rowOff>
    </xdr:from>
    <xdr:to>
      <xdr:col>17</xdr:col>
      <xdr:colOff>112744</xdr:colOff>
      <xdr:row>30</xdr:row>
      <xdr:rowOff>66675</xdr:rowOff>
    </xdr:to>
    <xdr:pic>
      <xdr:nvPicPr>
        <xdr:cNvPr id="4" name="Picture 3"/>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105776" y="1732381"/>
          <a:ext cx="4237068" cy="2953919"/>
        </a:xfrm>
        <a:prstGeom prst="rect">
          <a:avLst/>
        </a:prstGeom>
      </xdr:spPr>
    </xdr:pic>
    <xdr:clientData/>
  </xdr:twoCellAnchor>
  <xdr:twoCellAnchor editAs="oneCell">
    <xdr:from>
      <xdr:col>7</xdr:col>
      <xdr:colOff>14250</xdr:colOff>
      <xdr:row>20</xdr:row>
      <xdr:rowOff>9526</xdr:rowOff>
    </xdr:from>
    <xdr:to>
      <xdr:col>10</xdr:col>
      <xdr:colOff>406643</xdr:colOff>
      <xdr:row>30</xdr:row>
      <xdr:rowOff>114300</xdr:rowOff>
    </xdr:to>
    <xdr:pic>
      <xdr:nvPicPr>
        <xdr:cNvPr id="5" name="Picture 4"/>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310150" y="3105151"/>
          <a:ext cx="2630768" cy="1628774"/>
        </a:xfrm>
        <a:prstGeom prst="rect">
          <a:avLst/>
        </a:prstGeom>
      </xdr:spPr>
    </xdr:pic>
    <xdr:clientData/>
  </xdr:twoCellAnchor>
  <xdr:twoCellAnchor editAs="oneCell">
    <xdr:from>
      <xdr:col>11</xdr:col>
      <xdr:colOff>383324</xdr:colOff>
      <xdr:row>0</xdr:row>
      <xdr:rowOff>38100</xdr:rowOff>
    </xdr:from>
    <xdr:to>
      <xdr:col>15</xdr:col>
      <xdr:colOff>561974</xdr:colOff>
      <xdr:row>11</xdr:row>
      <xdr:rowOff>68758</xdr:rowOff>
    </xdr:to>
    <xdr:pic>
      <xdr:nvPicPr>
        <xdr:cNvPr id="7" name="Picture 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584349" y="38100"/>
          <a:ext cx="2988525" cy="1754683"/>
        </a:xfrm>
        <a:prstGeom prst="rect">
          <a:avLst/>
        </a:prstGeom>
      </xdr:spPr>
    </xdr:pic>
    <xdr:clientData/>
  </xdr:twoCellAnchor>
  <xdr:twoCellAnchor editAs="oneCell">
    <xdr:from>
      <xdr:col>7</xdr:col>
      <xdr:colOff>9450</xdr:colOff>
      <xdr:row>11</xdr:row>
      <xdr:rowOff>9451</xdr:rowOff>
    </xdr:from>
    <xdr:to>
      <xdr:col>10</xdr:col>
      <xdr:colOff>457200</xdr:colOff>
      <xdr:row>19</xdr:row>
      <xdr:rowOff>112545</xdr:rowOff>
    </xdr:to>
    <xdr:pic>
      <xdr:nvPicPr>
        <xdr:cNvPr id="8" name="Picture 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05350" y="1733476"/>
          <a:ext cx="2686125" cy="132229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17</xdr:col>
      <xdr:colOff>9525</xdr:colOff>
      <xdr:row>29</xdr:row>
      <xdr:rowOff>104775</xdr:rowOff>
    </xdr:to>
    <xdr:sp macro="" textlink="">
      <xdr:nvSpPr>
        <xdr:cNvPr id="9" name="TextBox 8"/>
        <xdr:cNvSpPr txBox="1"/>
      </xdr:nvSpPr>
      <xdr:spPr>
        <a:xfrm>
          <a:off x="133350" y="352425"/>
          <a:ext cx="12106275" cy="4219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latin typeface="Arial" panose="020B0604020202020204" pitchFamily="34" charset="0"/>
              <a:cs typeface="Arial" panose="020B0604020202020204" pitchFamily="34" charset="0"/>
            </a:rPr>
            <a:t>Trent Ltd Products: </a:t>
          </a:r>
          <a:r>
            <a:rPr lang="en-US" sz="900" b="0">
              <a:latin typeface="Arial" panose="020B0604020202020204" pitchFamily="34" charset="0"/>
              <a:cs typeface="Arial" panose="020B0604020202020204" pitchFamily="34" charset="0"/>
            </a:rPr>
            <a:t>Major</a:t>
          </a:r>
          <a:r>
            <a:rPr lang="en-US" sz="900" b="1">
              <a:latin typeface="Arial" panose="020B0604020202020204" pitchFamily="34" charset="0"/>
              <a:cs typeface="Arial" panose="020B0604020202020204" pitchFamily="34" charset="0"/>
            </a:rPr>
            <a:t> </a:t>
          </a:r>
          <a:r>
            <a:rPr lang="en-US" sz="900" b="0">
              <a:latin typeface="Arial" panose="020B0604020202020204" pitchFamily="34" charset="0"/>
              <a:cs typeface="Arial" panose="020B0604020202020204" pitchFamily="34" charset="0"/>
            </a:rPr>
            <a:t>Products include lifestyle retail stores like WestSide </a:t>
          </a:r>
          <a:r>
            <a:rPr lang="en-US" sz="900" b="0" baseline="0">
              <a:latin typeface="Arial" panose="020B0604020202020204" pitchFamily="34" charset="0"/>
              <a:cs typeface="Arial" panose="020B0604020202020204" pitchFamily="34" charset="0"/>
            </a:rPr>
            <a:t>(flagship product), Zudio, Zara (which creates 34.91% of Trent's total value), Massimo Dutti and food/grocery retail business like Star Market and Booker India Ltd.</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a:solidFill>
              <a:schemeClr val="dk1"/>
            </a:solidFill>
            <a:effectLst/>
            <a:latin typeface="Arial" panose="020B0604020202020204" pitchFamily="34" charset="0"/>
            <a:ea typeface="+mn-ea"/>
            <a:cs typeface="Arial" panose="020B0604020202020204" pitchFamily="34" charset="0"/>
          </a:endParaRPr>
        </a:p>
        <a:p>
          <a:r>
            <a:rPr lang="en-US" sz="900" b="1">
              <a:solidFill>
                <a:schemeClr val="dk1"/>
              </a:solidFill>
              <a:effectLst/>
              <a:latin typeface="Arial" panose="020B0604020202020204" pitchFamily="34" charset="0"/>
              <a:ea typeface="+mn-ea"/>
              <a:cs typeface="Arial" panose="020B0604020202020204" pitchFamily="34" charset="0"/>
            </a:rPr>
            <a:t>Market</a:t>
          </a:r>
          <a:r>
            <a:rPr lang="en-US" sz="900" b="1" baseline="0">
              <a:solidFill>
                <a:schemeClr val="dk1"/>
              </a:solidFill>
              <a:effectLst/>
              <a:latin typeface="Arial" panose="020B0604020202020204" pitchFamily="34" charset="0"/>
              <a:ea typeface="+mn-ea"/>
              <a:cs typeface="Arial" panose="020B0604020202020204" pitchFamily="34" charset="0"/>
            </a:rPr>
            <a:t> that Trent Ltd can grow in</a:t>
          </a:r>
          <a:r>
            <a:rPr lang="en-US" sz="900" b="1">
              <a:solidFill>
                <a:schemeClr val="dk1"/>
              </a:solidFill>
              <a:effectLst/>
              <a:latin typeface="Arial" panose="020B0604020202020204" pitchFamily="34" charset="0"/>
              <a:ea typeface="+mn-ea"/>
              <a:cs typeface="Arial" panose="020B0604020202020204" pitchFamily="34" charset="0"/>
            </a:rPr>
            <a:t>: </a:t>
          </a:r>
          <a:r>
            <a:rPr lang="en-US" sz="900" b="0">
              <a:solidFill>
                <a:schemeClr val="dk1"/>
              </a:solidFill>
              <a:effectLst/>
              <a:latin typeface="Arial" panose="020B0604020202020204" pitchFamily="34" charset="0"/>
              <a:ea typeface="+mn-ea"/>
              <a:cs typeface="Arial" panose="020B0604020202020204" pitchFamily="34" charset="0"/>
            </a:rPr>
            <a:t>Trent Ltd already</a:t>
          </a:r>
          <a:r>
            <a:rPr lang="en-US" sz="900" b="0" baseline="0">
              <a:solidFill>
                <a:schemeClr val="dk1"/>
              </a:solidFill>
              <a:effectLst/>
              <a:latin typeface="Arial" panose="020B0604020202020204" pitchFamily="34" charset="0"/>
              <a:ea typeface="+mn-ea"/>
              <a:cs typeface="Arial" panose="020B0604020202020204" pitchFamily="34" charset="0"/>
            </a:rPr>
            <a:t> has a big presence in lifestyle retail industry with WestSide and Zara. They can expand their food and grocery business (Star Market) which is loss making right now.</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Competitive Advantages (Brand Name) - </a:t>
          </a:r>
          <a:r>
            <a:rPr lang="en-US" sz="900" b="0" baseline="0">
              <a:solidFill>
                <a:schemeClr val="dk1"/>
              </a:solidFill>
              <a:effectLst/>
              <a:latin typeface="Arial" panose="020B0604020202020204" pitchFamily="34" charset="0"/>
              <a:ea typeface="+mn-ea"/>
              <a:cs typeface="Arial" panose="020B0604020202020204" pitchFamily="34" charset="0"/>
            </a:rPr>
            <a:t>Trent Ltd already has a big brand association mainly from Zara and WestSide. But, I believe it's not a 'sustainable' competitve advantage especially for a lifestyle retail business which associates themselves with attractively priced lifestyle products. This would mean that there would be a potential price war between similar staged brands.</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Potential Opportunity for Trent Ltd: </a:t>
          </a:r>
          <a:r>
            <a:rPr lang="en-US" sz="900" b="0" baseline="0">
              <a:solidFill>
                <a:schemeClr val="dk1"/>
              </a:solidFill>
              <a:effectLst/>
              <a:latin typeface="Arial" panose="020B0604020202020204" pitchFamily="34" charset="0"/>
              <a:ea typeface="+mn-ea"/>
              <a:cs typeface="Arial" panose="020B0604020202020204" pitchFamily="34" charset="0"/>
            </a:rPr>
            <a:t>Trent Ltd focuses heavily on being efficient in operations. This has refected in their 'Sales per square feet' which is maintained at Rs.10,500 even after expanding more retail stores across India and shrinkage (%) at 0.14%. Another big potential opportunity for Trent Ltd is WestSide Club Members which contribute to over 85% in sales. If they can create a strong networking effect in their member base, they can build a strong competitive advantage.</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Nature of Product/Service: </a:t>
          </a:r>
          <a:r>
            <a:rPr lang="en-US" sz="900" b="0" baseline="0">
              <a:solidFill>
                <a:schemeClr val="dk1"/>
              </a:solidFill>
              <a:effectLst/>
              <a:latin typeface="Arial" panose="020B0604020202020204" pitchFamily="34" charset="0"/>
              <a:ea typeface="+mn-ea"/>
              <a:cs typeface="Arial" panose="020B0604020202020204" pitchFamily="34" charset="0"/>
            </a:rPr>
            <a:t>Lifestyle Products are somewhat discretionary in nature. During recessions, the industry will hit slightly.</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a:t>
          </a:r>
          <a:r>
            <a:rPr lang="en-US" sz="900" b="0" baseline="0">
              <a:solidFill>
                <a:schemeClr val="dk1"/>
              </a:solidFill>
              <a:effectLst/>
              <a:latin typeface="Arial" panose="020B0604020202020204" pitchFamily="34" charset="0"/>
              <a:ea typeface="+mn-ea"/>
              <a:cs typeface="Arial" panose="020B0604020202020204" pitchFamily="34" charset="0"/>
            </a:rPr>
            <a:t> The Target Audience is Urban Middle Class Households. Lifestyle Products are tilted towards women's fashion.</a:t>
          </a:r>
        </a:p>
        <a:p>
          <a:endParaRPr lang="en-US" sz="900" b="0" baseline="0">
            <a:solidFill>
              <a:schemeClr val="dk1"/>
            </a:solidFill>
            <a:effectLst/>
            <a:latin typeface="Arial" panose="020B0604020202020204" pitchFamily="34" charset="0"/>
            <a:ea typeface="+mn-ea"/>
            <a:cs typeface="Arial" panose="020B0604020202020204" pitchFamily="34" charset="0"/>
          </a:endParaRPr>
        </a:p>
        <a:p>
          <a:r>
            <a:rPr lang="en-US" sz="900" b="1" baseline="0">
              <a:solidFill>
                <a:schemeClr val="dk1"/>
              </a:solidFill>
              <a:effectLst/>
              <a:latin typeface="Arial" panose="020B0604020202020204" pitchFamily="34" charset="0"/>
              <a:ea typeface="+mn-ea"/>
              <a:cs typeface="Arial" panose="020B0604020202020204" pitchFamily="34" charset="0"/>
            </a:rPr>
            <a:t>The Customers Pain Points: </a:t>
          </a:r>
          <a:r>
            <a:rPr lang="en-US" sz="900" b="0" baseline="0">
              <a:solidFill>
                <a:schemeClr val="dk1"/>
              </a:solidFill>
              <a:effectLst/>
              <a:latin typeface="Arial" panose="020B0604020202020204" pitchFamily="34" charset="0"/>
              <a:ea typeface="+mn-ea"/>
              <a:cs typeface="Arial" panose="020B0604020202020204" pitchFamily="34" charset="0"/>
            </a:rPr>
            <a:t> Women like variety in their fashion closet especially for their Instagram Feed. They want clothes which look expensive but can be bought at an attractive price i.e. On Sale.</a:t>
          </a:r>
          <a:endParaRPr lang="en-US" sz="900" b="0">
            <a:solidFill>
              <a:schemeClr val="dk1"/>
            </a:solidFill>
            <a:effectLst/>
            <a:latin typeface="Arial" panose="020B0604020202020204" pitchFamily="34" charset="0"/>
            <a:ea typeface="+mn-ea"/>
            <a:cs typeface="Arial" panose="020B0604020202020204" pitchFamily="34" charset="0"/>
          </a:endParaRPr>
        </a:p>
        <a:p>
          <a:endParaRPr lang="en-US" sz="900" b="1">
            <a:solidFill>
              <a:schemeClr val="dk1"/>
            </a:solidFill>
            <a:effectLst/>
            <a:latin typeface="Arial" panose="020B0604020202020204" pitchFamily="34" charset="0"/>
            <a:ea typeface="+mn-ea"/>
            <a:cs typeface="Arial" panose="020B0604020202020204" pitchFamily="34" charset="0"/>
          </a:endParaRPr>
        </a:p>
        <a:p>
          <a:r>
            <a:rPr lang="en-US" sz="900" b="1">
              <a:latin typeface="Arial" panose="020B0604020202020204" pitchFamily="34" charset="0"/>
              <a:cs typeface="Arial" panose="020B0604020202020204" pitchFamily="34" charset="0"/>
            </a:rPr>
            <a:t>Pricing: </a:t>
          </a:r>
          <a:r>
            <a:rPr lang="en-US" sz="900" b="0">
              <a:latin typeface="Arial" panose="020B0604020202020204" pitchFamily="34" charset="0"/>
              <a:cs typeface="Arial" panose="020B0604020202020204" pitchFamily="34" charset="0"/>
            </a:rPr>
            <a:t>An Average Bill Size from WestSide Club members is around Rs. 2,800</a:t>
          </a:r>
          <a:r>
            <a:rPr lang="en-US" sz="900" b="0" baseline="0">
              <a:latin typeface="Arial" panose="020B0604020202020204" pitchFamily="34" charset="0"/>
              <a:cs typeface="Arial" panose="020B0604020202020204" pitchFamily="34" charset="0"/>
            </a:rPr>
            <a:t>.</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Revenues to Profits: </a:t>
          </a:r>
          <a:r>
            <a:rPr lang="en-US" sz="900" b="0" baseline="0">
              <a:latin typeface="Arial" panose="020B0604020202020204" pitchFamily="34" charset="0"/>
              <a:cs typeface="Arial" panose="020B0604020202020204" pitchFamily="34" charset="0"/>
            </a:rPr>
            <a:t>Trent Ltd biggest expenditure are their employee benefit expenses (people handling the rides, sweepers, security guards etc), cost for leasing assets, advertising and marketing expense, freight charges. They make about 15.58% Operating Profit Margin.</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Competition: </a:t>
          </a:r>
          <a:r>
            <a:rPr lang="en-US" sz="900" b="0" baseline="0">
              <a:latin typeface="Arial" panose="020B0604020202020204" pitchFamily="34" charset="0"/>
              <a:cs typeface="Arial" panose="020B0604020202020204" pitchFamily="34" charset="0"/>
            </a:rPr>
            <a:t>Competition comes from Metro Brands, V-Mart, Shoppers Stop, Future Lifstyle Fashions and V2 Retail. Some purely occasion fashion brands like Manyavar on a lesser extent. </a:t>
          </a:r>
        </a:p>
        <a:p>
          <a:endParaRPr lang="en-US" sz="900" b="1"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How Much Capital Intensive?: </a:t>
          </a:r>
          <a:r>
            <a:rPr lang="en-US" sz="900" b="0" baseline="0">
              <a:latin typeface="Arial" panose="020B0604020202020204" pitchFamily="34" charset="0"/>
              <a:cs typeface="Arial" panose="020B0604020202020204" pitchFamily="34" charset="0"/>
            </a:rPr>
            <a:t>Retail Business usually requires high capital expenditure like huge Leasing and Aquisition Cost. Trent Ltd has been efficient enough in their operations and making Rs. 2.19 of Sales for every Rs.1 of Invested Capital. If they follow this trend in the future, they would need to invest about Rs. 264 cr per annum for the next 10 years to increase their Return on Capital to 14.88%. Trent Ltd has reinvested 50% of their earnings in FY22 but as the company matures, it can reduce it's reinvestment rate to about 13% while maintaining a high Return on Capital.</a:t>
          </a:r>
        </a:p>
        <a:p>
          <a:endParaRPr lang="en-US" sz="900" b="0" baseline="0">
            <a:latin typeface="Arial" panose="020B0604020202020204" pitchFamily="34" charset="0"/>
            <a:cs typeface="Arial" panose="020B0604020202020204" pitchFamily="34" charset="0"/>
          </a:endParaRPr>
        </a:p>
        <a:p>
          <a:r>
            <a:rPr lang="en-US" sz="900" b="1" baseline="0">
              <a:latin typeface="Arial" panose="020B0604020202020204" pitchFamily="34" charset="0"/>
              <a:cs typeface="Arial" panose="020B0604020202020204" pitchFamily="34" charset="0"/>
            </a:rPr>
            <a:t>Strengths and Weakness: </a:t>
          </a:r>
          <a:r>
            <a:rPr lang="en-US" sz="900" b="0" baseline="0">
              <a:latin typeface="Arial" panose="020B0604020202020204" pitchFamily="34" charset="0"/>
              <a:cs typeface="Arial" panose="020B0604020202020204" pitchFamily="34" charset="0"/>
            </a:rPr>
            <a:t>Trent Ltd has a big brand name association with Zara and WestSide. They have good operational efficiency which is a lifeline for of a retail business. One of their weakness is Interest Coverage Ratio which is 2.04 in FY22 while another weakness is their Return on Capital (8.94%) is lower than Cost of Capital (11.08%) as of FY22.</a:t>
          </a:r>
          <a:endParaRPr lang="en-US" sz="900" b="1">
            <a:latin typeface="Arial" panose="020B0604020202020204" pitchFamily="34" charset="0"/>
            <a:cs typeface="Arial" panose="020B0604020202020204" pitchFamily="34" charset="0"/>
          </a:endParaRPr>
        </a:p>
        <a:p>
          <a:endParaRPr lang="en-US" sz="900" b="1">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342900</xdr:colOff>
      <xdr:row>1</xdr:row>
      <xdr:rowOff>0</xdr:rowOff>
    </xdr:from>
    <xdr:to>
      <xdr:col>18</xdr:col>
      <xdr:colOff>27398</xdr:colOff>
      <xdr:row>14</xdr:row>
      <xdr:rowOff>43891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91575" y="200025"/>
          <a:ext cx="3342098" cy="2120341"/>
        </a:xfrm>
        <a:prstGeom prst="rect">
          <a:avLst/>
        </a:prstGeom>
      </xdr:spPr>
    </xdr:pic>
    <xdr:clientData/>
  </xdr:twoCellAnchor>
  <xdr:twoCellAnchor editAs="oneCell">
    <xdr:from>
      <xdr:col>12</xdr:col>
      <xdr:colOff>352426</xdr:colOff>
      <xdr:row>15</xdr:row>
      <xdr:rowOff>19051</xdr:rowOff>
    </xdr:from>
    <xdr:to>
      <xdr:col>18</xdr:col>
      <xdr:colOff>28576</xdr:colOff>
      <xdr:row>29</xdr:row>
      <xdr:rowOff>63396</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801101" y="2447926"/>
          <a:ext cx="3333750" cy="2177945"/>
        </a:xfrm>
        <a:prstGeom prst="rect">
          <a:avLst/>
        </a:prstGeom>
      </xdr:spPr>
    </xdr:pic>
    <xdr:clientData/>
  </xdr:twoCellAnchor>
  <xdr:twoCellAnchor editAs="oneCell">
    <xdr:from>
      <xdr:col>6</xdr:col>
      <xdr:colOff>57811</xdr:colOff>
      <xdr:row>1</xdr:row>
      <xdr:rowOff>95250</xdr:rowOff>
    </xdr:from>
    <xdr:to>
      <xdr:col>12</xdr:col>
      <xdr:colOff>545</xdr:colOff>
      <xdr:row>20</xdr:row>
      <xdr:rowOff>28575</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48886" y="295275"/>
          <a:ext cx="3600334" cy="292417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81141</xdr:colOff>
      <xdr:row>0</xdr:row>
      <xdr:rowOff>161925</xdr:rowOff>
    </xdr:from>
    <xdr:to>
      <xdr:col>17</xdr:col>
      <xdr:colOff>96043</xdr:colOff>
      <xdr:row>19</xdr:row>
      <xdr:rowOff>48580</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205716" y="161925"/>
          <a:ext cx="6110902" cy="2829880"/>
        </a:xfrm>
        <a:prstGeom prst="rect">
          <a:avLst/>
        </a:prstGeom>
        <a:ln>
          <a:solidFill>
            <a:srgbClr val="DDDDDD"/>
          </a:solidFill>
        </a:ln>
      </xdr:spPr>
    </xdr:pic>
    <xdr:clientData/>
  </xdr:twoCellAnchor>
  <xdr:twoCellAnchor editAs="oneCell">
    <xdr:from>
      <xdr:col>7</xdr:col>
      <xdr:colOff>83597</xdr:colOff>
      <xdr:row>20</xdr:row>
      <xdr:rowOff>32741</xdr:rowOff>
    </xdr:from>
    <xdr:to>
      <xdr:col>17</xdr:col>
      <xdr:colOff>114301</xdr:colOff>
      <xdr:row>29</xdr:row>
      <xdr:rowOff>95250</xdr:rowOff>
    </xdr:to>
    <xdr:pic>
      <xdr:nvPicPr>
        <xdr:cNvPr id="6"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08172" y="3147416"/>
          <a:ext cx="6126704" cy="1424584"/>
        </a:xfrm>
        <a:prstGeom prst="rect">
          <a:avLst/>
        </a:prstGeom>
        <a:ln>
          <a:solidFill>
            <a:srgbClr val="DDDDDD"/>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266700</xdr:colOff>
      <xdr:row>1</xdr:row>
      <xdr:rowOff>76200</xdr:rowOff>
    </xdr:from>
    <xdr:to>
      <xdr:col>12</xdr:col>
      <xdr:colOff>200710</xdr:colOff>
      <xdr:row>27</xdr:row>
      <xdr:rowOff>558</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29050" y="266700"/>
          <a:ext cx="4906060" cy="4001058"/>
        </a:xfrm>
        <a:prstGeom prst="rect">
          <a:avLst/>
        </a:prstGeom>
      </xdr:spPr>
    </xdr:pic>
    <xdr:clientData/>
  </xdr:twoCellAnchor>
  <xdr:twoCellAnchor>
    <xdr:from>
      <xdr:col>11</xdr:col>
      <xdr:colOff>66675</xdr:colOff>
      <xdr:row>9</xdr:row>
      <xdr:rowOff>114298</xdr:rowOff>
    </xdr:from>
    <xdr:to>
      <xdr:col>11</xdr:col>
      <xdr:colOff>533400</xdr:colOff>
      <xdr:row>12</xdr:row>
      <xdr:rowOff>38099</xdr:rowOff>
    </xdr:to>
    <xdr:sp macro="" textlink="">
      <xdr:nvSpPr>
        <xdr:cNvPr id="3" name="Rectangle 2"/>
        <xdr:cNvSpPr/>
      </xdr:nvSpPr>
      <xdr:spPr>
        <a:xfrm flipV="1">
          <a:off x="7981950" y="1600198"/>
          <a:ext cx="466725" cy="381001"/>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66675</xdr:colOff>
      <xdr:row>18</xdr:row>
      <xdr:rowOff>85725</xdr:rowOff>
    </xdr:from>
    <xdr:to>
      <xdr:col>11</xdr:col>
      <xdr:colOff>533400</xdr:colOff>
      <xdr:row>20</xdr:row>
      <xdr:rowOff>94728</xdr:rowOff>
    </xdr:to>
    <xdr:sp macro="" textlink="">
      <xdr:nvSpPr>
        <xdr:cNvPr id="4" name="Rectangle 3"/>
        <xdr:cNvSpPr/>
      </xdr:nvSpPr>
      <xdr:spPr>
        <a:xfrm flipV="1">
          <a:off x="7981950" y="2981325"/>
          <a:ext cx="466725" cy="313803"/>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200025</xdr:colOff>
      <xdr:row>0</xdr:row>
      <xdr:rowOff>133350</xdr:rowOff>
    </xdr:from>
    <xdr:to>
      <xdr:col>13</xdr:col>
      <xdr:colOff>410383</xdr:colOff>
      <xdr:row>8</xdr:row>
      <xdr:rowOff>95421</xdr:rowOff>
    </xdr:to>
    <xdr:pic>
      <xdr:nvPicPr>
        <xdr:cNvPr id="4" name="Picture 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971925" y="133350"/>
          <a:ext cx="5792008" cy="1228896"/>
        </a:xfrm>
        <a:prstGeom prst="rect">
          <a:avLst/>
        </a:prstGeom>
      </xdr:spPr>
    </xdr:pic>
    <xdr:clientData/>
  </xdr:twoCellAnchor>
  <xdr:twoCellAnchor editAs="oneCell">
    <xdr:from>
      <xdr:col>4</xdr:col>
      <xdr:colOff>209550</xdr:colOff>
      <xdr:row>8</xdr:row>
      <xdr:rowOff>123825</xdr:rowOff>
    </xdr:from>
    <xdr:to>
      <xdr:col>13</xdr:col>
      <xdr:colOff>429435</xdr:colOff>
      <xdr:row>21</xdr:row>
      <xdr:rowOff>57470</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14936"/>
        <a:stretch/>
      </xdr:blipFill>
      <xdr:spPr>
        <a:xfrm>
          <a:off x="3981450" y="1390650"/>
          <a:ext cx="5801535" cy="1952945"/>
        </a:xfrm>
        <a:prstGeom prst="rect">
          <a:avLst/>
        </a:prstGeom>
      </xdr:spPr>
    </xdr:pic>
    <xdr:clientData/>
  </xdr:twoCellAnchor>
  <xdr:twoCellAnchor editAs="oneCell">
    <xdr:from>
      <xdr:col>4</xdr:col>
      <xdr:colOff>247651</xdr:colOff>
      <xdr:row>21</xdr:row>
      <xdr:rowOff>114300</xdr:rowOff>
    </xdr:from>
    <xdr:to>
      <xdr:col>13</xdr:col>
      <xdr:colOff>323851</xdr:colOff>
      <xdr:row>29</xdr:row>
      <xdr:rowOff>17689</xdr:rowOff>
    </xdr:to>
    <xdr:pic>
      <xdr:nvPicPr>
        <xdr:cNvPr id="7" name="Picture 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19551" y="3400425"/>
          <a:ext cx="5657850" cy="1122589"/>
        </a:xfrm>
        <a:prstGeom prst="rect">
          <a:avLst/>
        </a:prstGeom>
      </xdr:spPr>
    </xdr:pic>
    <xdr:clientData/>
  </xdr:twoCellAnchor>
  <xdr:twoCellAnchor>
    <xdr:from>
      <xdr:col>11</xdr:col>
      <xdr:colOff>190500</xdr:colOff>
      <xdr:row>26</xdr:row>
      <xdr:rowOff>123825</xdr:rowOff>
    </xdr:from>
    <xdr:to>
      <xdr:col>11</xdr:col>
      <xdr:colOff>523875</xdr:colOff>
      <xdr:row>26</xdr:row>
      <xdr:rowOff>123825</xdr:rowOff>
    </xdr:to>
    <xdr:cxnSp macro="">
      <xdr:nvCxnSpPr>
        <xdr:cNvPr id="9" name="Straight Arrow Connector 8"/>
        <xdr:cNvCxnSpPr/>
      </xdr:nvCxnSpPr>
      <xdr:spPr>
        <a:xfrm>
          <a:off x="8315325" y="4171950"/>
          <a:ext cx="333375" cy="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361950</xdr:colOff>
      <xdr:row>20</xdr:row>
      <xdr:rowOff>114300</xdr:rowOff>
    </xdr:from>
    <xdr:to>
      <xdr:col>13</xdr:col>
      <xdr:colOff>572673</xdr:colOff>
      <xdr:row>27</xdr:row>
      <xdr:rowOff>95396</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62350" y="3295650"/>
          <a:ext cx="8402223" cy="1047896"/>
        </a:xfrm>
        <a:prstGeom prst="rect">
          <a:avLst/>
        </a:prstGeom>
      </xdr:spPr>
    </xdr:pic>
    <xdr:clientData/>
  </xdr:twoCellAnchor>
  <xdr:twoCellAnchor>
    <xdr:from>
      <xdr:col>10</xdr:col>
      <xdr:colOff>447675</xdr:colOff>
      <xdr:row>22</xdr:row>
      <xdr:rowOff>9525</xdr:rowOff>
    </xdr:from>
    <xdr:to>
      <xdr:col>11</xdr:col>
      <xdr:colOff>227301</xdr:colOff>
      <xdr:row>22</xdr:row>
      <xdr:rowOff>47625</xdr:rowOff>
    </xdr:to>
    <xdr:cxnSp macro="">
      <xdr:nvCxnSpPr>
        <xdr:cNvPr id="4" name="Straight Arrow Connector 3"/>
        <xdr:cNvCxnSpPr/>
      </xdr:nvCxnSpPr>
      <xdr:spPr>
        <a:xfrm flipV="1">
          <a:off x="9963150" y="3495675"/>
          <a:ext cx="379701" cy="38100"/>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447675</xdr:colOff>
      <xdr:row>23</xdr:row>
      <xdr:rowOff>9527</xdr:rowOff>
    </xdr:from>
    <xdr:to>
      <xdr:col>11</xdr:col>
      <xdr:colOff>200025</xdr:colOff>
      <xdr:row>23</xdr:row>
      <xdr:rowOff>47625</xdr:rowOff>
    </xdr:to>
    <xdr:cxnSp macro="">
      <xdr:nvCxnSpPr>
        <xdr:cNvPr id="6" name="Straight Arrow Connector 5"/>
        <xdr:cNvCxnSpPr/>
      </xdr:nvCxnSpPr>
      <xdr:spPr>
        <a:xfrm flipV="1">
          <a:off x="9963150" y="3648077"/>
          <a:ext cx="352425" cy="38098"/>
        </a:xfrm>
        <a:prstGeom prst="straightConnector1">
          <a:avLst/>
        </a:prstGeom>
        <a:ln>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12</xdr:col>
      <xdr:colOff>11814</xdr:colOff>
      <xdr:row>0</xdr:row>
      <xdr:rowOff>139117</xdr:rowOff>
    </xdr:from>
    <xdr:to>
      <xdr:col>15</xdr:col>
      <xdr:colOff>47625</xdr:colOff>
      <xdr:row>22</xdr:row>
      <xdr:rowOff>38100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89139" y="139117"/>
          <a:ext cx="3207636" cy="3289883"/>
        </a:xfrm>
        <a:prstGeom prst="rect">
          <a:avLst/>
        </a:prstGeom>
        <a:ln>
          <a:solidFill>
            <a:sysClr val="windowText" lastClr="000000"/>
          </a:solidFill>
        </a:ln>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133349</xdr:colOff>
      <xdr:row>9</xdr:row>
      <xdr:rowOff>9525</xdr:rowOff>
    </xdr:from>
    <xdr:to>
      <xdr:col>4</xdr:col>
      <xdr:colOff>1609725</xdr:colOff>
      <xdr:row>11</xdr:row>
      <xdr:rowOff>133350</xdr:rowOff>
    </xdr:to>
    <xdr:sp macro="" textlink="">
      <xdr:nvSpPr>
        <xdr:cNvPr id="4" name="TextBox 3"/>
        <xdr:cNvSpPr txBox="1"/>
      </xdr:nvSpPr>
      <xdr:spPr>
        <a:xfrm>
          <a:off x="4486274" y="1419225"/>
          <a:ext cx="1476376" cy="438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Value Company</a:t>
          </a:r>
          <a:r>
            <a:rPr lang="en-US" sz="1050" baseline="0">
              <a:solidFill>
                <a:schemeClr val="dk1"/>
              </a:solidFill>
              <a:effectLst/>
              <a:latin typeface="+mn-lt"/>
              <a:ea typeface="+mn-ea"/>
              <a:cs typeface="+mn-cs"/>
            </a:rPr>
            <a:t> and </a:t>
          </a:r>
          <a:r>
            <a:rPr lang="en-US" sz="1050">
              <a:solidFill>
                <a:schemeClr val="dk1"/>
              </a:solidFill>
              <a:effectLst/>
              <a:latin typeface="+mn-lt"/>
              <a:ea typeface="+mn-ea"/>
              <a:cs typeface="+mn-cs"/>
            </a:rPr>
            <a:t>Substract</a:t>
          </a:r>
          <a:r>
            <a:rPr lang="en-US" sz="1050" baseline="0">
              <a:solidFill>
                <a:schemeClr val="dk1"/>
              </a:solidFill>
              <a:effectLst/>
              <a:latin typeface="+mn-lt"/>
              <a:ea typeface="+mn-ea"/>
              <a:cs typeface="+mn-cs"/>
            </a:rPr>
            <a:t> Non Owner.</a:t>
          </a:r>
          <a:endParaRPr lang="en-US" sz="1050">
            <a:effectLst/>
          </a:endParaRPr>
        </a:p>
        <a:p>
          <a:endParaRPr lang="en-US" sz="1050"/>
        </a:p>
      </xdr:txBody>
    </xdr:sp>
    <xdr:clientData/>
  </xdr:twoCellAnchor>
  <xdr:twoCellAnchor>
    <xdr:from>
      <xdr:col>4</xdr:col>
      <xdr:colOff>133349</xdr:colOff>
      <xdr:row>12</xdr:row>
      <xdr:rowOff>95250</xdr:rowOff>
    </xdr:from>
    <xdr:to>
      <xdr:col>4</xdr:col>
      <xdr:colOff>1609725</xdr:colOff>
      <xdr:row>18</xdr:row>
      <xdr:rowOff>114300</xdr:rowOff>
    </xdr:to>
    <xdr:sp macro="" textlink="">
      <xdr:nvSpPr>
        <xdr:cNvPr id="5" name="TextBox 4"/>
        <xdr:cNvSpPr txBox="1"/>
      </xdr:nvSpPr>
      <xdr:spPr>
        <a:xfrm>
          <a:off x="4486274" y="1971675"/>
          <a:ext cx="1476376"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Not Consolidated in Financial Statements so value each</a:t>
          </a:r>
          <a:r>
            <a:rPr lang="en-US" sz="1050" baseline="0">
              <a:solidFill>
                <a:schemeClr val="dk1"/>
              </a:solidFill>
              <a:effectLst/>
              <a:latin typeface="+mn-lt"/>
              <a:ea typeface="+mn-ea"/>
              <a:cs typeface="+mn-cs"/>
            </a:rPr>
            <a:t> </a:t>
          </a:r>
          <a:r>
            <a:rPr lang="en-US" sz="1050">
              <a:solidFill>
                <a:schemeClr val="dk1"/>
              </a:solidFill>
              <a:effectLst/>
              <a:latin typeface="+mn-lt"/>
              <a:ea typeface="+mn-ea"/>
              <a:cs typeface="+mn-cs"/>
            </a:rPr>
            <a:t>company</a:t>
          </a:r>
          <a:r>
            <a:rPr lang="en-US" sz="1050" baseline="0">
              <a:solidFill>
                <a:schemeClr val="dk1"/>
              </a:solidFill>
              <a:effectLst/>
              <a:latin typeface="+mn-lt"/>
              <a:ea typeface="+mn-ea"/>
              <a:cs typeface="+mn-cs"/>
            </a:rPr>
            <a:t> and a</a:t>
          </a:r>
          <a:r>
            <a:rPr lang="en-US" sz="1050">
              <a:solidFill>
                <a:schemeClr val="dk1"/>
              </a:solidFill>
              <a:effectLst/>
              <a:latin typeface="+mn-lt"/>
              <a:ea typeface="+mn-ea"/>
              <a:cs typeface="+mn-cs"/>
            </a:rPr>
            <a:t>dd</a:t>
          </a:r>
          <a:r>
            <a:rPr lang="en-US" sz="1050" baseline="0">
              <a:solidFill>
                <a:schemeClr val="dk1"/>
              </a:solidFill>
              <a:effectLst/>
              <a:latin typeface="+mn-lt"/>
              <a:ea typeface="+mn-ea"/>
              <a:cs typeface="+mn-cs"/>
            </a:rPr>
            <a:t> ownership stake.</a:t>
          </a:r>
          <a:endParaRPr lang="en-US" sz="1050">
            <a:effectLst/>
          </a:endParaRPr>
        </a:p>
      </xdr:txBody>
    </xdr:sp>
    <xdr:clientData/>
  </xdr:twoCellAnchor>
  <xdr:twoCellAnchor>
    <xdr:from>
      <xdr:col>4</xdr:col>
      <xdr:colOff>133349</xdr:colOff>
      <xdr:row>4</xdr:row>
      <xdr:rowOff>57150</xdr:rowOff>
    </xdr:from>
    <xdr:to>
      <xdr:col>4</xdr:col>
      <xdr:colOff>1609724</xdr:colOff>
      <xdr:row>8</xdr:row>
      <xdr:rowOff>57150</xdr:rowOff>
    </xdr:to>
    <xdr:sp macro="" textlink="">
      <xdr:nvSpPr>
        <xdr:cNvPr id="6" name="TextBox 5"/>
        <xdr:cNvSpPr txBox="1"/>
      </xdr:nvSpPr>
      <xdr:spPr>
        <a:xfrm>
          <a:off x="4486274" y="704850"/>
          <a:ext cx="147637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solidFill>
                <a:schemeClr val="dk1"/>
              </a:solidFill>
              <a:effectLst/>
              <a:latin typeface="+mn-lt"/>
              <a:ea typeface="+mn-ea"/>
              <a:cs typeface="+mn-cs"/>
            </a:rPr>
            <a:t>Do Nothing!</a:t>
          </a:r>
          <a:r>
            <a:rPr lang="en-US" sz="1050" baseline="0">
              <a:solidFill>
                <a:schemeClr val="dk1"/>
              </a:solidFill>
              <a:effectLst/>
              <a:latin typeface="+mn-lt"/>
              <a:ea typeface="+mn-ea"/>
              <a:cs typeface="+mn-cs"/>
            </a:rPr>
            <a:t> It's a</a:t>
          </a:r>
          <a:r>
            <a:rPr lang="en-US" sz="1050">
              <a:solidFill>
                <a:schemeClr val="dk1"/>
              </a:solidFill>
              <a:effectLst/>
              <a:latin typeface="+mn-lt"/>
              <a:ea typeface="+mn-ea"/>
              <a:cs typeface="+mn-cs"/>
            </a:rPr>
            <a:t>lready 100% part of the company.</a:t>
          </a:r>
          <a:endParaRPr lang="en-US" sz="1050">
            <a:effectLst/>
          </a:endParaRPr>
        </a:p>
        <a:p>
          <a:endParaRPr lang="en-US" sz="1050"/>
        </a:p>
      </xdr:txBody>
    </xdr:sp>
    <xdr:clientData/>
  </xdr:twoCellAnchor>
  <xdr:twoCellAnchor editAs="oneCell">
    <xdr:from>
      <xdr:col>6</xdr:col>
      <xdr:colOff>476250</xdr:colOff>
      <xdr:row>1</xdr:row>
      <xdr:rowOff>122571</xdr:rowOff>
    </xdr:from>
    <xdr:to>
      <xdr:col>14</xdr:col>
      <xdr:colOff>105582</xdr:colOff>
      <xdr:row>27</xdr:row>
      <xdr:rowOff>114969</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400925" y="313071"/>
          <a:ext cx="4782357" cy="396432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5" name="Picture 4"/>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91275"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6" name="Picture 5"/>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443853"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7" name="Picture 6"/>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438900"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9" name="Picture 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10" name="Picture 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11" name="Picture 1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648656</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601010</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649926</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7</xdr:col>
      <xdr:colOff>38100</xdr:colOff>
      <xdr:row>49</xdr:row>
      <xdr:rowOff>19050</xdr:rowOff>
    </xdr:from>
    <xdr:to>
      <xdr:col>13</xdr:col>
      <xdr:colOff>601031</xdr:colOff>
      <xdr:row>77</xdr:row>
      <xdr:rowOff>123825</xdr:rowOff>
    </xdr:to>
    <xdr:pic>
      <xdr:nvPicPr>
        <xdr:cNvPr id="2" name="Picture 1"/>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091" b="1926"/>
        <a:stretch/>
      </xdr:blipFill>
      <xdr:spPr>
        <a:xfrm>
          <a:off x="6324600" y="7534275"/>
          <a:ext cx="5449256" cy="4371975"/>
        </a:xfrm>
        <a:prstGeom prst="rect">
          <a:avLst/>
        </a:prstGeom>
      </xdr:spPr>
    </xdr:pic>
    <xdr:clientData/>
  </xdr:twoCellAnchor>
  <xdr:twoCellAnchor editAs="oneCell">
    <xdr:from>
      <xdr:col>7</xdr:col>
      <xdr:colOff>90678</xdr:colOff>
      <xdr:row>78</xdr:row>
      <xdr:rowOff>0</xdr:rowOff>
    </xdr:from>
    <xdr:to>
      <xdr:col>13</xdr:col>
      <xdr:colOff>553385</xdr:colOff>
      <xdr:row>99</xdr:row>
      <xdr:rowOff>47625</xdr:rowOff>
    </xdr:to>
    <xdr:pic>
      <xdr:nvPicPr>
        <xdr:cNvPr id="3" name="Picture 2"/>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4941" b="456"/>
        <a:stretch/>
      </xdr:blipFill>
      <xdr:spPr>
        <a:xfrm>
          <a:off x="6377178" y="11934825"/>
          <a:ext cx="5349032" cy="3248025"/>
        </a:xfrm>
        <a:prstGeom prst="rect">
          <a:avLst/>
        </a:prstGeom>
      </xdr:spPr>
    </xdr:pic>
    <xdr:clientData/>
  </xdr:twoCellAnchor>
  <xdr:twoCellAnchor editAs="oneCell">
    <xdr:from>
      <xdr:col>7</xdr:col>
      <xdr:colOff>85725</xdr:colOff>
      <xdr:row>99</xdr:row>
      <xdr:rowOff>57149</xdr:rowOff>
    </xdr:from>
    <xdr:to>
      <xdr:col>13</xdr:col>
      <xdr:colOff>602301</xdr:colOff>
      <xdr:row>118</xdr:row>
      <xdr:rowOff>57896</xdr:rowOff>
    </xdr:to>
    <xdr:pic>
      <xdr:nvPicPr>
        <xdr:cNvPr id="4" name="Picture 3"/>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t="32300"/>
        <a:stretch/>
      </xdr:blipFill>
      <xdr:spPr>
        <a:xfrm>
          <a:off x="6372225" y="15192374"/>
          <a:ext cx="5402901" cy="2896347"/>
        </a:xfrm>
        <a:prstGeom prst="rect">
          <a:avLst/>
        </a:prstGeom>
      </xdr:spPr>
    </xdr:pic>
    <xdr:clientData/>
  </xdr:twoCellAnchor>
  <xdr:twoCellAnchor editAs="oneCell">
    <xdr:from>
      <xdr:col>1</xdr:col>
      <xdr:colOff>200026</xdr:colOff>
      <xdr:row>49</xdr:row>
      <xdr:rowOff>9524</xdr:rowOff>
    </xdr:from>
    <xdr:to>
      <xdr:col>6</xdr:col>
      <xdr:colOff>494171</xdr:colOff>
      <xdr:row>76</xdr:row>
      <xdr:rowOff>114969</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33376" y="7524749"/>
          <a:ext cx="5618620" cy="4220245"/>
        </a:xfrm>
        <a:prstGeom prst="rect">
          <a:avLst/>
        </a:prstGeom>
      </xdr:spPr>
    </xdr:pic>
    <xdr:clientData/>
  </xdr:twoCellAnchor>
  <xdr:twoCellAnchor editAs="oneCell">
    <xdr:from>
      <xdr:col>1</xdr:col>
      <xdr:colOff>197625</xdr:colOff>
      <xdr:row>76</xdr:row>
      <xdr:rowOff>93096</xdr:rowOff>
    </xdr:from>
    <xdr:to>
      <xdr:col>6</xdr:col>
      <xdr:colOff>491769</xdr:colOff>
      <xdr:row>105</xdr:row>
      <xdr:rowOff>103078</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30975" y="11723121"/>
          <a:ext cx="5618619" cy="4429582"/>
        </a:xfrm>
        <a:prstGeom prst="rect">
          <a:avLst/>
        </a:prstGeom>
      </xdr:spPr>
    </xdr:pic>
    <xdr:clientData/>
  </xdr:twoCellAnchor>
  <xdr:twoCellAnchor editAs="oneCell">
    <xdr:from>
      <xdr:col>1</xdr:col>
      <xdr:colOff>223800</xdr:colOff>
      <xdr:row>105</xdr:row>
      <xdr:rowOff>26142</xdr:rowOff>
    </xdr:from>
    <xdr:to>
      <xdr:col>6</xdr:col>
      <xdr:colOff>514350</xdr:colOff>
      <xdr:row>133</xdr:row>
      <xdr:rowOff>119723</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150" y="16075767"/>
          <a:ext cx="5615025" cy="436078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104774</xdr:colOff>
      <xdr:row>40</xdr:row>
      <xdr:rowOff>123824</xdr:rowOff>
    </xdr:from>
    <xdr:to>
      <xdr:col>3</xdr:col>
      <xdr:colOff>443430</xdr:colOff>
      <xdr:row>55</xdr:row>
      <xdr:rowOff>151879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495299</xdr:colOff>
      <xdr:row>40</xdr:row>
      <xdr:rowOff>123824</xdr:rowOff>
    </xdr:from>
    <xdr:to>
      <xdr:col>7</xdr:col>
      <xdr:colOff>510105</xdr:colOff>
      <xdr:row>55</xdr:row>
      <xdr:rowOff>151879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561975</xdr:colOff>
      <xdr:row>40</xdr:row>
      <xdr:rowOff>123825</xdr:rowOff>
    </xdr:from>
    <xdr:to>
      <xdr:col>12</xdr:col>
      <xdr:colOff>0</xdr:colOff>
      <xdr:row>55</xdr:row>
      <xdr:rowOff>142875</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38100</xdr:colOff>
      <xdr:row>40</xdr:row>
      <xdr:rowOff>123824</xdr:rowOff>
    </xdr:from>
    <xdr:to>
      <xdr:col>16</xdr:col>
      <xdr:colOff>470221</xdr:colOff>
      <xdr:row>55</xdr:row>
      <xdr:rowOff>133869</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hyperlink" Target="https://trendlyne.com/equity/EPS/NIFTY50/1887/nifty-50-earnings-per-share/" TargetMode="External"/><Relationship Id="rId2" Type="http://schemas.openxmlformats.org/officeDocument/2006/relationships/hyperlink" Target="https://trendlyne.com/equity/DIV/NIFTY50/1887/nifty-50-dividend-yield/" TargetMode="External"/><Relationship Id="rId1" Type="http://schemas.openxmlformats.org/officeDocument/2006/relationships/hyperlink" Target="https://www.google.co.in/search?ie=UTF-8&amp;oe=UTF-8&amp;sourceid=navclient&amp;gfns=1&amp;q=Nifty50+Dividend+Points&amp;gws_rd=ssl" TargetMode="External"/><Relationship Id="rId5" Type="http://schemas.openxmlformats.org/officeDocument/2006/relationships/printerSettings" Target="../printerSettings/printerSettings6.bin"/><Relationship Id="rId4" Type="http://schemas.openxmlformats.org/officeDocument/2006/relationships/hyperlink" Target="https://in.investing.com/rates-bonds/india-10-year-bond-yield-historical-data" TargetMode="Externa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7.bin"/><Relationship Id="rId1" Type="http://schemas.openxmlformats.org/officeDocument/2006/relationships/hyperlink" Target="https://tradingeconomics.com/india/corporate-tax-rate" TargetMode="External"/><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pages.stern.nyu.edu/~adamodar/New_Home_Page/datafile/ratings.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00000"/>
  </sheetPr>
  <dimension ref="B1:O15"/>
  <sheetViews>
    <sheetView tabSelected="1" workbookViewId="0"/>
  </sheetViews>
  <sheetFormatPr defaultColWidth="9.140625" defaultRowHeight="12.75"/>
  <cols>
    <col min="1" max="1" width="2" style="61" customWidth="1"/>
    <col min="2" max="8" width="9.140625" style="61"/>
    <col min="9" max="9" width="11.42578125" style="61" customWidth="1"/>
    <col min="10" max="16384" width="9.140625" style="61"/>
  </cols>
  <sheetData>
    <row r="1" spans="2:15" ht="50.25">
      <c r="B1" s="62" t="s">
        <v>58</v>
      </c>
    </row>
    <row r="3" spans="2:15" ht="13.5" customHeight="1">
      <c r="F3" s="62"/>
      <c r="H3" s="62"/>
    </row>
    <row r="9" spans="2:15">
      <c r="C9" s="63"/>
    </row>
    <row r="10" spans="2:15">
      <c r="C10" s="63"/>
    </row>
    <row r="12" spans="2:15" ht="15">
      <c r="J12"/>
    </row>
    <row r="13" spans="2:15">
      <c r="O13" s="64"/>
    </row>
    <row r="15" spans="2:15" ht="15">
      <c r="J15"/>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103</v>
      </c>
      <c r="E1" s="3"/>
      <c r="F1" s="67"/>
      <c r="G1" s="3"/>
      <c r="H1" s="3"/>
      <c r="I1" s="3"/>
      <c r="J1" s="3"/>
      <c r="K1" s="3"/>
      <c r="L1" s="3"/>
      <c r="M1" s="3"/>
      <c r="N1" s="3"/>
    </row>
    <row r="2" spans="2:14">
      <c r="E2" s="3"/>
      <c r="F2" s="67"/>
      <c r="G2" s="3"/>
      <c r="H2" s="3"/>
      <c r="I2" s="3"/>
      <c r="J2" s="3"/>
      <c r="K2" s="3"/>
      <c r="L2" s="3"/>
      <c r="M2" s="3"/>
      <c r="N2" s="3"/>
    </row>
    <row r="3" spans="2:14">
      <c r="B3" s="3" t="s">
        <v>101</v>
      </c>
      <c r="C3" s="85" t="s">
        <v>100</v>
      </c>
      <c r="D3" s="24"/>
      <c r="E3" s="50"/>
      <c r="F3" s="124"/>
      <c r="G3" s="120"/>
      <c r="H3" s="107"/>
      <c r="I3" s="107"/>
      <c r="J3" s="107"/>
      <c r="K3" s="3"/>
      <c r="L3" s="125"/>
      <c r="M3" s="107"/>
      <c r="N3" s="3"/>
    </row>
    <row r="4" spans="2:14">
      <c r="B4" s="2" t="s">
        <v>102</v>
      </c>
      <c r="C4" s="131" t="s">
        <v>295</v>
      </c>
      <c r="D4" s="6"/>
      <c r="E4" s="3"/>
      <c r="F4" s="71"/>
      <c r="G4" s="121"/>
      <c r="H4" s="122"/>
      <c r="I4" s="50"/>
      <c r="J4" s="69"/>
      <c r="K4" s="3"/>
      <c r="L4" s="70"/>
      <c r="M4" s="87"/>
      <c r="N4" s="3"/>
    </row>
    <row r="5" spans="2:14">
      <c r="D5" s="6"/>
      <c r="E5" s="3"/>
      <c r="F5" s="71"/>
      <c r="G5" s="121"/>
      <c r="H5" s="122"/>
      <c r="I5" s="50"/>
      <c r="J5" s="69"/>
      <c r="K5" s="3"/>
      <c r="L5" s="70"/>
      <c r="M5" s="87"/>
      <c r="N5" s="3"/>
    </row>
    <row r="6" spans="2:14">
      <c r="C6" s="78"/>
      <c r="D6" s="26"/>
      <c r="E6" s="3"/>
      <c r="F6" s="71"/>
      <c r="G6" s="121"/>
      <c r="H6" s="122"/>
      <c r="I6" s="50"/>
      <c r="J6" s="69"/>
      <c r="K6" s="3"/>
      <c r="L6" s="70"/>
      <c r="M6" s="87"/>
      <c r="N6" s="3"/>
    </row>
    <row r="7" spans="2:14">
      <c r="C7" s="79"/>
      <c r="D7" s="6"/>
      <c r="E7" s="3"/>
      <c r="F7" s="71"/>
      <c r="G7" s="121"/>
      <c r="H7" s="122"/>
      <c r="I7" s="50"/>
      <c r="J7" s="69"/>
      <c r="K7" s="3"/>
      <c r="L7" s="70"/>
      <c r="M7" s="87"/>
      <c r="N7" s="3"/>
    </row>
    <row r="8" spans="2:14">
      <c r="C8" s="49"/>
      <c r="D8" s="6"/>
      <c r="E8" s="3"/>
      <c r="F8" s="71"/>
      <c r="G8" s="121"/>
      <c r="H8" s="122"/>
      <c r="I8" s="50"/>
      <c r="J8" s="69"/>
      <c r="K8" s="3"/>
      <c r="L8" s="70"/>
      <c r="M8" s="87"/>
      <c r="N8" s="3"/>
    </row>
    <row r="9" spans="2:14">
      <c r="B9" s="3"/>
      <c r="C9" s="85"/>
      <c r="D9" s="6"/>
      <c r="E9" s="3"/>
      <c r="F9" s="71"/>
      <c r="G9" s="121"/>
      <c r="H9" s="122"/>
      <c r="I9" s="50"/>
      <c r="J9" s="69"/>
      <c r="K9" s="3"/>
      <c r="L9" s="70"/>
      <c r="M9" s="87"/>
      <c r="N9" s="3"/>
    </row>
    <row r="10" spans="2:14">
      <c r="B10" s="3"/>
      <c r="C10" s="85"/>
      <c r="D10" s="6"/>
      <c r="E10" s="3"/>
      <c r="F10" s="71"/>
      <c r="G10" s="121"/>
      <c r="H10" s="122"/>
      <c r="I10" s="50"/>
      <c r="J10" s="69"/>
      <c r="K10" s="3"/>
      <c r="L10" s="68"/>
      <c r="M10" s="3"/>
      <c r="N10" s="3"/>
    </row>
    <row r="11" spans="2:14">
      <c r="B11" s="3"/>
      <c r="C11" s="86"/>
      <c r="D11" s="6"/>
      <c r="E11" s="3"/>
      <c r="F11" s="71"/>
      <c r="G11" s="121"/>
      <c r="H11" s="122"/>
      <c r="I11" s="50"/>
      <c r="J11" s="69"/>
      <c r="K11" s="3"/>
      <c r="L11" s="83"/>
      <c r="M11" s="92"/>
      <c r="N11" s="3"/>
    </row>
    <row r="12" spans="2:14">
      <c r="B12" s="3"/>
      <c r="C12" s="3"/>
      <c r="D12" s="6"/>
      <c r="E12" s="3"/>
      <c r="F12" s="71"/>
      <c r="G12" s="121"/>
      <c r="H12" s="122"/>
      <c r="I12" s="50"/>
      <c r="J12" s="69"/>
      <c r="K12" s="3"/>
      <c r="L12" s="66"/>
      <c r="M12" s="92"/>
      <c r="N12" s="3"/>
    </row>
    <row r="13" spans="2:14">
      <c r="B13" s="3"/>
      <c r="C13" s="60"/>
      <c r="D13" s="6"/>
      <c r="E13" s="3"/>
      <c r="F13" s="71"/>
      <c r="G13" s="121"/>
      <c r="H13" s="122"/>
      <c r="I13" s="50"/>
      <c r="J13" s="69"/>
      <c r="K13" s="3"/>
      <c r="L13" s="3"/>
      <c r="M13" s="3"/>
      <c r="N13" s="3"/>
    </row>
    <row r="14" spans="2:14">
      <c r="B14" s="25"/>
      <c r="C14" s="25"/>
      <c r="D14" s="26"/>
      <c r="E14" s="3"/>
      <c r="F14" s="70"/>
      <c r="G14" s="9"/>
      <c r="H14" s="3"/>
      <c r="I14" s="50"/>
      <c r="J14" s="25"/>
      <c r="K14" s="3"/>
      <c r="L14" s="3"/>
      <c r="M14" s="3"/>
      <c r="N14" s="3"/>
    </row>
    <row r="15" spans="2:14">
      <c r="B15" s="3"/>
      <c r="C15" s="130"/>
      <c r="D15" s="6"/>
      <c r="E15" s="50"/>
      <c r="F15" s="66"/>
      <c r="G15" s="3"/>
      <c r="H15" s="3"/>
      <c r="I15" s="3"/>
      <c r="J15" s="3"/>
      <c r="K15" s="3"/>
      <c r="L15" s="3"/>
      <c r="M15" s="3"/>
      <c r="N15" s="3"/>
    </row>
    <row r="16" spans="2:14">
      <c r="B16" s="3"/>
      <c r="C16" s="3"/>
      <c r="D16" s="6"/>
      <c r="E16" s="50"/>
      <c r="F16" s="83"/>
      <c r="G16" s="84"/>
      <c r="H16" s="48"/>
      <c r="I16" s="3"/>
      <c r="J16" s="3"/>
      <c r="K16" s="3"/>
      <c r="L16" s="3"/>
      <c r="M16" s="3"/>
      <c r="N16" s="3"/>
    </row>
    <row r="17" spans="2:14">
      <c r="B17" s="3"/>
      <c r="C17" s="79"/>
      <c r="D17" s="6"/>
      <c r="E17" s="50"/>
      <c r="F17" s="66"/>
      <c r="G17" s="84"/>
      <c r="H17" s="3"/>
      <c r="I17" s="3"/>
      <c r="J17" s="3"/>
      <c r="K17" s="3"/>
      <c r="L17" s="3"/>
      <c r="M17" s="3"/>
      <c r="N17" s="3"/>
    </row>
    <row r="18" spans="2:14">
      <c r="B18" s="3"/>
      <c r="C18" s="3"/>
      <c r="D18" s="26"/>
      <c r="E18" s="50"/>
      <c r="F18" s="66"/>
      <c r="G18" s="3"/>
      <c r="H18" s="3"/>
      <c r="I18" s="3"/>
      <c r="J18" s="3"/>
      <c r="K18" s="3"/>
      <c r="L18" s="3"/>
      <c r="M18" s="3"/>
      <c r="N18" s="3"/>
    </row>
    <row r="19" spans="2:14">
      <c r="B19" s="25"/>
      <c r="C19" s="25"/>
      <c r="D19" s="6"/>
      <c r="E19" s="50"/>
      <c r="F19" s="66"/>
      <c r="G19" s="3"/>
      <c r="H19" s="3"/>
      <c r="I19" s="3"/>
      <c r="J19" s="3"/>
      <c r="K19" s="3"/>
      <c r="L19" s="3"/>
      <c r="M19" s="3"/>
      <c r="N19" s="3"/>
    </row>
    <row r="20" spans="2:14">
      <c r="B20" s="3"/>
      <c r="C20" s="3"/>
      <c r="D20" s="6"/>
      <c r="E20" s="123"/>
      <c r="F20" s="125"/>
      <c r="G20" s="125"/>
      <c r="H20" s="125"/>
      <c r="I20" s="125"/>
      <c r="J20" s="125"/>
      <c r="K20" s="125"/>
      <c r="L20" s="3"/>
      <c r="M20" s="3"/>
      <c r="N20" s="3"/>
    </row>
    <row r="21" spans="2:14">
      <c r="B21" s="3"/>
      <c r="C21" s="3"/>
      <c r="D21" s="6"/>
      <c r="E21" s="103"/>
      <c r="F21" s="126"/>
      <c r="G21" s="9"/>
      <c r="H21" s="9"/>
      <c r="I21" s="9"/>
      <c r="J21" s="9"/>
      <c r="K21" s="9"/>
      <c r="L21" s="3"/>
      <c r="M21" s="3"/>
      <c r="N21" s="3"/>
    </row>
    <row r="22" spans="2:14">
      <c r="B22" s="3"/>
      <c r="C22" s="3"/>
      <c r="D22" s="6"/>
      <c r="E22" s="50"/>
      <c r="F22" s="67"/>
      <c r="G22" s="67"/>
      <c r="H22" s="67"/>
      <c r="I22" s="104"/>
      <c r="J22" s="66"/>
      <c r="K22" s="67"/>
      <c r="L22" s="3"/>
      <c r="M22" s="3"/>
      <c r="N22" s="3"/>
    </row>
    <row r="23" spans="2:14">
      <c r="B23" s="25"/>
      <c r="C23" s="25"/>
      <c r="D23" s="26"/>
      <c r="E23" s="50"/>
      <c r="F23" s="3"/>
      <c r="G23" s="3"/>
      <c r="H23" s="3"/>
      <c r="I23" s="3"/>
      <c r="J23" s="3"/>
      <c r="K23" s="3"/>
      <c r="L23" s="127"/>
      <c r="M23" s="3"/>
      <c r="N23" s="3"/>
    </row>
    <row r="24" spans="2:14">
      <c r="B24" s="3"/>
      <c r="C24" s="3"/>
      <c r="D24" s="6"/>
      <c r="E24" s="50"/>
      <c r="F24" s="3"/>
      <c r="G24" s="3"/>
      <c r="H24" s="3"/>
      <c r="I24" s="3"/>
      <c r="J24" s="3"/>
      <c r="K24" s="3"/>
      <c r="L24" s="3"/>
      <c r="M24" s="3"/>
      <c r="N24" s="3"/>
    </row>
    <row r="25" spans="2:14">
      <c r="B25" s="3"/>
      <c r="C25" s="3"/>
      <c r="D25" s="6"/>
      <c r="E25" s="6"/>
      <c r="F25" s="67"/>
      <c r="G25" s="3"/>
      <c r="H25" s="83"/>
      <c r="I25" s="84"/>
      <c r="J25" s="3"/>
      <c r="K25" s="3"/>
      <c r="L25" s="3"/>
      <c r="M25" s="3"/>
      <c r="N25" s="3"/>
    </row>
    <row r="26" spans="2:14">
      <c r="B26" s="3"/>
      <c r="C26" s="3"/>
      <c r="D26" s="6"/>
      <c r="E26" s="26"/>
      <c r="F26" s="49"/>
      <c r="G26" s="3"/>
      <c r="H26" s="66"/>
      <c r="I26" s="84"/>
      <c r="J26" s="3"/>
      <c r="K26" s="3"/>
      <c r="L26" s="128"/>
      <c r="M26" s="3"/>
      <c r="N26" s="3"/>
    </row>
    <row r="27" spans="2:14">
      <c r="B27" s="3"/>
      <c r="C27" s="3"/>
      <c r="D27" s="26"/>
      <c r="E27" s="25"/>
      <c r="F27" s="129"/>
      <c r="G27" s="3"/>
      <c r="H27" s="3"/>
      <c r="I27" s="3"/>
      <c r="J27" s="3"/>
      <c r="K27" s="3"/>
      <c r="L27" s="3"/>
      <c r="M27" s="3"/>
      <c r="N27" s="3"/>
    </row>
    <row r="28" spans="2:14">
      <c r="B28" s="3"/>
      <c r="C28" s="3"/>
      <c r="D28" s="9" t="s">
        <v>98</v>
      </c>
      <c r="E28" s="25"/>
      <c r="F28" s="129"/>
      <c r="G28" s="3"/>
      <c r="H28" s="3"/>
      <c r="I28" s="3"/>
      <c r="J28" s="3"/>
      <c r="K28" s="3"/>
      <c r="L28" s="3"/>
      <c r="M28" s="3"/>
      <c r="N28" s="3"/>
    </row>
    <row r="29" spans="2:14">
      <c r="B29" s="3"/>
      <c r="C29" s="3"/>
      <c r="D29" s="3"/>
      <c r="E29" s="3"/>
      <c r="F29" s="67"/>
      <c r="G29" s="3"/>
      <c r="H29" s="3"/>
      <c r="I29" s="3"/>
      <c r="J29" s="3"/>
      <c r="K29" s="3"/>
      <c r="L29" s="3"/>
      <c r="M29" s="3"/>
      <c r="N29" s="3"/>
    </row>
    <row r="30" spans="2:14">
      <c r="B30" s="3"/>
      <c r="C30" s="3"/>
      <c r="D30" s="3"/>
      <c r="E30" s="3"/>
      <c r="F30" s="67"/>
    </row>
    <row r="31" spans="2:14">
      <c r="D31" s="3"/>
      <c r="E31" s="3"/>
      <c r="F31" s="67"/>
    </row>
    <row r="32" spans="2:14">
      <c r="D32" s="3"/>
      <c r="E32" s="3"/>
      <c r="F32" s="67"/>
    </row>
    <row r="33" spans="4:6">
      <c r="D33" s="3"/>
      <c r="E33" s="3"/>
      <c r="F33" s="67"/>
    </row>
    <row r="34" spans="4:6">
      <c r="D34" s="3"/>
      <c r="E34" s="3"/>
      <c r="F34" s="67"/>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N34"/>
  <sheetViews>
    <sheetView zoomScaleNormal="100" workbookViewId="0"/>
  </sheetViews>
  <sheetFormatPr defaultRowHeight="12"/>
  <cols>
    <col min="1" max="1" width="2" style="2" customWidth="1"/>
    <col min="2" max="2" width="22.85546875" style="2" customWidth="1"/>
    <col min="3" max="3" width="12.7109375" style="2" customWidth="1"/>
    <col min="4" max="4" width="2.85546875" style="2" customWidth="1"/>
    <col min="5" max="5" width="17.5703125" style="2" customWidth="1"/>
    <col min="6" max="6" width="10" style="15" bestFit="1"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4" ht="15.75">
      <c r="B1" s="18" t="s">
        <v>382</v>
      </c>
      <c r="E1" s="3"/>
      <c r="F1" s="67"/>
      <c r="G1" s="3"/>
      <c r="H1" s="3"/>
      <c r="I1" s="3"/>
      <c r="J1" s="3"/>
      <c r="K1" s="3"/>
      <c r="L1" s="3"/>
      <c r="M1" s="3"/>
      <c r="N1" s="3"/>
    </row>
    <row r="2" spans="2:14">
      <c r="E2" s="3"/>
      <c r="F2" s="67"/>
      <c r="G2" s="3"/>
      <c r="H2" s="3"/>
      <c r="I2" s="3"/>
      <c r="J2" s="3"/>
      <c r="K2" s="3"/>
      <c r="L2" s="3"/>
      <c r="M2" s="3"/>
      <c r="N2" s="3"/>
    </row>
    <row r="3" spans="2:14">
      <c r="B3" s="3"/>
      <c r="C3" s="85"/>
      <c r="D3" s="24"/>
      <c r="E3" s="50"/>
      <c r="F3" s="124"/>
      <c r="G3" s="120"/>
      <c r="H3" s="107"/>
      <c r="I3" s="107"/>
      <c r="J3" s="107"/>
      <c r="K3" s="3"/>
      <c r="L3" s="125"/>
      <c r="M3" s="107"/>
      <c r="N3" s="3"/>
    </row>
    <row r="4" spans="2:14">
      <c r="C4" s="131"/>
      <c r="D4" s="6"/>
      <c r="E4" s="3"/>
      <c r="F4" s="71"/>
      <c r="G4" s="121"/>
      <c r="H4" s="122"/>
      <c r="I4" s="50"/>
      <c r="J4" s="69"/>
      <c r="K4" s="3"/>
      <c r="L4" s="70"/>
      <c r="M4" s="87"/>
      <c r="N4" s="3"/>
    </row>
    <row r="5" spans="2:14">
      <c r="D5" s="6"/>
      <c r="E5" s="3"/>
      <c r="F5" s="71"/>
      <c r="G5" s="121"/>
      <c r="H5" s="122"/>
      <c r="I5" s="50"/>
      <c r="J5" s="69"/>
      <c r="K5" s="3"/>
      <c r="L5" s="70"/>
      <c r="M5" s="87"/>
      <c r="N5" s="3"/>
    </row>
    <row r="6" spans="2:14">
      <c r="C6" s="78"/>
      <c r="D6" s="26"/>
      <c r="E6" s="3"/>
      <c r="F6" s="71"/>
      <c r="G6" s="121"/>
      <c r="H6" s="122"/>
      <c r="I6" s="50"/>
      <c r="J6" s="69"/>
      <c r="K6" s="3"/>
      <c r="L6" s="70"/>
      <c r="M6" s="87"/>
      <c r="N6" s="3"/>
    </row>
    <row r="7" spans="2:14">
      <c r="C7" s="79"/>
      <c r="D7" s="6"/>
      <c r="E7" s="3"/>
      <c r="F7" s="71"/>
      <c r="G7" s="121"/>
      <c r="H7" s="122"/>
      <c r="I7" s="50"/>
      <c r="J7" s="69"/>
      <c r="K7" s="3"/>
      <c r="L7" s="70"/>
      <c r="M7" s="87"/>
      <c r="N7" s="3"/>
    </row>
    <row r="8" spans="2:14">
      <c r="C8" s="49"/>
      <c r="D8" s="6"/>
      <c r="E8" s="3"/>
      <c r="F8" s="71"/>
      <c r="G8" s="121"/>
      <c r="H8" s="122"/>
      <c r="I8" s="50"/>
      <c r="J8" s="69"/>
      <c r="K8" s="3"/>
      <c r="L8" s="70"/>
      <c r="M8" s="87"/>
      <c r="N8" s="3"/>
    </row>
    <row r="9" spans="2:14">
      <c r="B9" s="3"/>
      <c r="C9" s="85"/>
      <c r="D9" s="6"/>
      <c r="E9" s="3"/>
      <c r="F9" s="71"/>
      <c r="G9" s="121"/>
      <c r="H9" s="122"/>
      <c r="I9" s="50"/>
      <c r="J9" s="69"/>
      <c r="K9" s="3"/>
      <c r="L9" s="70"/>
      <c r="M9" s="87"/>
      <c r="N9" s="3"/>
    </row>
    <row r="10" spans="2:14">
      <c r="B10" s="3"/>
      <c r="C10" s="85"/>
      <c r="D10" s="6"/>
      <c r="E10" s="3"/>
      <c r="F10" s="71"/>
      <c r="G10" s="121"/>
      <c r="H10" s="122"/>
      <c r="I10" s="50"/>
      <c r="J10" s="69"/>
      <c r="K10" s="3"/>
      <c r="L10" s="68"/>
      <c r="M10" s="3"/>
      <c r="N10" s="3"/>
    </row>
    <row r="11" spans="2:14">
      <c r="B11" s="3"/>
      <c r="C11" s="86"/>
      <c r="D11" s="6"/>
      <c r="E11" s="3"/>
      <c r="F11" s="71"/>
      <c r="G11" s="121"/>
      <c r="H11" s="122"/>
      <c r="I11" s="50"/>
      <c r="J11" s="69"/>
      <c r="K11" s="3"/>
      <c r="L11" s="83"/>
      <c r="M11" s="92"/>
      <c r="N11" s="3"/>
    </row>
    <row r="12" spans="2:14">
      <c r="B12" s="3"/>
      <c r="C12" s="3"/>
      <c r="D12" s="6"/>
      <c r="E12" s="3"/>
      <c r="F12" s="71"/>
      <c r="G12" s="121"/>
      <c r="H12" s="122"/>
      <c r="I12" s="50"/>
      <c r="J12" s="69"/>
      <c r="K12" s="3"/>
      <c r="L12" s="66"/>
      <c r="M12" s="92"/>
      <c r="N12" s="3"/>
    </row>
    <row r="13" spans="2:14">
      <c r="B13" s="3"/>
      <c r="C13" s="60"/>
      <c r="D13" s="6"/>
      <c r="E13" s="3"/>
      <c r="F13" s="71"/>
      <c r="G13" s="121"/>
      <c r="H13" s="122"/>
      <c r="I13" s="50"/>
      <c r="J13" s="69"/>
      <c r="K13" s="3"/>
      <c r="L13" s="3"/>
      <c r="M13" s="3"/>
      <c r="N13" s="3"/>
    </row>
    <row r="14" spans="2:14">
      <c r="B14" s="25"/>
      <c r="C14" s="25"/>
      <c r="D14" s="26"/>
      <c r="E14" s="3"/>
      <c r="F14" s="70"/>
      <c r="G14" s="9"/>
      <c r="H14" s="3"/>
      <c r="I14" s="50"/>
      <c r="J14" s="25"/>
      <c r="K14" s="3"/>
      <c r="L14" s="3"/>
      <c r="M14" s="3"/>
      <c r="N14" s="3"/>
    </row>
    <row r="15" spans="2:14">
      <c r="B15" s="3"/>
      <c r="C15" s="130"/>
      <c r="D15" s="6"/>
      <c r="E15" s="50"/>
      <c r="F15" s="66"/>
      <c r="G15" s="3"/>
      <c r="H15" s="3"/>
      <c r="I15" s="3"/>
      <c r="J15" s="3"/>
      <c r="K15" s="3"/>
      <c r="L15" s="3"/>
      <c r="M15" s="3"/>
      <c r="N15" s="3"/>
    </row>
    <row r="16" spans="2:14">
      <c r="B16" s="3"/>
      <c r="C16" s="3"/>
      <c r="D16" s="6"/>
      <c r="E16" s="50"/>
      <c r="F16" s="83"/>
      <c r="G16" s="84"/>
      <c r="H16" s="48"/>
      <c r="I16" s="3"/>
      <c r="J16" s="3"/>
      <c r="K16" s="3"/>
      <c r="L16" s="3"/>
      <c r="M16" s="3"/>
      <c r="N16" s="3"/>
    </row>
    <row r="17" spans="2:14">
      <c r="B17" s="3"/>
      <c r="C17" s="79"/>
      <c r="D17" s="6"/>
      <c r="E17" s="50"/>
      <c r="F17" s="66"/>
      <c r="G17" s="84"/>
      <c r="H17" s="3"/>
      <c r="I17" s="3"/>
      <c r="J17" s="3"/>
      <c r="K17" s="3"/>
      <c r="L17" s="3"/>
      <c r="M17" s="3"/>
      <c r="N17" s="3"/>
    </row>
    <row r="18" spans="2:14">
      <c r="B18" s="3"/>
      <c r="C18" s="3"/>
      <c r="D18" s="26"/>
      <c r="E18" s="50"/>
      <c r="F18" s="66"/>
      <c r="G18" s="3"/>
      <c r="H18" s="3"/>
      <c r="I18" s="3"/>
      <c r="J18" s="3"/>
      <c r="K18" s="3"/>
      <c r="L18" s="3"/>
      <c r="M18" s="3"/>
      <c r="N18" s="3"/>
    </row>
    <row r="19" spans="2:14">
      <c r="B19" s="25"/>
      <c r="C19" s="25"/>
      <c r="D19" s="6"/>
      <c r="E19" s="50"/>
      <c r="F19" s="66"/>
      <c r="G19" s="3"/>
      <c r="H19" s="3"/>
      <c r="I19" s="3"/>
      <c r="J19" s="3"/>
      <c r="K19" s="3"/>
      <c r="L19" s="3"/>
      <c r="M19" s="3"/>
      <c r="N19" s="3"/>
    </row>
    <row r="20" spans="2:14">
      <c r="B20" s="3"/>
      <c r="C20" s="3"/>
      <c r="D20" s="6"/>
      <c r="E20" s="123"/>
      <c r="F20" s="125"/>
      <c r="G20" s="125"/>
      <c r="H20" s="125"/>
      <c r="I20" s="125"/>
      <c r="J20" s="125"/>
      <c r="K20" s="125"/>
      <c r="L20" s="3"/>
      <c r="M20" s="3"/>
      <c r="N20" s="3"/>
    </row>
    <row r="21" spans="2:14">
      <c r="B21" s="3"/>
      <c r="C21" s="3"/>
      <c r="D21" s="6"/>
      <c r="E21" s="103"/>
      <c r="F21" s="126"/>
      <c r="G21" s="9"/>
      <c r="H21" s="9"/>
      <c r="I21" s="9"/>
      <c r="J21" s="9"/>
      <c r="K21" s="9"/>
      <c r="L21" s="3"/>
      <c r="M21" s="3"/>
      <c r="N21" s="3"/>
    </row>
    <row r="22" spans="2:14">
      <c r="B22" s="3"/>
      <c r="C22" s="3"/>
      <c r="D22" s="6"/>
      <c r="E22" s="50"/>
      <c r="F22" s="67"/>
      <c r="G22" s="67"/>
      <c r="H22" s="67"/>
      <c r="I22" s="104"/>
      <c r="J22" s="66"/>
      <c r="K22" s="67"/>
      <c r="L22" s="3"/>
      <c r="M22" s="3"/>
      <c r="N22" s="3"/>
    </row>
    <row r="23" spans="2:14">
      <c r="B23" s="25"/>
      <c r="C23" s="25"/>
      <c r="D23" s="26"/>
      <c r="E23" s="50"/>
      <c r="F23" s="3"/>
      <c r="G23" s="3"/>
      <c r="H23" s="3"/>
      <c r="I23" s="3"/>
      <c r="J23" s="3"/>
      <c r="K23" s="3"/>
      <c r="L23" s="127"/>
      <c r="M23" s="3"/>
      <c r="N23" s="3"/>
    </row>
    <row r="24" spans="2:14">
      <c r="B24" s="3"/>
      <c r="C24" s="3"/>
      <c r="D24" s="6"/>
      <c r="E24" s="50"/>
      <c r="F24" s="3"/>
      <c r="G24" s="3"/>
      <c r="H24" s="3"/>
      <c r="I24" s="3"/>
      <c r="J24" s="3"/>
      <c r="K24" s="3"/>
      <c r="L24" s="3"/>
      <c r="M24" s="3"/>
      <c r="N24" s="3"/>
    </row>
    <row r="25" spans="2:14">
      <c r="B25" s="3"/>
      <c r="C25" s="3"/>
      <c r="D25" s="6"/>
      <c r="E25" s="6"/>
      <c r="F25" s="67"/>
      <c r="G25" s="3"/>
      <c r="H25" s="83"/>
      <c r="I25" s="84"/>
      <c r="J25" s="3"/>
      <c r="K25" s="3"/>
      <c r="L25" s="3"/>
      <c r="M25" s="3"/>
      <c r="N25" s="3"/>
    </row>
    <row r="26" spans="2:14">
      <c r="B26" s="3"/>
      <c r="C26" s="3"/>
      <c r="D26" s="6"/>
      <c r="E26" s="26"/>
      <c r="F26" s="49"/>
      <c r="G26" s="3"/>
      <c r="H26" s="66"/>
      <c r="I26" s="84"/>
      <c r="J26" s="3"/>
      <c r="K26" s="3"/>
      <c r="L26" s="128"/>
      <c r="M26" s="3"/>
      <c r="N26" s="3"/>
    </row>
    <row r="27" spans="2:14">
      <c r="B27" s="3"/>
      <c r="C27" s="3"/>
      <c r="D27" s="26"/>
      <c r="E27" s="25"/>
      <c r="F27" s="129"/>
      <c r="G27" s="3"/>
      <c r="H27" s="3"/>
      <c r="I27" s="3"/>
      <c r="J27" s="3"/>
      <c r="K27" s="3"/>
      <c r="L27" s="3"/>
      <c r="M27" s="3"/>
      <c r="N27" s="3"/>
    </row>
    <row r="28" spans="2:14">
      <c r="B28" s="3"/>
      <c r="C28" s="3"/>
      <c r="D28" s="9"/>
      <c r="E28" s="25"/>
      <c r="F28" s="129"/>
      <c r="G28" s="3"/>
      <c r="H28" s="3"/>
      <c r="I28" s="3"/>
      <c r="J28" s="3"/>
      <c r="K28" s="3"/>
      <c r="L28" s="3"/>
      <c r="M28" s="3"/>
      <c r="N28" s="3"/>
    </row>
    <row r="29" spans="2:14">
      <c r="B29" s="3"/>
      <c r="C29" s="3"/>
      <c r="D29" s="3"/>
      <c r="E29" s="3"/>
      <c r="F29" s="67"/>
      <c r="G29" s="3"/>
      <c r="H29" s="3"/>
      <c r="I29" s="3"/>
      <c r="J29" s="3"/>
      <c r="K29" s="3"/>
      <c r="L29" s="3"/>
      <c r="M29" s="3"/>
      <c r="N29" s="3"/>
    </row>
    <row r="30" spans="2:14">
      <c r="B30" s="3"/>
      <c r="C30" s="3"/>
      <c r="D30" s="3"/>
      <c r="E30" s="3"/>
      <c r="F30" s="67"/>
    </row>
    <row r="31" spans="2:14">
      <c r="D31" s="3"/>
      <c r="E31" s="3"/>
      <c r="F31" s="67"/>
    </row>
    <row r="32" spans="2:14">
      <c r="D32" s="3"/>
      <c r="E32" s="3"/>
      <c r="F32" s="67"/>
    </row>
    <row r="33" spans="4:6">
      <c r="D33" s="3"/>
      <c r="E33" s="3"/>
      <c r="F33" s="67"/>
    </row>
    <row r="34" spans="4:6">
      <c r="D34" s="3"/>
      <c r="E34" s="3"/>
      <c r="F34" s="67"/>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C29"/>
  <sheetViews>
    <sheetView workbookViewId="0">
      <pane xSplit="3" ySplit="4" topLeftCell="D5" activePane="bottomRight" state="frozen"/>
      <selection pane="topRight" activeCell="D1" sqref="D1"/>
      <selection pane="bottomLeft" activeCell="A5" sqref="A5"/>
      <selection pane="bottomRight"/>
    </sheetView>
  </sheetViews>
  <sheetFormatPr defaultRowHeight="12"/>
  <cols>
    <col min="1" max="1" width="2" style="1" customWidth="1"/>
    <col min="2" max="2" width="10" style="1" customWidth="1"/>
    <col min="3" max="3" width="26" style="1" customWidth="1"/>
    <col min="4" max="16384" width="9.140625" style="1"/>
  </cols>
  <sheetData>
    <row r="1" spans="2:3" ht="15.75">
      <c r="B1" s="39" t="s">
        <v>195</v>
      </c>
      <c r="C1" s="11"/>
    </row>
    <row r="2" spans="2:3">
      <c r="B2" s="40"/>
      <c r="C2" s="11"/>
    </row>
    <row r="3" spans="2:3">
      <c r="B3" s="11"/>
      <c r="C3" s="11"/>
    </row>
    <row r="4" spans="2:3">
      <c r="B4" s="65" t="s">
        <v>0</v>
      </c>
      <c r="C4" s="65" t="s">
        <v>1</v>
      </c>
    </row>
    <row r="5" spans="2:3">
      <c r="B5" s="43">
        <v>1</v>
      </c>
      <c r="C5" s="44" t="s">
        <v>16</v>
      </c>
    </row>
    <row r="6" spans="2:3">
      <c r="B6" s="41">
        <f>B5+1</f>
        <v>2</v>
      </c>
      <c r="C6" s="42" t="s">
        <v>19</v>
      </c>
    </row>
    <row r="7" spans="2:3">
      <c r="B7" s="41">
        <f t="shared" ref="B7:B27" si="0">B6+1</f>
        <v>3</v>
      </c>
      <c r="C7" s="42" t="s">
        <v>20</v>
      </c>
    </row>
    <row r="8" spans="2:3">
      <c r="B8" s="41">
        <f t="shared" si="0"/>
        <v>4</v>
      </c>
      <c r="C8" s="42" t="s">
        <v>14</v>
      </c>
    </row>
    <row r="9" spans="2:3">
      <c r="B9" s="41">
        <f t="shared" si="0"/>
        <v>5</v>
      </c>
      <c r="C9" s="42" t="s">
        <v>175</v>
      </c>
    </row>
    <row r="10" spans="2:3">
      <c r="B10" s="41">
        <f t="shared" si="0"/>
        <v>6</v>
      </c>
      <c r="C10" s="42" t="s">
        <v>8</v>
      </c>
    </row>
    <row r="11" spans="2:3">
      <c r="B11" s="41">
        <f t="shared" si="0"/>
        <v>7</v>
      </c>
      <c r="C11" s="44" t="s">
        <v>193</v>
      </c>
    </row>
    <row r="12" spans="2:3">
      <c r="B12" s="41">
        <f t="shared" si="0"/>
        <v>8</v>
      </c>
      <c r="C12" s="42" t="s">
        <v>206</v>
      </c>
    </row>
    <row r="13" spans="2:3">
      <c r="B13" s="41">
        <f t="shared" si="0"/>
        <v>9</v>
      </c>
      <c r="C13" s="42" t="s">
        <v>368</v>
      </c>
    </row>
    <row r="14" spans="2:3">
      <c r="B14" s="41">
        <f t="shared" si="0"/>
        <v>10</v>
      </c>
      <c r="C14" s="42" t="s">
        <v>215</v>
      </c>
    </row>
    <row r="15" spans="2:3">
      <c r="B15" s="41">
        <f t="shared" si="0"/>
        <v>11</v>
      </c>
      <c r="C15" s="42" t="s">
        <v>237</v>
      </c>
    </row>
    <row r="16" spans="2:3">
      <c r="B16" s="41">
        <f t="shared" si="0"/>
        <v>12</v>
      </c>
      <c r="C16" s="44" t="s">
        <v>259</v>
      </c>
    </row>
    <row r="17" spans="2:3">
      <c r="B17" s="41">
        <f t="shared" si="0"/>
        <v>13</v>
      </c>
      <c r="C17" s="42" t="s">
        <v>256</v>
      </c>
    </row>
    <row r="18" spans="2:3">
      <c r="B18" s="41">
        <f t="shared" si="0"/>
        <v>14</v>
      </c>
      <c r="C18" s="42" t="s">
        <v>257</v>
      </c>
    </row>
    <row r="19" spans="2:3">
      <c r="B19" s="41">
        <f t="shared" si="0"/>
        <v>15</v>
      </c>
      <c r="C19" s="42" t="s">
        <v>258</v>
      </c>
    </row>
    <row r="20" spans="2:3">
      <c r="B20" s="41">
        <f t="shared" si="0"/>
        <v>16</v>
      </c>
      <c r="C20" s="44" t="s">
        <v>367</v>
      </c>
    </row>
    <row r="21" spans="2:3">
      <c r="B21" s="41">
        <f t="shared" si="0"/>
        <v>17</v>
      </c>
      <c r="C21" s="42" t="s">
        <v>342</v>
      </c>
    </row>
    <row r="22" spans="2:3">
      <c r="B22" s="41">
        <f t="shared" si="0"/>
        <v>18</v>
      </c>
      <c r="C22" s="42" t="s">
        <v>347</v>
      </c>
    </row>
    <row r="23" spans="2:3">
      <c r="B23" s="41">
        <f t="shared" si="0"/>
        <v>19</v>
      </c>
      <c r="C23" s="42" t="s">
        <v>363</v>
      </c>
    </row>
    <row r="24" spans="2:3">
      <c r="B24" s="41">
        <f t="shared" si="0"/>
        <v>20</v>
      </c>
      <c r="C24" s="42" t="s">
        <v>364</v>
      </c>
    </row>
    <row r="25" spans="2:3">
      <c r="B25" s="41">
        <f t="shared" si="0"/>
        <v>21</v>
      </c>
      <c r="C25" s="42" t="s">
        <v>365</v>
      </c>
    </row>
    <row r="26" spans="2:3">
      <c r="B26" s="41">
        <f t="shared" si="0"/>
        <v>22</v>
      </c>
      <c r="C26" s="42" t="s">
        <v>366</v>
      </c>
    </row>
    <row r="27" spans="2:3">
      <c r="B27" s="41">
        <f t="shared" si="0"/>
        <v>23</v>
      </c>
      <c r="C27" s="42" t="s">
        <v>383</v>
      </c>
    </row>
    <row r="28" spans="2:3">
      <c r="B28" s="41"/>
      <c r="C28" s="42"/>
    </row>
    <row r="29" spans="2:3">
      <c r="B29" s="11"/>
      <c r="C29" s="11"/>
    </row>
  </sheetData>
  <hyperlinks>
    <hyperlink ref="C17" location="'Expected Growth Rate'!A1" display="Expected Growth Rate"/>
    <hyperlink ref="C18" location="'Future Cashflows (10 Yrs)'!A1" display="Future Cash Flows (10 Yrs)"/>
    <hyperlink ref="C19" location="'Terminal Value'!A1" display="Terminal Value"/>
    <hyperlink ref="C21" location="'Cash &amp; Marketable Securities'!A1" display="Cash and Marketable Securities"/>
    <hyperlink ref="C22" location="'Value of Cross Holdings'!A1" display="Value of Cross Holdings"/>
    <hyperlink ref="C23" location="'Trent HyperMarket Pvt Ltd'!A1" display="Trent HyperMarket"/>
    <hyperlink ref="C24" location="'Massimo Dutti Pvt Ltd'!A1" display="Massimo Dutti"/>
    <hyperlink ref="C25" location="'Inditex Retail Pvt Ltd'!A1" display="Inditex Retail Ltd"/>
    <hyperlink ref="C7" location="'Equity Risk Premium'!A1" display="Equity Risk Premium"/>
    <hyperlink ref="C8" location="'BS assumptions'!A1" display="BS assumptions"/>
    <hyperlink ref="C10" location="WACC!A1" display="WACC"/>
    <hyperlink ref="C9" location="'Cost of Equity &amp; Debt'!A1" display="Cost of Equity &amp; Debt"/>
    <hyperlink ref="C6" location="'Risk Free Rate'!A1" display="Risk Free Rate"/>
    <hyperlink ref="C26" location="'Fair Value of Share'!A1" display="Fair Value of Share"/>
    <hyperlink ref="C12" location="'EBIT &amp; Operating Lease'!A1" display="EBIT &amp; Operating Lease"/>
    <hyperlink ref="C13" location="'Net CapEx'!A1" display="Reinvestment (Net CapEx)"/>
    <hyperlink ref="C14" location="'Working Capital Changes'!A1" display="Working Capital Changes"/>
    <hyperlink ref="C15" location="'FCFF &amp; FCFE'!A1" display="FCFE &amp; FCFF"/>
    <hyperlink ref="C27" location="'Sensitivity Analysis'!A1" display="Sensitivity Analysis"/>
  </hyperlink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4.85546875" style="2" customWidth="1"/>
    <col min="3" max="3" width="9.140625" style="2"/>
    <col min="4" max="4" width="10.28515625" style="2" customWidth="1"/>
    <col min="5" max="5" width="11.5703125" style="2" bestFit="1" customWidth="1"/>
    <col min="6" max="6" width="18.85546875" style="2" customWidth="1"/>
    <col min="7" max="7" width="2.7109375" style="2" customWidth="1"/>
    <col min="8" max="8" width="30.42578125" style="2" customWidth="1"/>
    <col min="9" max="16384" width="9.140625" style="2"/>
  </cols>
  <sheetData>
    <row r="1" spans="2:13" ht="15.75">
      <c r="B1" s="18" t="s">
        <v>284</v>
      </c>
    </row>
    <row r="3" spans="2:13">
      <c r="B3" s="25"/>
      <c r="C3" s="25"/>
      <c r="D3" s="24"/>
      <c r="E3" s="52" t="s">
        <v>54</v>
      </c>
      <c r="F3" s="53" t="s">
        <v>55</v>
      </c>
      <c r="I3" s="3"/>
      <c r="J3" s="3"/>
      <c r="K3" s="3"/>
    </row>
    <row r="4" spans="2:13">
      <c r="B4" s="20" t="s">
        <v>19</v>
      </c>
      <c r="C4" s="57">
        <f>C6-C8</f>
        <v>5.722E-2</v>
      </c>
      <c r="D4" s="6"/>
      <c r="E4" s="52" t="s">
        <v>39</v>
      </c>
      <c r="F4" s="14">
        <v>0</v>
      </c>
      <c r="I4" s="3"/>
      <c r="J4" s="3"/>
      <c r="K4" s="3"/>
    </row>
    <row r="5" spans="2:13">
      <c r="B5" s="3"/>
      <c r="C5" s="3"/>
      <c r="D5" s="6"/>
      <c r="E5" s="52" t="s">
        <v>40</v>
      </c>
      <c r="F5" s="14">
        <v>3.3999999999999998E-3</v>
      </c>
      <c r="I5" s="3"/>
      <c r="J5" s="3"/>
      <c r="K5" s="3"/>
      <c r="M5" s="3"/>
    </row>
    <row r="6" spans="2:13">
      <c r="B6" s="20" t="s">
        <v>21</v>
      </c>
      <c r="C6" s="58">
        <v>7.5920000000000001E-2</v>
      </c>
      <c r="D6" s="26"/>
      <c r="E6" s="52" t="s">
        <v>33</v>
      </c>
      <c r="F6" s="14">
        <v>4.1999999999999997E-3</v>
      </c>
      <c r="I6" s="3"/>
      <c r="J6" s="3"/>
      <c r="K6" s="3"/>
    </row>
    <row r="7" spans="2:13">
      <c r="B7" s="20" t="s">
        <v>22</v>
      </c>
      <c r="C7" s="59" t="s">
        <v>52</v>
      </c>
      <c r="D7" s="6"/>
      <c r="E7" s="52" t="s">
        <v>44</v>
      </c>
      <c r="F7" s="14">
        <v>5.1000000000000004E-3</v>
      </c>
      <c r="I7" s="3"/>
      <c r="J7" s="3"/>
      <c r="K7" s="3"/>
    </row>
    <row r="8" spans="2:13">
      <c r="B8" s="20" t="s">
        <v>23</v>
      </c>
      <c r="C8" s="56">
        <f>VLOOKUP(C7,$E$3:$F$24,2,0)</f>
        <v>1.8700000000000001E-2</v>
      </c>
      <c r="D8" s="6"/>
      <c r="E8" s="52" t="s">
        <v>49</v>
      </c>
      <c r="F8" s="49">
        <v>6.0000000000000001E-3</v>
      </c>
      <c r="I8" s="3"/>
      <c r="J8" s="3"/>
      <c r="K8" s="3"/>
    </row>
    <row r="9" spans="2:13">
      <c r="B9" s="3"/>
      <c r="C9" s="3"/>
      <c r="D9" s="6"/>
      <c r="E9" s="52" t="s">
        <v>46</v>
      </c>
      <c r="F9" s="14">
        <v>7.1999999999999998E-3</v>
      </c>
      <c r="I9" s="3"/>
      <c r="J9" s="3"/>
      <c r="K9" s="3"/>
    </row>
    <row r="10" spans="2:13">
      <c r="B10" s="55" t="s">
        <v>57</v>
      </c>
      <c r="C10" s="25"/>
      <c r="D10" s="6"/>
      <c r="E10" s="52" t="s">
        <v>47</v>
      </c>
      <c r="F10" s="14">
        <v>1.0200000000000001E-2</v>
      </c>
      <c r="I10" s="3"/>
      <c r="J10" s="3"/>
      <c r="K10" s="3"/>
    </row>
    <row r="11" spans="2:13">
      <c r="B11" s="3"/>
      <c r="C11" s="3"/>
      <c r="D11" s="6"/>
      <c r="E11" s="52" t="s">
        <v>48</v>
      </c>
      <c r="F11" s="14">
        <v>1.3599999999999999E-2</v>
      </c>
      <c r="I11" s="3"/>
      <c r="J11" s="3"/>
      <c r="K11" s="3"/>
    </row>
    <row r="12" spans="2:13">
      <c r="B12" s="51" t="s">
        <v>56</v>
      </c>
      <c r="C12" s="3"/>
      <c r="D12" s="6"/>
      <c r="E12" s="52" t="s">
        <v>35</v>
      </c>
      <c r="F12" s="14">
        <v>1.6199999999999999E-2</v>
      </c>
      <c r="I12" s="3"/>
      <c r="J12" s="3"/>
      <c r="K12" s="3"/>
    </row>
    <row r="13" spans="2:13">
      <c r="B13" s="54" t="s">
        <v>24</v>
      </c>
      <c r="C13" s="3"/>
      <c r="D13" s="6"/>
      <c r="E13" s="52" t="s">
        <v>52</v>
      </c>
      <c r="F13" s="14">
        <v>1.8700000000000001E-2</v>
      </c>
    </row>
    <row r="14" spans="2:13">
      <c r="B14" s="54" t="s">
        <v>25</v>
      </c>
      <c r="C14" s="25"/>
      <c r="D14" s="26"/>
      <c r="E14" s="52" t="s">
        <v>51</v>
      </c>
      <c r="F14" s="14">
        <v>2.1299999999999999E-2</v>
      </c>
    </row>
    <row r="15" spans="2:13">
      <c r="B15" s="54" t="s">
        <v>26</v>
      </c>
      <c r="C15" s="3"/>
      <c r="D15" s="6"/>
      <c r="E15" s="52" t="s">
        <v>41</v>
      </c>
      <c r="F15" s="14">
        <v>2.5600000000000001E-2</v>
      </c>
    </row>
    <row r="16" spans="2:13">
      <c r="B16" s="54" t="s">
        <v>27</v>
      </c>
      <c r="C16" s="3"/>
      <c r="D16" s="6"/>
      <c r="E16" s="52" t="s">
        <v>38</v>
      </c>
      <c r="F16" s="14">
        <v>3.0599999999999999E-2</v>
      </c>
    </row>
    <row r="17" spans="2:9">
      <c r="B17" s="54" t="s">
        <v>28</v>
      </c>
      <c r="C17" s="3"/>
      <c r="D17" s="6"/>
      <c r="E17" s="52" t="s">
        <v>34</v>
      </c>
      <c r="F17" s="14">
        <v>3.8300000000000001E-2</v>
      </c>
    </row>
    <row r="18" spans="2:9">
      <c r="B18" s="54" t="s">
        <v>29</v>
      </c>
      <c r="C18" s="3"/>
      <c r="D18" s="26"/>
      <c r="E18" s="52" t="s">
        <v>42</v>
      </c>
      <c r="F18" s="14">
        <v>4.6800000000000001E-2</v>
      </c>
    </row>
    <row r="19" spans="2:9">
      <c r="B19" s="54" t="s">
        <v>30</v>
      </c>
      <c r="C19" s="25"/>
      <c r="D19" s="6"/>
      <c r="E19" s="52" t="s">
        <v>36</v>
      </c>
      <c r="F19" s="14">
        <v>5.5300000000000002E-2</v>
      </c>
    </row>
    <row r="20" spans="2:9">
      <c r="B20" s="54" t="s">
        <v>31</v>
      </c>
      <c r="C20" s="3"/>
      <c r="D20" s="6"/>
      <c r="E20" s="52" t="s">
        <v>43</v>
      </c>
      <c r="F20" s="14">
        <v>6.3799999999999996E-2</v>
      </c>
    </row>
    <row r="21" spans="2:9">
      <c r="B21" s="54" t="s">
        <v>32</v>
      </c>
      <c r="C21" s="3"/>
      <c r="D21" s="6"/>
      <c r="E21" s="52" t="s">
        <v>50</v>
      </c>
      <c r="F21" s="14">
        <v>7.6600000000000001E-2</v>
      </c>
    </row>
    <row r="22" spans="2:9">
      <c r="B22" s="3"/>
      <c r="C22" s="3"/>
      <c r="D22" s="6"/>
      <c r="E22" s="52" t="s">
        <v>45</v>
      </c>
      <c r="F22" s="14">
        <v>8.5099999999999995E-2</v>
      </c>
    </row>
    <row r="23" spans="2:9">
      <c r="B23" s="25"/>
      <c r="C23" s="25"/>
      <c r="D23" s="26"/>
      <c r="E23" s="52" t="s">
        <v>37</v>
      </c>
      <c r="F23" s="14">
        <v>0.1021</v>
      </c>
      <c r="I23" s="4"/>
    </row>
    <row r="24" spans="2:9">
      <c r="B24" s="3"/>
      <c r="C24" s="3"/>
      <c r="D24" s="6"/>
      <c r="E24" s="52" t="s">
        <v>53</v>
      </c>
      <c r="F24" s="14">
        <v>0.17499999999999999</v>
      </c>
    </row>
    <row r="25" spans="2:9">
      <c r="B25" s="3"/>
      <c r="C25" s="3"/>
      <c r="D25" s="6"/>
      <c r="E25" s="6"/>
    </row>
    <row r="26" spans="2:9">
      <c r="B26" s="3"/>
      <c r="C26" s="3"/>
      <c r="D26" s="6"/>
      <c r="E26" s="6"/>
    </row>
    <row r="27" spans="2:9">
      <c r="B27" s="3"/>
      <c r="C27" s="3"/>
      <c r="D27" s="26"/>
      <c r="E27" s="26"/>
      <c r="F27" s="26"/>
    </row>
    <row r="28" spans="2:9">
      <c r="B28" s="3"/>
      <c r="C28" s="3"/>
      <c r="D28" s="3"/>
      <c r="E28" s="3"/>
      <c r="F28" s="3"/>
    </row>
    <row r="29" spans="2:9">
      <c r="B29" s="3"/>
      <c r="C29" s="3"/>
      <c r="D29" s="3"/>
      <c r="E29" s="3"/>
      <c r="F29" s="3"/>
    </row>
    <row r="30" spans="2:9">
      <c r="B30" s="3"/>
      <c r="C30" s="3"/>
      <c r="D30" s="3"/>
      <c r="E30" s="3"/>
      <c r="F30" s="3"/>
    </row>
    <row r="31" spans="2:9">
      <c r="D31" s="3"/>
      <c r="E31" s="3"/>
      <c r="F31" s="3"/>
    </row>
    <row r="32" spans="2:9">
      <c r="D32" s="3"/>
      <c r="E32" s="3"/>
      <c r="F32" s="3"/>
    </row>
    <row r="33" spans="4:6">
      <c r="D33" s="3"/>
      <c r="E33" s="3"/>
      <c r="F33" s="3"/>
    </row>
    <row r="34" spans="4:6">
      <c r="D34" s="3"/>
      <c r="E34" s="3"/>
      <c r="F34" s="3"/>
    </row>
  </sheetData>
  <sortState ref="E4:F24">
    <sortCondition ref="F6"/>
  </sortState>
  <conditionalFormatting sqref="F4:F24">
    <cfRule type="colorScale" priority="1">
      <colorScale>
        <cfvo type="min"/>
        <cfvo type="percentile" val="50"/>
        <cfvo type="max"/>
        <color rgb="FF63BE7B"/>
        <color rgb="FFFFEB84"/>
        <color rgb="FFF8696B"/>
      </colorScale>
    </cfRule>
  </conditionalFormatting>
  <pageMargins left="0.7" right="0.7" top="0.75" bottom="0.75" header="0.3" footer="0.3"/>
  <pageSetup paperSize="11"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4"/>
  <sheetViews>
    <sheetView zoomScaleNormal="100" workbookViewId="0"/>
  </sheetViews>
  <sheetFormatPr defaultRowHeight="12"/>
  <cols>
    <col min="1" max="1" width="2" style="2" customWidth="1"/>
    <col min="2" max="2" width="36.42578125" style="2" customWidth="1"/>
    <col min="3" max="3" width="10" style="2" bestFit="1" customWidth="1"/>
    <col min="4" max="4" width="2.85546875" style="2" customWidth="1"/>
    <col min="5" max="5" width="18.5703125" style="2" customWidth="1"/>
    <col min="6" max="6" width="10" style="15" customWidth="1"/>
    <col min="7" max="8" width="11.42578125" style="2" customWidth="1"/>
    <col min="9" max="9" width="9.85546875" style="2" customWidth="1"/>
    <col min="10" max="10" width="12.28515625" style="2" customWidth="1"/>
    <col min="11" max="11" width="10" style="2" customWidth="1"/>
    <col min="12" max="12" width="7.85546875" style="2" customWidth="1"/>
    <col min="13" max="13" width="16" style="2" customWidth="1"/>
    <col min="14" max="16384" width="9.140625" style="2"/>
  </cols>
  <sheetData>
    <row r="1" spans="2:13" ht="15.75">
      <c r="B1" s="18" t="s">
        <v>20</v>
      </c>
    </row>
    <row r="3" spans="2:13">
      <c r="B3" s="20" t="s">
        <v>60</v>
      </c>
      <c r="C3" s="93">
        <f>G13</f>
        <v>189.17</v>
      </c>
      <c r="D3" s="24"/>
      <c r="E3" s="50"/>
      <c r="F3" s="73" t="s">
        <v>59</v>
      </c>
      <c r="G3" s="74" t="s">
        <v>61</v>
      </c>
      <c r="H3" s="76" t="s">
        <v>62</v>
      </c>
      <c r="I3" s="76" t="s">
        <v>65</v>
      </c>
      <c r="J3" s="76" t="s">
        <v>92</v>
      </c>
      <c r="K3" s="3"/>
      <c r="L3" s="90" t="s">
        <v>59</v>
      </c>
      <c r="M3" s="76" t="s">
        <v>88</v>
      </c>
    </row>
    <row r="4" spans="2:13">
      <c r="B4" s="32" t="s">
        <v>66</v>
      </c>
      <c r="C4" s="98">
        <f>J14/I14</f>
        <v>138.95218181818183</v>
      </c>
      <c r="D4" s="6"/>
      <c r="F4" s="72" t="s">
        <v>70</v>
      </c>
      <c r="G4" s="75">
        <v>77.72</v>
      </c>
      <c r="H4" s="77">
        <v>1.47E-2</v>
      </c>
      <c r="I4" s="52">
        <v>1</v>
      </c>
      <c r="J4" s="81">
        <f t="shared" ref="J4:J13" si="0">G4*I4</f>
        <v>77.72</v>
      </c>
      <c r="K4" s="3"/>
      <c r="L4" s="88" t="s">
        <v>80</v>
      </c>
      <c r="M4" s="89">
        <f>C11</f>
        <v>0.172634108417556</v>
      </c>
    </row>
    <row r="5" spans="2:13">
      <c r="D5" s="6"/>
      <c r="F5" s="72" t="s">
        <v>71</v>
      </c>
      <c r="G5" s="75">
        <v>97.24</v>
      </c>
      <c r="H5" s="77">
        <v>1.37E-2</v>
      </c>
      <c r="I5" s="52">
        <v>2</v>
      </c>
      <c r="J5" s="81">
        <f t="shared" si="0"/>
        <v>194.48</v>
      </c>
      <c r="K5" s="3"/>
      <c r="L5" s="88" t="s">
        <v>81</v>
      </c>
      <c r="M5" s="89">
        <f>(M4+M6)/2</f>
        <v>0.146583081313167</v>
      </c>
    </row>
    <row r="6" spans="2:13">
      <c r="B6" s="32" t="s">
        <v>64</v>
      </c>
      <c r="C6" s="94">
        <f>H13</f>
        <v>1.11E-2</v>
      </c>
      <c r="D6" s="26"/>
      <c r="F6" s="72" t="s">
        <v>72</v>
      </c>
      <c r="G6" s="75">
        <v>122.26</v>
      </c>
      <c r="H6" s="77">
        <v>1.2800000000000001E-2</v>
      </c>
      <c r="I6" s="52">
        <v>3</v>
      </c>
      <c r="J6" s="81">
        <f t="shared" si="0"/>
        <v>366.78000000000003</v>
      </c>
      <c r="K6" s="3"/>
      <c r="L6" s="88" t="s">
        <v>82</v>
      </c>
      <c r="M6" s="89">
        <f>(M4+M8)/2</f>
        <v>0.12053205420877799</v>
      </c>
    </row>
    <row r="7" spans="2:13">
      <c r="B7" s="32" t="s">
        <v>63</v>
      </c>
      <c r="C7" s="95">
        <f>AVERAGE(H4:H13)</f>
        <v>1.315E-2</v>
      </c>
      <c r="D7" s="6"/>
      <c r="F7" s="72" t="s">
        <v>73</v>
      </c>
      <c r="G7" s="75">
        <v>121.01</v>
      </c>
      <c r="H7" s="77">
        <v>1.49E-2</v>
      </c>
      <c r="I7" s="52">
        <v>4</v>
      </c>
      <c r="J7" s="81">
        <f t="shared" si="0"/>
        <v>484.04</v>
      </c>
      <c r="K7" s="3"/>
      <c r="L7" s="88" t="s">
        <v>83</v>
      </c>
      <c r="M7" s="89">
        <f>(M6+M8)/2</f>
        <v>9.4481027104388993E-2</v>
      </c>
    </row>
    <row r="8" spans="2:13">
      <c r="C8" s="49"/>
      <c r="D8" s="6"/>
      <c r="F8" s="72" t="s">
        <v>74</v>
      </c>
      <c r="G8" s="75">
        <v>112.54</v>
      </c>
      <c r="H8" s="77">
        <v>1.23E-2</v>
      </c>
      <c r="I8" s="52">
        <v>5</v>
      </c>
      <c r="J8" s="81">
        <f t="shared" si="0"/>
        <v>562.70000000000005</v>
      </c>
      <c r="K8" s="3"/>
      <c r="L8" s="88" t="s">
        <v>84</v>
      </c>
      <c r="M8" s="89">
        <v>6.8430000000000005E-2</v>
      </c>
    </row>
    <row r="9" spans="2:13">
      <c r="B9" s="20" t="s">
        <v>85</v>
      </c>
      <c r="C9" s="96">
        <v>282.98</v>
      </c>
      <c r="D9" s="6"/>
      <c r="F9" s="72" t="s">
        <v>75</v>
      </c>
      <c r="G9" s="75">
        <v>137.75</v>
      </c>
      <c r="H9" s="77">
        <v>1.2500000000000001E-2</v>
      </c>
      <c r="I9" s="52">
        <v>6</v>
      </c>
      <c r="J9" s="81">
        <f t="shared" si="0"/>
        <v>826.5</v>
      </c>
      <c r="K9" s="3"/>
      <c r="L9" s="70"/>
      <c r="M9" s="91">
        <f>AVERAGE(M4:M8)</f>
        <v>0.12053205420877799</v>
      </c>
    </row>
    <row r="10" spans="2:13">
      <c r="B10" s="20" t="s">
        <v>86</v>
      </c>
      <c r="C10" s="96">
        <v>771.5</v>
      </c>
      <c r="D10" s="6"/>
      <c r="F10" s="72" t="s">
        <v>76</v>
      </c>
      <c r="G10" s="75">
        <v>142.54</v>
      </c>
      <c r="H10" s="77">
        <v>1.1299999999999999E-2</v>
      </c>
      <c r="I10" s="52">
        <v>7</v>
      </c>
      <c r="J10" s="81">
        <f t="shared" si="0"/>
        <v>997.78</v>
      </c>
      <c r="K10" s="3"/>
      <c r="L10" s="68"/>
    </row>
    <row r="11" spans="2:13">
      <c r="B11" s="20" t="s">
        <v>87</v>
      </c>
      <c r="C11" s="97">
        <f>((C10-C9)/C9)/10</f>
        <v>0.172634108417556</v>
      </c>
      <c r="D11" s="6"/>
      <c r="F11" s="72" t="s">
        <v>77</v>
      </c>
      <c r="G11" s="75">
        <v>149.1</v>
      </c>
      <c r="H11" s="77">
        <v>1.83E-2</v>
      </c>
      <c r="I11" s="52">
        <v>8</v>
      </c>
      <c r="J11" s="81">
        <f t="shared" si="0"/>
        <v>1192.8</v>
      </c>
      <c r="K11" s="3"/>
      <c r="L11" s="83" t="s">
        <v>67</v>
      </c>
      <c r="M11" s="92" t="s">
        <v>90</v>
      </c>
    </row>
    <row r="12" spans="2:13">
      <c r="B12" s="3"/>
      <c r="C12" s="3"/>
      <c r="D12" s="6"/>
      <c r="F12" s="72" t="s">
        <v>78</v>
      </c>
      <c r="G12" s="75">
        <v>116.43</v>
      </c>
      <c r="H12" s="77">
        <v>9.9000000000000008E-3</v>
      </c>
      <c r="I12" s="52">
        <v>9</v>
      </c>
      <c r="J12" s="81">
        <f t="shared" si="0"/>
        <v>1047.8700000000001</v>
      </c>
      <c r="K12" s="3"/>
      <c r="L12" s="66"/>
      <c r="M12" s="92" t="s">
        <v>91</v>
      </c>
    </row>
    <row r="13" spans="2:13">
      <c r="B13" s="20" t="s">
        <v>89</v>
      </c>
      <c r="C13" s="57">
        <f>M9</f>
        <v>0.12053205420877799</v>
      </c>
      <c r="D13" s="6"/>
      <c r="F13" s="72" t="s">
        <v>79</v>
      </c>
      <c r="G13" s="75">
        <v>189.17</v>
      </c>
      <c r="H13" s="77">
        <v>1.11E-2</v>
      </c>
      <c r="I13" s="52">
        <v>10</v>
      </c>
      <c r="J13" s="81">
        <f t="shared" si="0"/>
        <v>1891.6999999999998</v>
      </c>
    </row>
    <row r="14" spans="2:13">
      <c r="B14" s="25"/>
      <c r="C14" s="25"/>
      <c r="D14" s="26"/>
      <c r="F14" s="70"/>
      <c r="G14" s="9"/>
      <c r="I14" s="80">
        <f>SUM(I4:I13)</f>
        <v>55</v>
      </c>
      <c r="J14" s="82">
        <f>SUM(J4:J13)</f>
        <v>7642.37</v>
      </c>
    </row>
    <row r="15" spans="2:13">
      <c r="B15" s="20" t="s">
        <v>93</v>
      </c>
      <c r="C15" s="101">
        <v>17464.75</v>
      </c>
      <c r="D15" s="6"/>
      <c r="E15" s="50"/>
      <c r="F15" s="66"/>
      <c r="G15" s="3"/>
      <c r="H15" s="3"/>
    </row>
    <row r="16" spans="2:13">
      <c r="B16" s="3"/>
      <c r="C16" s="3"/>
      <c r="D16" s="6"/>
      <c r="E16" s="50"/>
      <c r="F16" s="83" t="s">
        <v>67</v>
      </c>
      <c r="G16" s="84" t="s">
        <v>69</v>
      </c>
      <c r="H16" s="48"/>
    </row>
    <row r="17" spans="2:12">
      <c r="B17" s="20" t="s">
        <v>99</v>
      </c>
      <c r="C17" s="95">
        <v>1.8200000000000001E-2</v>
      </c>
      <c r="D17" s="6"/>
      <c r="E17" s="50"/>
      <c r="F17" s="66"/>
      <c r="G17" s="84" t="s">
        <v>68</v>
      </c>
    </row>
    <row r="18" spans="2:12">
      <c r="B18" s="3"/>
      <c r="C18" s="3"/>
      <c r="D18" s="26"/>
      <c r="E18" s="50"/>
      <c r="F18" s="66"/>
      <c r="G18" s="3"/>
      <c r="H18" s="3"/>
    </row>
    <row r="19" spans="2:12">
      <c r="B19" s="25"/>
      <c r="C19" s="25"/>
      <c r="D19" s="6"/>
      <c r="E19" s="50"/>
      <c r="F19" s="66"/>
      <c r="G19" s="3"/>
      <c r="H19" s="3"/>
    </row>
    <row r="20" spans="2:12">
      <c r="B20" s="3"/>
      <c r="C20" s="3"/>
      <c r="D20" s="6"/>
      <c r="E20" s="102" t="s">
        <v>94</v>
      </c>
      <c r="F20" s="90" t="s">
        <v>79</v>
      </c>
      <c r="G20" s="90" t="s">
        <v>80</v>
      </c>
      <c r="H20" s="90" t="s">
        <v>81</v>
      </c>
      <c r="I20" s="90" t="s">
        <v>82</v>
      </c>
      <c r="J20" s="90" t="s">
        <v>83</v>
      </c>
      <c r="K20" s="90" t="s">
        <v>84</v>
      </c>
    </row>
    <row r="21" spans="2:12">
      <c r="B21" s="3"/>
      <c r="C21" s="3"/>
      <c r="D21" s="6"/>
      <c r="E21" s="108">
        <f>-C15</f>
        <v>-17464.75</v>
      </c>
      <c r="F21" s="99">
        <f>$C$4</f>
        <v>138.95218181818183</v>
      </c>
      <c r="G21" s="100">
        <f>F21*(1+$C$13)</f>
        <v>155.7003737295189</v>
      </c>
      <c r="H21" s="100">
        <f>G21*(1+$C$13)</f>
        <v>174.46725961621226</v>
      </c>
      <c r="I21" s="100">
        <f t="shared" ref="I21:K21" si="1">H21*(1+$C$13)</f>
        <v>195.49615680993051</v>
      </c>
      <c r="J21" s="100">
        <f t="shared" si="1"/>
        <v>219.05971018015282</v>
      </c>
      <c r="K21" s="100">
        <f t="shared" si="1"/>
        <v>245.46342704254619</v>
      </c>
    </row>
    <row r="22" spans="2:12">
      <c r="B22" s="3"/>
      <c r="C22" s="3"/>
      <c r="D22" s="6"/>
      <c r="E22" s="52"/>
      <c r="F22" s="109"/>
      <c r="G22" s="109"/>
      <c r="H22" s="109"/>
      <c r="I22" s="110"/>
      <c r="J22" s="111"/>
      <c r="K22" s="109"/>
    </row>
    <row r="23" spans="2:12">
      <c r="B23" s="25"/>
      <c r="C23" s="25"/>
      <c r="D23" s="26"/>
      <c r="E23" s="52" t="s">
        <v>95</v>
      </c>
      <c r="F23" s="32">
        <f>NPV(10%,$G$21:$K$21)+($K$21*(1+$M$8))/(10%-$M$8)*((1+10%)^5)+$E$21</f>
        <v>-3351.1628706754473</v>
      </c>
      <c r="G23" s="32"/>
      <c r="H23" s="32"/>
      <c r="I23" s="32"/>
      <c r="J23" s="32"/>
      <c r="K23" s="32"/>
      <c r="L23" s="105"/>
    </row>
    <row r="24" spans="2:12">
      <c r="B24" s="3"/>
      <c r="C24" s="3"/>
      <c r="D24" s="6"/>
      <c r="E24" s="52" t="s">
        <v>96</v>
      </c>
      <c r="F24" s="32">
        <f>NPV(9%,$G$21:$K$21)+($K$21*(1+$M$8))/(9%-$M$8)*((1+9%)^5)+$E$21</f>
        <v>1998.0973412469721</v>
      </c>
      <c r="G24" s="32"/>
      <c r="H24" s="32"/>
      <c r="I24" s="32"/>
      <c r="J24" s="32"/>
      <c r="K24" s="32"/>
    </row>
    <row r="25" spans="2:12">
      <c r="B25" s="3"/>
      <c r="C25" s="3"/>
      <c r="D25" s="6"/>
      <c r="E25" s="19"/>
      <c r="F25" s="109"/>
      <c r="G25" s="32"/>
      <c r="H25" s="117"/>
      <c r="I25" s="118"/>
      <c r="J25" s="32"/>
      <c r="K25" s="32"/>
    </row>
    <row r="26" spans="2:12">
      <c r="B26" s="3"/>
      <c r="C26" s="3"/>
      <c r="D26" s="6"/>
      <c r="E26" s="45" t="s">
        <v>97</v>
      </c>
      <c r="F26" s="112">
        <f>9%+($F$24/($F$24-$F$23)*(10%-9%))</f>
        <v>9.3735277892807708E-2</v>
      </c>
      <c r="G26" s="32"/>
      <c r="H26" s="119"/>
      <c r="I26" s="118"/>
      <c r="J26" s="32"/>
      <c r="K26" s="32"/>
      <c r="L26" s="106"/>
    </row>
    <row r="27" spans="2:12">
      <c r="B27" s="3"/>
      <c r="C27" s="3"/>
      <c r="D27" s="9" t="s">
        <v>98</v>
      </c>
      <c r="E27" s="113" t="s">
        <v>19</v>
      </c>
      <c r="F27" s="114">
        <f>'Risk Free Rate'!C4</f>
        <v>5.722E-2</v>
      </c>
      <c r="G27" s="32"/>
      <c r="H27" s="32"/>
      <c r="I27" s="32"/>
      <c r="J27" s="32"/>
      <c r="K27" s="32"/>
    </row>
    <row r="28" spans="2:12">
      <c r="B28" s="3"/>
      <c r="C28" s="3"/>
      <c r="E28" s="115" t="s">
        <v>20</v>
      </c>
      <c r="F28" s="116">
        <f>F26-F27</f>
        <v>3.6515277892807708E-2</v>
      </c>
      <c r="G28" s="32"/>
      <c r="H28" s="32"/>
      <c r="I28" s="32"/>
      <c r="J28" s="32"/>
      <c r="K28" s="32"/>
    </row>
    <row r="29" spans="2:12">
      <c r="B29" s="3"/>
      <c r="C29" s="3"/>
      <c r="D29" s="3"/>
    </row>
    <row r="30" spans="2:12">
      <c r="B30" s="3"/>
      <c r="C30" s="3"/>
      <c r="D30" s="3"/>
      <c r="E30" s="3"/>
      <c r="F30" s="67"/>
    </row>
    <row r="31" spans="2:12">
      <c r="D31" s="3"/>
      <c r="E31" s="3"/>
      <c r="F31" s="67"/>
    </row>
    <row r="32" spans="2:12">
      <c r="D32" s="3"/>
      <c r="E32" s="3"/>
      <c r="F32" s="67"/>
    </row>
    <row r="33" spans="4:6">
      <c r="D33" s="3"/>
      <c r="E33" s="3"/>
      <c r="F33" s="67"/>
    </row>
    <row r="34" spans="4:6">
      <c r="D34" s="3"/>
      <c r="E34" s="3"/>
      <c r="F34" s="67"/>
    </row>
  </sheetData>
  <hyperlinks>
    <hyperlink ref="G16" r:id="rId1"/>
    <hyperlink ref="G17" r:id="rId2"/>
    <hyperlink ref="M11" r:id="rId3"/>
    <hyperlink ref="M12" r:id="rId4"/>
  </hyperlinks>
  <pageMargins left="0.7" right="0.7" top="0.75" bottom="0.75" header="0.3" footer="0.3"/>
  <pageSetup orientation="portrait" r:id="rId5"/>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B1:Q33"/>
  <sheetViews>
    <sheetView zoomScaleNormal="100" workbookViewId="0"/>
  </sheetViews>
  <sheetFormatPr defaultRowHeight="12"/>
  <cols>
    <col min="1" max="1" width="2" style="2" customWidth="1"/>
    <col min="2" max="2" width="27" style="2" customWidth="1"/>
    <col min="3" max="3" width="12.7109375" style="2" customWidth="1"/>
    <col min="4" max="4" width="9.140625" style="2" customWidth="1"/>
    <col min="5" max="5" width="8.7109375" style="2" customWidth="1"/>
    <col min="6" max="6" width="3" style="15" customWidth="1"/>
    <col min="7" max="7" width="27" style="2" customWidth="1"/>
    <col min="8" max="8" width="14.42578125" style="2" customWidth="1"/>
    <col min="9" max="9" width="19.85546875" style="15" customWidth="1"/>
    <col min="10" max="10" width="10.85546875" style="2" customWidth="1"/>
    <col min="11" max="14" width="9.42578125" style="2" customWidth="1"/>
    <col min="15" max="15" width="7.85546875" style="2" customWidth="1"/>
    <col min="16" max="16" width="6.28515625" style="2" customWidth="1"/>
    <col min="17" max="16384" width="9.140625" style="2"/>
  </cols>
  <sheetData>
    <row r="1" spans="2:17" ht="15.75">
      <c r="B1" s="18" t="s">
        <v>154</v>
      </c>
      <c r="E1" s="3"/>
      <c r="F1" s="67"/>
      <c r="G1" s="3"/>
      <c r="H1" s="3"/>
      <c r="I1" s="67"/>
      <c r="J1" s="3"/>
      <c r="K1" s="3"/>
      <c r="L1" s="3"/>
      <c r="M1" s="3"/>
      <c r="N1" s="3"/>
      <c r="O1" s="3"/>
      <c r="P1" s="3"/>
      <c r="Q1" s="3"/>
    </row>
    <row r="2" spans="2:17">
      <c r="E2" s="3"/>
      <c r="F2" s="67"/>
      <c r="G2" s="438" t="s">
        <v>140</v>
      </c>
      <c r="H2" s="438"/>
      <c r="I2" s="438"/>
      <c r="J2" s="438"/>
      <c r="K2" s="438" t="s">
        <v>129</v>
      </c>
      <c r="L2" s="438"/>
      <c r="M2" s="165"/>
      <c r="N2" s="165"/>
      <c r="O2" s="3"/>
      <c r="P2" s="3"/>
      <c r="Q2" s="3"/>
    </row>
    <row r="3" spans="2:17">
      <c r="B3" s="20" t="s">
        <v>101</v>
      </c>
      <c r="C3" s="96" t="str">
        <f>About!C3</f>
        <v>Retailing</v>
      </c>
      <c r="D3" s="24"/>
      <c r="F3" s="124"/>
      <c r="G3" s="52" t="s">
        <v>104</v>
      </c>
      <c r="H3" s="52" t="s">
        <v>110</v>
      </c>
      <c r="I3" s="139" t="s">
        <v>128</v>
      </c>
      <c r="J3" s="140" t="s">
        <v>127</v>
      </c>
      <c r="K3" s="140" t="s">
        <v>130</v>
      </c>
      <c r="L3" s="81" t="s">
        <v>131</v>
      </c>
      <c r="M3" s="81" t="s">
        <v>143</v>
      </c>
      <c r="N3" s="81" t="s">
        <v>146</v>
      </c>
      <c r="O3" s="125"/>
      <c r="P3" s="107"/>
      <c r="Q3" s="3"/>
    </row>
    <row r="4" spans="2:17">
      <c r="B4" s="32" t="s">
        <v>102</v>
      </c>
      <c r="C4" s="150" t="str">
        <f>About!C4</f>
        <v>Lifestyle Retail</v>
      </c>
      <c r="D4" s="6"/>
      <c r="E4" s="3"/>
      <c r="F4" s="71"/>
      <c r="G4" s="75" t="s">
        <v>109</v>
      </c>
      <c r="H4" s="75" t="s">
        <v>111</v>
      </c>
      <c r="I4" s="437" t="s">
        <v>126</v>
      </c>
      <c r="J4" s="437"/>
      <c r="K4" s="437"/>
      <c r="L4" s="437"/>
      <c r="M4" s="145">
        <v>0.24</v>
      </c>
      <c r="N4" s="147">
        <v>23.5</v>
      </c>
      <c r="O4" s="133"/>
      <c r="P4" s="87"/>
      <c r="Q4" s="3"/>
    </row>
    <row r="5" spans="2:17">
      <c r="D5" s="6"/>
      <c r="E5" s="3"/>
      <c r="F5" s="71"/>
      <c r="G5" s="75" t="s">
        <v>112</v>
      </c>
      <c r="H5" s="75" t="s">
        <v>113</v>
      </c>
      <c r="I5" s="144">
        <v>0.78820000000000001</v>
      </c>
      <c r="J5" s="145">
        <v>0.248</v>
      </c>
      <c r="K5" s="145">
        <f>I5-(2*J5)</f>
        <v>0.29220000000000002</v>
      </c>
      <c r="L5" s="145">
        <f>I5+(2*J5)</f>
        <v>1.2842</v>
      </c>
      <c r="M5" s="145">
        <v>1.48</v>
      </c>
      <c r="N5" s="145">
        <v>3.15</v>
      </c>
      <c r="O5" s="134"/>
      <c r="P5" s="87"/>
      <c r="Q5" s="3"/>
    </row>
    <row r="6" spans="2:17">
      <c r="B6" s="32" t="s">
        <v>105</v>
      </c>
      <c r="C6" s="94" t="s">
        <v>106</v>
      </c>
      <c r="D6" s="26"/>
      <c r="E6" s="3"/>
      <c r="F6" s="71"/>
      <c r="G6" s="75" t="s">
        <v>114</v>
      </c>
      <c r="H6" s="75" t="s">
        <v>115</v>
      </c>
      <c r="I6" s="437" t="s">
        <v>126</v>
      </c>
      <c r="J6" s="437"/>
      <c r="K6" s="437"/>
      <c r="L6" s="437"/>
      <c r="M6" s="145">
        <v>0.55000000000000004</v>
      </c>
      <c r="N6" s="145">
        <v>11.1</v>
      </c>
      <c r="O6" s="133"/>
      <c r="P6" s="87"/>
      <c r="Q6" s="3"/>
    </row>
    <row r="7" spans="2:17">
      <c r="B7" s="32" t="s">
        <v>107</v>
      </c>
      <c r="C7" s="95" t="s">
        <v>108</v>
      </c>
      <c r="D7" s="6"/>
      <c r="E7" s="3"/>
      <c r="F7" s="71"/>
      <c r="G7" s="75" t="s">
        <v>117</v>
      </c>
      <c r="H7" s="75" t="s">
        <v>116</v>
      </c>
      <c r="I7" s="144">
        <v>1.0954999999999999</v>
      </c>
      <c r="J7" s="145">
        <v>0.26600000000000001</v>
      </c>
      <c r="K7" s="145">
        <f t="shared" ref="K7:K10" si="0">I7-(2*J7)</f>
        <v>0.56349999999999989</v>
      </c>
      <c r="L7" s="145">
        <f t="shared" ref="L7:L10" si="1">I7+(2*J7)</f>
        <v>1.6274999999999999</v>
      </c>
      <c r="M7" s="145">
        <v>1.06</v>
      </c>
      <c r="N7" s="145">
        <v>3.55</v>
      </c>
      <c r="O7" s="70"/>
      <c r="P7" s="87"/>
      <c r="Q7" s="3"/>
    </row>
    <row r="8" spans="2:17">
      <c r="C8" s="49"/>
      <c r="D8" s="6"/>
      <c r="E8" s="3"/>
      <c r="F8" s="71"/>
      <c r="G8" s="75" t="s">
        <v>118</v>
      </c>
      <c r="H8" s="75" t="s">
        <v>119</v>
      </c>
      <c r="I8" s="144">
        <v>1.2392000000000001</v>
      </c>
      <c r="J8" s="145">
        <v>0.28199999999999997</v>
      </c>
      <c r="K8" s="145">
        <f t="shared" si="0"/>
        <v>0.67520000000000013</v>
      </c>
      <c r="L8" s="145">
        <f t="shared" si="1"/>
        <v>1.8031999999999999</v>
      </c>
      <c r="M8" s="152">
        <v>27.9</v>
      </c>
      <c r="N8" s="145">
        <v>2.71</v>
      </c>
      <c r="O8" s="133" t="s">
        <v>145</v>
      </c>
      <c r="P8" s="87"/>
      <c r="Q8" s="3"/>
    </row>
    <row r="9" spans="2:17">
      <c r="B9" s="32" t="s">
        <v>149</v>
      </c>
      <c r="C9" s="53">
        <f>C11-C10</f>
        <v>4004.2299999999996</v>
      </c>
      <c r="D9" s="161">
        <f>C9/C11</f>
        <v>0.85684419555639246</v>
      </c>
      <c r="E9" s="3"/>
      <c r="F9" s="71"/>
      <c r="G9" s="75" t="s">
        <v>120</v>
      </c>
      <c r="H9" s="75" t="s">
        <v>121</v>
      </c>
      <c r="I9" s="144">
        <v>0.6724</v>
      </c>
      <c r="J9" s="145">
        <v>0.252</v>
      </c>
      <c r="K9" s="145">
        <f t="shared" si="0"/>
        <v>0.16839999999999999</v>
      </c>
      <c r="L9" s="145">
        <f t="shared" si="1"/>
        <v>1.1764000000000001</v>
      </c>
      <c r="M9" s="145">
        <v>1.28</v>
      </c>
      <c r="N9" s="145">
        <v>1.33</v>
      </c>
      <c r="O9" s="70"/>
      <c r="P9" s="87"/>
      <c r="Q9" s="3"/>
    </row>
    <row r="10" spans="2:17">
      <c r="B10" s="32" t="s">
        <v>150</v>
      </c>
      <c r="C10" s="160">
        <f>1338/2</f>
        <v>669</v>
      </c>
      <c r="D10" s="161">
        <f>C10/C11</f>
        <v>0.14315580444360754</v>
      </c>
      <c r="E10" s="3"/>
      <c r="F10" s="71"/>
      <c r="G10" s="75" t="s">
        <v>122</v>
      </c>
      <c r="H10" s="75" t="s">
        <v>123</v>
      </c>
      <c r="I10" s="144">
        <v>1.0973999999999999</v>
      </c>
      <c r="J10" s="145">
        <v>0.46200000000000002</v>
      </c>
      <c r="K10" s="145">
        <f t="shared" si="0"/>
        <v>0.17339999999999989</v>
      </c>
      <c r="L10" s="145">
        <f t="shared" si="1"/>
        <v>2.0213999999999999</v>
      </c>
      <c r="M10" s="152">
        <v>10.3</v>
      </c>
      <c r="N10" s="145">
        <v>0.59</v>
      </c>
      <c r="O10" s="133" t="s">
        <v>145</v>
      </c>
      <c r="P10" s="3"/>
      <c r="Q10" s="3"/>
    </row>
    <row r="11" spans="2:17">
      <c r="B11" s="20" t="s">
        <v>151</v>
      </c>
      <c r="C11" s="162">
        <v>4673.2299999999996</v>
      </c>
      <c r="D11" s="163">
        <v>1</v>
      </c>
      <c r="E11" s="3"/>
      <c r="F11" s="71"/>
      <c r="G11" s="75" t="s">
        <v>124</v>
      </c>
      <c r="H11" s="75" t="s">
        <v>125</v>
      </c>
      <c r="I11" s="144">
        <v>1.7248000000000001</v>
      </c>
      <c r="J11" s="145">
        <v>0.42299999999999999</v>
      </c>
      <c r="K11" s="145">
        <f>I11-(2*J11)</f>
        <v>0.87880000000000014</v>
      </c>
      <c r="L11" s="145">
        <f>I11+(2*J11)</f>
        <v>2.5708000000000002</v>
      </c>
      <c r="M11" s="145">
        <v>1.47</v>
      </c>
      <c r="N11" s="145">
        <v>1.18</v>
      </c>
      <c r="O11" s="83"/>
      <c r="P11" s="92"/>
      <c r="Q11" s="3"/>
    </row>
    <row r="12" spans="2:17">
      <c r="D12" s="6"/>
      <c r="E12" s="3"/>
      <c r="F12" s="71"/>
      <c r="G12" s="121"/>
      <c r="H12" s="121"/>
      <c r="I12" s="146">
        <f>AVERAGE(I5,I7:I11)</f>
        <v>1.1029166666666665</v>
      </c>
      <c r="J12" s="156"/>
      <c r="K12" s="157"/>
      <c r="L12" s="48"/>
      <c r="M12" s="158">
        <f>AVERAGE(M4:M7,M9,M11)</f>
        <v>1.0133333333333334</v>
      </c>
      <c r="N12" s="158">
        <f>AVERAGE(N4:N11)</f>
        <v>5.8887499999999999</v>
      </c>
      <c r="O12" s="66"/>
      <c r="P12" s="92"/>
      <c r="Q12" s="3"/>
    </row>
    <row r="13" spans="2:17">
      <c r="B13" s="32" t="s">
        <v>155</v>
      </c>
      <c r="C13" s="164">
        <v>0.25169999999999998</v>
      </c>
      <c r="D13" s="6"/>
      <c r="E13" s="3"/>
      <c r="F13" s="71"/>
      <c r="G13" s="121"/>
      <c r="H13" s="121"/>
      <c r="I13" s="132"/>
      <c r="J13" s="50"/>
      <c r="K13" s="69"/>
      <c r="L13" s="3"/>
      <c r="M13" s="3"/>
      <c r="N13" s="3"/>
      <c r="O13" s="3"/>
      <c r="P13" s="3"/>
      <c r="Q13" s="3"/>
    </row>
    <row r="14" spans="2:17">
      <c r="B14" s="32" t="s">
        <v>211</v>
      </c>
      <c r="C14" s="164">
        <v>0.22739999999999999</v>
      </c>
      <c r="D14" s="6"/>
      <c r="E14" s="50"/>
      <c r="F14" s="66"/>
      <c r="Q14" s="3"/>
    </row>
    <row r="15" spans="2:17">
      <c r="D15" s="6"/>
      <c r="E15" s="50"/>
      <c r="F15" s="83"/>
      <c r="G15" s="438" t="s">
        <v>141</v>
      </c>
      <c r="H15" s="438"/>
      <c r="I15" s="438"/>
      <c r="J15" s="438"/>
      <c r="K15" s="438" t="s">
        <v>129</v>
      </c>
      <c r="L15" s="438"/>
      <c r="M15" s="148"/>
      <c r="N15" s="148"/>
      <c r="O15" s="3"/>
      <c r="P15" s="3"/>
      <c r="Q15" s="3"/>
    </row>
    <row r="16" spans="2:17">
      <c r="B16" s="20" t="s">
        <v>147</v>
      </c>
      <c r="C16" s="177">
        <f>I12/(1+(M12*(1-C13)))</f>
        <v>0.62727116238014768</v>
      </c>
      <c r="D16" s="6"/>
      <c r="E16" s="50"/>
      <c r="F16" s="66"/>
      <c r="G16" s="52" t="s">
        <v>108</v>
      </c>
      <c r="H16" s="52" t="s">
        <v>110</v>
      </c>
      <c r="I16" s="139" t="s">
        <v>128</v>
      </c>
      <c r="J16" s="140" t="s">
        <v>127</v>
      </c>
      <c r="K16" s="136" t="s">
        <v>130</v>
      </c>
      <c r="L16" s="137" t="s">
        <v>131</v>
      </c>
      <c r="M16" s="81" t="s">
        <v>143</v>
      </c>
      <c r="N16" s="81" t="s">
        <v>146</v>
      </c>
      <c r="O16" s="125"/>
      <c r="P16" s="107"/>
      <c r="Q16" s="3"/>
    </row>
    <row r="17" spans="2:17">
      <c r="B17" s="20" t="s">
        <v>148</v>
      </c>
      <c r="C17" s="177">
        <f>I21/(1+(M21*(1-C13)))</f>
        <v>0.58563492455755195</v>
      </c>
      <c r="D17" s="26"/>
      <c r="E17" s="50"/>
      <c r="F17" s="66"/>
      <c r="G17" s="75" t="s">
        <v>132</v>
      </c>
      <c r="H17" s="75" t="s">
        <v>133</v>
      </c>
      <c r="I17" s="144">
        <v>0.44590000000000002</v>
      </c>
      <c r="J17" s="145">
        <v>0.186</v>
      </c>
      <c r="K17" s="151">
        <f>I17-(2*J17)</f>
        <v>7.3900000000000021E-2</v>
      </c>
      <c r="L17" s="151">
        <f>I17+(2*J17)</f>
        <v>0.81790000000000007</v>
      </c>
      <c r="M17" s="151">
        <v>0.05</v>
      </c>
      <c r="N17" s="151">
        <v>7.26</v>
      </c>
      <c r="O17" s="133"/>
      <c r="P17" s="87"/>
      <c r="Q17" s="3"/>
    </row>
    <row r="18" spans="2:17">
      <c r="B18" s="3"/>
      <c r="C18" s="3"/>
      <c r="D18" s="6"/>
      <c r="E18" s="50"/>
      <c r="F18" s="66"/>
      <c r="G18" s="75" t="s">
        <v>134</v>
      </c>
      <c r="H18" s="75" t="s">
        <v>135</v>
      </c>
      <c r="I18" s="144">
        <v>0.31340000000000001</v>
      </c>
      <c r="J18" s="145">
        <v>0.22700000000000001</v>
      </c>
      <c r="K18" s="151">
        <f>I18-(2*J18)</f>
        <v>-0.1406</v>
      </c>
      <c r="L18" s="151">
        <f>I18+(2*J18)</f>
        <v>0.76740000000000008</v>
      </c>
      <c r="M18" s="152">
        <v>17.3</v>
      </c>
      <c r="N18" s="151">
        <v>0.72</v>
      </c>
      <c r="O18" s="133" t="s">
        <v>145</v>
      </c>
      <c r="P18" s="87"/>
      <c r="Q18" s="3"/>
    </row>
    <row r="19" spans="2:17">
      <c r="B19" s="113" t="s">
        <v>160</v>
      </c>
      <c r="C19" s="175">
        <f>L27*(1+(1-C13)*WACC!F12)</f>
        <v>1.6297560013721477</v>
      </c>
      <c r="D19" s="6"/>
      <c r="E19" s="123"/>
      <c r="F19" s="125"/>
      <c r="G19" s="75" t="s">
        <v>136</v>
      </c>
      <c r="H19" s="75" t="s">
        <v>137</v>
      </c>
      <c r="I19" s="144">
        <v>1.4446000000000001</v>
      </c>
      <c r="J19" s="145">
        <v>0.47899999999999998</v>
      </c>
      <c r="K19" s="151">
        <f>I19-(2*J19)</f>
        <v>0.48660000000000014</v>
      </c>
      <c r="L19" s="151">
        <f>I19+(2*J19)</f>
        <v>2.4026000000000001</v>
      </c>
      <c r="M19" s="152">
        <v>9.58</v>
      </c>
      <c r="N19" s="151">
        <v>1.66</v>
      </c>
      <c r="O19" s="133" t="s">
        <v>145</v>
      </c>
      <c r="P19" s="87"/>
      <c r="Q19" s="3"/>
    </row>
    <row r="20" spans="2:17">
      <c r="C20" s="149"/>
      <c r="D20" s="6"/>
      <c r="E20" s="103"/>
      <c r="F20" s="126"/>
      <c r="G20" s="75" t="s">
        <v>138</v>
      </c>
      <c r="H20" s="75" t="s">
        <v>139</v>
      </c>
      <c r="I20" s="437" t="s">
        <v>126</v>
      </c>
      <c r="J20" s="437"/>
      <c r="K20" s="437"/>
      <c r="L20" s="437"/>
      <c r="M20" s="153">
        <v>0.63</v>
      </c>
      <c r="N20" s="154">
        <v>0.35</v>
      </c>
      <c r="O20" s="133"/>
      <c r="P20" s="87"/>
      <c r="Q20" s="3"/>
    </row>
    <row r="21" spans="2:17">
      <c r="B21" s="142" t="s">
        <v>67</v>
      </c>
      <c r="C21" s="149"/>
      <c r="D21" s="6"/>
      <c r="E21" s="50"/>
      <c r="F21" s="67"/>
      <c r="G21" s="121"/>
      <c r="H21" s="121"/>
      <c r="I21" s="146">
        <f>AVERAGE(I17:I19)</f>
        <v>0.73463333333333336</v>
      </c>
      <c r="J21" s="135"/>
      <c r="K21" s="135"/>
      <c r="L21" s="135"/>
      <c r="M21" s="155">
        <f>AVERAGE(M17,M20)</f>
        <v>0.34</v>
      </c>
      <c r="N21" s="155">
        <f>AVERAGE(N17:N20)</f>
        <v>2.4974999999999996</v>
      </c>
      <c r="O21" s="70"/>
      <c r="P21" s="87"/>
      <c r="Q21" s="3"/>
    </row>
    <row r="22" spans="2:17">
      <c r="B22" s="142" t="s">
        <v>142</v>
      </c>
      <c r="C22" s="48"/>
      <c r="D22" s="26"/>
      <c r="E22" s="50"/>
      <c r="F22" s="3"/>
      <c r="G22" s="121"/>
      <c r="H22" s="121"/>
      <c r="I22" s="132"/>
      <c r="J22" s="135"/>
      <c r="K22" s="106"/>
      <c r="L22" s="106"/>
      <c r="M22" s="106"/>
      <c r="N22" s="106"/>
      <c r="O22" s="70"/>
      <c r="P22" s="87"/>
      <c r="Q22" s="3"/>
    </row>
    <row r="23" spans="2:17">
      <c r="B23" s="149" t="s">
        <v>144</v>
      </c>
      <c r="C23" s="84"/>
      <c r="D23" s="6"/>
      <c r="E23" s="50"/>
      <c r="F23" s="3"/>
      <c r="O23" s="68"/>
      <c r="P23" s="3"/>
      <c r="Q23" s="3"/>
    </row>
    <row r="24" spans="2:17">
      <c r="B24" s="149" t="s">
        <v>152</v>
      </c>
      <c r="C24" s="3"/>
      <c r="D24" s="6"/>
      <c r="E24" s="6"/>
      <c r="F24" s="67"/>
      <c r="G24" s="76" t="s">
        <v>157</v>
      </c>
      <c r="H24" s="76" t="s">
        <v>7</v>
      </c>
      <c r="I24" s="159" t="s">
        <v>146</v>
      </c>
      <c r="J24" s="166" t="s">
        <v>159</v>
      </c>
      <c r="K24" s="166" t="s">
        <v>65</v>
      </c>
      <c r="L24" s="167" t="s">
        <v>158</v>
      </c>
      <c r="M24" s="168"/>
      <c r="N24" s="168"/>
      <c r="O24" s="83"/>
      <c r="P24" s="92"/>
      <c r="Q24" s="3"/>
    </row>
    <row r="25" spans="2:17">
      <c r="B25" s="48" t="s">
        <v>153</v>
      </c>
      <c r="C25" s="3"/>
      <c r="D25" s="6"/>
      <c r="E25" s="26"/>
      <c r="F25" s="49"/>
      <c r="G25" s="75" t="s">
        <v>106</v>
      </c>
      <c r="H25" s="169">
        <f>C9</f>
        <v>4004.2299999999996</v>
      </c>
      <c r="I25" s="170">
        <f>N12</f>
        <v>5.8887499999999999</v>
      </c>
      <c r="J25" s="171">
        <f>H25*I25</f>
        <v>23579.909412499997</v>
      </c>
      <c r="K25" s="172">
        <f>J25/J27</f>
        <v>0.93383054499400053</v>
      </c>
      <c r="L25" s="143">
        <f>C16</f>
        <v>0.62727116238014768</v>
      </c>
      <c r="M25" s="141"/>
      <c r="N25" s="141"/>
      <c r="O25" s="66"/>
      <c r="P25" s="92"/>
      <c r="Q25" s="3"/>
    </row>
    <row r="26" spans="2:17">
      <c r="B26" s="84" t="s">
        <v>156</v>
      </c>
      <c r="C26" s="3"/>
      <c r="D26" s="26"/>
      <c r="E26" s="25"/>
      <c r="F26" s="129"/>
      <c r="G26" s="75" t="s">
        <v>108</v>
      </c>
      <c r="H26" s="169">
        <f>C10</f>
        <v>669</v>
      </c>
      <c r="I26" s="144">
        <f>N21</f>
        <v>2.4974999999999996</v>
      </c>
      <c r="J26" s="171">
        <f>H26*I26</f>
        <v>1670.8274999999996</v>
      </c>
      <c r="K26" s="173">
        <f>J26/J27</f>
        <v>6.6169455005999508E-2</v>
      </c>
      <c r="L26" s="174">
        <f>C17</f>
        <v>0.58563492455755195</v>
      </c>
      <c r="M26" s="20"/>
      <c r="N26" s="20"/>
      <c r="O26" s="3"/>
      <c r="P26" s="3"/>
      <c r="Q26" s="3"/>
    </row>
    <row r="27" spans="2:17">
      <c r="C27" s="3"/>
      <c r="D27" s="9" t="s">
        <v>98</v>
      </c>
      <c r="E27" s="25"/>
      <c r="F27" s="129"/>
      <c r="G27" s="20"/>
      <c r="H27" s="176">
        <f>SUM(H25:H26)</f>
        <v>4673.2299999999996</v>
      </c>
      <c r="I27" s="138"/>
      <c r="J27" s="176">
        <f>SUM(J25:J26)</f>
        <v>25250.736912499997</v>
      </c>
      <c r="K27" s="163">
        <f>SUM(K25:K26)</f>
        <v>1</v>
      </c>
      <c r="L27" s="175">
        <f>(K25*L25)+(K26*L26)</f>
        <v>0.62451611521492634</v>
      </c>
      <c r="M27" s="20"/>
      <c r="N27" s="20"/>
      <c r="O27" s="3"/>
      <c r="P27" s="3"/>
      <c r="Q27" s="3"/>
    </row>
    <row r="28" spans="2:17">
      <c r="C28" s="3"/>
      <c r="D28" s="3"/>
      <c r="E28" s="3"/>
      <c r="F28" s="67"/>
      <c r="G28" s="3"/>
      <c r="H28" s="3"/>
      <c r="I28" s="67"/>
      <c r="J28" s="3"/>
      <c r="K28" s="3"/>
      <c r="L28" s="3"/>
      <c r="M28" s="3"/>
      <c r="N28" s="3"/>
      <c r="O28" s="3"/>
      <c r="P28" s="3"/>
      <c r="Q28" s="3"/>
    </row>
    <row r="29" spans="2:17">
      <c r="B29" s="3"/>
      <c r="C29" s="3"/>
      <c r="D29" s="3"/>
      <c r="E29" s="3"/>
      <c r="F29" s="67"/>
    </row>
    <row r="30" spans="2:17">
      <c r="D30" s="3"/>
      <c r="E30" s="3"/>
      <c r="F30" s="67"/>
    </row>
    <row r="31" spans="2:17">
      <c r="D31" s="3"/>
      <c r="E31" s="3"/>
      <c r="F31" s="67"/>
    </row>
    <row r="32" spans="2:17">
      <c r="D32" s="3"/>
      <c r="E32" s="3"/>
      <c r="F32" s="67"/>
    </row>
    <row r="33" spans="4:6">
      <c r="D33" s="3"/>
      <c r="E33" s="3"/>
      <c r="F33" s="67"/>
    </row>
  </sheetData>
  <mergeCells count="7">
    <mergeCell ref="I20:L20"/>
    <mergeCell ref="K2:L2"/>
    <mergeCell ref="K15:L15"/>
    <mergeCell ref="G2:J2"/>
    <mergeCell ref="G15:J15"/>
    <mergeCell ref="I6:L6"/>
    <mergeCell ref="I4:L4"/>
  </mergeCells>
  <hyperlinks>
    <hyperlink ref="B26" r:id="rId1"/>
  </hyperlink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2"/>
  <sheetViews>
    <sheetView zoomScaleNormal="100" workbookViewId="0"/>
  </sheetViews>
  <sheetFormatPr defaultRowHeight="12"/>
  <cols>
    <col min="1" max="1" width="2" style="2" customWidth="1"/>
    <col min="2" max="2" width="27.28515625" style="2" customWidth="1"/>
    <col min="3" max="3" width="9.140625" style="2"/>
    <col min="4" max="4" width="10.28515625" style="2" customWidth="1"/>
    <col min="5" max="5" width="11.5703125" style="2" customWidth="1"/>
    <col min="6" max="6" width="11.5703125" style="2" bestFit="1" customWidth="1"/>
    <col min="7" max="16384" width="9.140625" style="2"/>
  </cols>
  <sheetData>
    <row r="1" spans="2:13" ht="15.75">
      <c r="B1" s="18" t="s">
        <v>175</v>
      </c>
    </row>
    <row r="3" spans="2:13" ht="15.75">
      <c r="B3" s="179" t="s">
        <v>17</v>
      </c>
      <c r="C3" s="32"/>
      <c r="D3" s="32"/>
      <c r="E3" s="19"/>
      <c r="F3" s="6"/>
      <c r="J3" s="10"/>
      <c r="K3" s="10"/>
      <c r="L3" s="10"/>
      <c r="M3" s="10"/>
    </row>
    <row r="4" spans="2:13">
      <c r="B4" s="32"/>
      <c r="C4" s="32"/>
      <c r="D4" s="32"/>
      <c r="E4" s="19"/>
      <c r="F4" s="26"/>
      <c r="G4" s="3"/>
    </row>
    <row r="5" spans="2:13">
      <c r="B5" s="113" t="s">
        <v>161</v>
      </c>
      <c r="C5" s="95">
        <f>'Risk Free Rate'!C4</f>
        <v>5.722E-2</v>
      </c>
      <c r="D5" s="19"/>
      <c r="E5" s="19"/>
      <c r="F5" s="6"/>
    </row>
    <row r="6" spans="2:13">
      <c r="B6" s="113" t="s">
        <v>20</v>
      </c>
      <c r="C6" s="95">
        <f>'Equity Risk Premium'!F28</f>
        <v>3.6515277892807708E-2</v>
      </c>
      <c r="D6" s="45"/>
      <c r="E6" s="19"/>
      <c r="F6" s="6"/>
    </row>
    <row r="7" spans="2:13">
      <c r="B7" s="113" t="s">
        <v>162</v>
      </c>
      <c r="C7" s="178">
        <f>Beta!C19</f>
        <v>1.6297560013721477</v>
      </c>
      <c r="D7" s="19"/>
      <c r="E7" s="45"/>
      <c r="F7" s="6"/>
    </row>
    <row r="8" spans="2:13">
      <c r="B8" s="20"/>
      <c r="C8" s="20"/>
      <c r="D8" s="19"/>
      <c r="E8" s="19"/>
      <c r="F8" s="6"/>
    </row>
    <row r="9" spans="2:13">
      <c r="B9" s="113" t="s">
        <v>17</v>
      </c>
      <c r="C9" s="57">
        <f>C5+C7*C6</f>
        <v>0.11673099328757508</v>
      </c>
      <c r="D9" s="19"/>
      <c r="E9" s="19"/>
      <c r="F9" s="6"/>
    </row>
    <row r="10" spans="2:13">
      <c r="B10" s="20"/>
      <c r="C10" s="20"/>
      <c r="D10" s="19"/>
      <c r="E10" s="19"/>
      <c r="F10" s="6"/>
    </row>
    <row r="11" spans="2:13">
      <c r="B11" s="180" t="s">
        <v>163</v>
      </c>
      <c r="C11" s="20"/>
      <c r="D11" s="19"/>
      <c r="E11" s="45"/>
      <c r="F11" s="6"/>
    </row>
    <row r="12" spans="2:13">
      <c r="F12" s="26"/>
    </row>
    <row r="13" spans="2:13" ht="15.75">
      <c r="B13" s="179" t="s">
        <v>176</v>
      </c>
      <c r="C13" s="20"/>
      <c r="D13" s="19"/>
      <c r="E13" s="19"/>
      <c r="F13" s="6"/>
    </row>
    <row r="14" spans="2:13">
      <c r="B14" s="20"/>
      <c r="C14" s="20"/>
      <c r="D14" s="19"/>
      <c r="E14" s="19"/>
      <c r="F14" s="6"/>
    </row>
    <row r="15" spans="2:13">
      <c r="B15" s="113" t="s">
        <v>165</v>
      </c>
      <c r="C15" s="97">
        <v>3.2140000000000002E-2</v>
      </c>
      <c r="D15" s="19"/>
      <c r="E15" s="19"/>
      <c r="F15" s="6"/>
    </row>
    <row r="16" spans="2:13">
      <c r="B16" s="113" t="s">
        <v>164</v>
      </c>
      <c r="C16" s="178">
        <f>17.31/10.75</f>
        <v>1.6102325581395347</v>
      </c>
      <c r="D16" s="19"/>
      <c r="E16" s="19"/>
      <c r="F16" s="26"/>
    </row>
    <row r="17" spans="2:12">
      <c r="B17" s="113" t="s">
        <v>23</v>
      </c>
      <c r="C17" s="95">
        <f>'Risk Free Rate'!C8</f>
        <v>1.8700000000000001E-2</v>
      </c>
      <c r="D17" s="45"/>
      <c r="E17" s="45"/>
      <c r="F17" s="6"/>
    </row>
    <row r="18" spans="2:12">
      <c r="B18" s="53" t="s">
        <v>166</v>
      </c>
      <c r="C18" s="95">
        <v>2.1499999999999998E-2</v>
      </c>
      <c r="D18" s="19"/>
      <c r="E18" s="19"/>
      <c r="F18" s="6"/>
    </row>
    <row r="19" spans="2:12">
      <c r="B19" s="32"/>
      <c r="C19" s="20"/>
      <c r="D19" s="19"/>
      <c r="E19" s="19"/>
      <c r="F19" s="6"/>
    </row>
    <row r="20" spans="2:12">
      <c r="B20" s="113" t="s">
        <v>18</v>
      </c>
      <c r="C20" s="57">
        <f>C15+(C16*C17)+C18</f>
        <v>8.3751348837209305E-2</v>
      </c>
      <c r="D20" s="19"/>
      <c r="E20" s="19"/>
      <c r="F20" s="6"/>
    </row>
    <row r="21" spans="2:12">
      <c r="B21" s="113"/>
      <c r="C21" s="113"/>
      <c r="D21" s="45"/>
      <c r="E21" s="45"/>
      <c r="F21" s="26"/>
    </row>
    <row r="22" spans="2:12">
      <c r="B22" s="180" t="s">
        <v>171</v>
      </c>
      <c r="C22" s="20"/>
      <c r="D22" s="20"/>
      <c r="E22" s="20"/>
      <c r="F22" s="6"/>
      <c r="G22" s="439" t="s">
        <v>170</v>
      </c>
      <c r="H22" s="439"/>
      <c r="I22" s="439"/>
      <c r="J22" s="439"/>
      <c r="K22" s="439"/>
      <c r="L22" s="439"/>
    </row>
    <row r="23" spans="2:12">
      <c r="F23" s="6"/>
      <c r="G23" s="32"/>
      <c r="H23" s="182">
        <v>2018</v>
      </c>
      <c r="I23" s="182">
        <v>2019</v>
      </c>
      <c r="J23" s="182">
        <v>2020</v>
      </c>
      <c r="K23" s="182">
        <v>2021</v>
      </c>
      <c r="L23" s="182">
        <v>2022</v>
      </c>
    </row>
    <row r="24" spans="2:12">
      <c r="B24" s="142" t="s">
        <v>67</v>
      </c>
      <c r="F24" s="6"/>
      <c r="G24" s="181" t="s">
        <v>4</v>
      </c>
      <c r="H24" s="54">
        <v>169.3</v>
      </c>
      <c r="I24" s="54">
        <v>180.12</v>
      </c>
      <c r="J24" s="54">
        <v>195.42</v>
      </c>
      <c r="K24" s="317">
        <v>-132.44999999999999</v>
      </c>
      <c r="L24" s="317">
        <v>133.52000000000001</v>
      </c>
    </row>
    <row r="25" spans="2:12">
      <c r="B25" s="142" t="s">
        <v>172</v>
      </c>
      <c r="F25" s="26"/>
      <c r="G25" s="181" t="s">
        <v>167</v>
      </c>
      <c r="H25" s="54">
        <v>30.56</v>
      </c>
      <c r="I25" s="54">
        <v>36.75</v>
      </c>
      <c r="J25" s="54">
        <v>245.8</v>
      </c>
      <c r="K25" s="317">
        <v>248.65</v>
      </c>
      <c r="L25" s="317">
        <v>304.74</v>
      </c>
    </row>
    <row r="26" spans="2:12">
      <c r="B26" s="183" t="s">
        <v>173</v>
      </c>
      <c r="F26" s="3"/>
      <c r="G26" s="181" t="s">
        <v>3</v>
      </c>
      <c r="H26" s="54">
        <f>H24+H25</f>
        <v>199.86</v>
      </c>
      <c r="I26" s="54">
        <f>I24+I25</f>
        <v>216.87</v>
      </c>
      <c r="J26" s="54">
        <f t="shared" ref="J26:K26" si="0">J24+J25</f>
        <v>441.22</v>
      </c>
      <c r="K26" s="54">
        <f t="shared" si="0"/>
        <v>116.20000000000002</v>
      </c>
      <c r="L26" s="54">
        <f>L24+L25</f>
        <v>438.26</v>
      </c>
    </row>
    <row r="27" spans="2:12">
      <c r="B27" s="149" t="s">
        <v>174</v>
      </c>
      <c r="C27" s="3"/>
      <c r="D27" s="3"/>
      <c r="E27" s="3"/>
      <c r="F27" s="3"/>
      <c r="G27" s="181" t="s">
        <v>168</v>
      </c>
      <c r="H27" s="54">
        <f t="shared" ref="H27:I27" si="1">H26/H25</f>
        <v>6.5399214659685869</v>
      </c>
      <c r="I27" s="54">
        <f t="shared" si="1"/>
        <v>5.9012244897959185</v>
      </c>
      <c r="J27" s="54">
        <f>J26/J25</f>
        <v>1.7950366151342556</v>
      </c>
      <c r="K27" s="54">
        <f>K26/K25</f>
        <v>0.46732354715463509</v>
      </c>
      <c r="L27" s="54">
        <f>L26/L25</f>
        <v>1.4381439915993961</v>
      </c>
    </row>
    <row r="28" spans="2:12">
      <c r="B28" s="48"/>
      <c r="C28" s="3"/>
      <c r="D28" s="3"/>
      <c r="E28" s="3"/>
      <c r="F28" s="3"/>
      <c r="G28" s="440" t="s">
        <v>169</v>
      </c>
      <c r="H28" s="440"/>
      <c r="I28" s="440"/>
      <c r="J28" s="440"/>
      <c r="K28" s="440"/>
      <c r="L28" s="82">
        <f>AVERAGE(H27:$L$27)</f>
        <v>3.228330021930558</v>
      </c>
    </row>
    <row r="29" spans="2:12">
      <c r="B29" s="84"/>
      <c r="C29" s="3"/>
      <c r="D29" s="3"/>
      <c r="E29" s="3"/>
      <c r="F29" s="3"/>
    </row>
    <row r="30" spans="2:12">
      <c r="B30" s="3"/>
      <c r="C30" s="3"/>
      <c r="D30" s="3"/>
      <c r="E30" s="3"/>
      <c r="F30" s="3"/>
    </row>
    <row r="31" spans="2:12">
      <c r="B31" s="3"/>
      <c r="C31" s="3"/>
      <c r="D31" s="3"/>
      <c r="E31" s="3"/>
      <c r="F31" s="3"/>
    </row>
    <row r="32" spans="2:12">
      <c r="B32" s="3"/>
      <c r="C32" s="3"/>
      <c r="D32" s="3"/>
      <c r="E32" s="3"/>
      <c r="F32" s="3"/>
    </row>
  </sheetData>
  <mergeCells count="2">
    <mergeCell ref="G22:L22"/>
    <mergeCell ref="G28:K28"/>
  </mergeCells>
  <hyperlinks>
    <hyperlink ref="B26" r:id="rId1"/>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M33"/>
  <sheetViews>
    <sheetView zoomScaleNormal="100" workbookViewId="0"/>
  </sheetViews>
  <sheetFormatPr defaultRowHeight="12"/>
  <cols>
    <col min="1" max="1" width="2" style="2" customWidth="1"/>
    <col min="2" max="2" width="28.7109375" style="2" customWidth="1"/>
    <col min="3" max="3" width="11.140625" style="2" bestFit="1" customWidth="1"/>
    <col min="4" max="4" width="3.7109375" style="2" customWidth="1"/>
    <col min="5" max="5" width="30.28515625" style="2" customWidth="1"/>
    <col min="6" max="6" width="11.5703125" style="2" bestFit="1" customWidth="1"/>
    <col min="7" max="7" width="4" style="2" customWidth="1"/>
    <col min="8" max="16384" width="9.140625" style="2"/>
  </cols>
  <sheetData>
    <row r="1" spans="2:13" ht="15.75">
      <c r="B1" s="18" t="s">
        <v>8</v>
      </c>
    </row>
    <row r="3" spans="2:13" ht="15.75">
      <c r="B3" s="179" t="s">
        <v>16</v>
      </c>
      <c r="C3" s="190"/>
      <c r="E3" s="179" t="s">
        <v>178</v>
      </c>
      <c r="F3" s="190" t="s">
        <v>180</v>
      </c>
      <c r="J3" s="10"/>
      <c r="K3" s="10"/>
      <c r="L3" s="10"/>
      <c r="M3" s="10"/>
    </row>
    <row r="4" spans="2:13" ht="8.25" customHeight="1">
      <c r="B4" s="32"/>
      <c r="C4" s="32"/>
      <c r="E4" s="32"/>
      <c r="F4" s="32"/>
      <c r="G4" s="3"/>
    </row>
    <row r="5" spans="2:13">
      <c r="B5" s="53" t="str">
        <f>'Cost of Equity &amp; Debt'!B9</f>
        <v>Cost of Equity</v>
      </c>
      <c r="C5" s="164">
        <f>'Cost of Equity &amp; Debt'!C9</f>
        <v>0.11673099328757508</v>
      </c>
      <c r="D5" s="6"/>
      <c r="E5" s="113" t="s">
        <v>179</v>
      </c>
      <c r="F5" s="188">
        <v>497.38</v>
      </c>
    </row>
    <row r="6" spans="2:13">
      <c r="B6" s="53" t="str">
        <f>E25</f>
        <v>Market Value of Equity</v>
      </c>
      <c r="C6" s="193">
        <f>F29</f>
        <v>37107.089999999997</v>
      </c>
      <c r="D6" s="26"/>
      <c r="E6" s="113" t="s">
        <v>191</v>
      </c>
      <c r="F6" s="188">
        <v>4126.01</v>
      </c>
    </row>
    <row r="7" spans="2:13">
      <c r="B7" s="53"/>
      <c r="C7" s="53"/>
      <c r="D7" s="6"/>
      <c r="E7" s="113" t="s">
        <v>192</v>
      </c>
      <c r="F7" s="188">
        <v>101.97</v>
      </c>
    </row>
    <row r="8" spans="2:13">
      <c r="B8" s="53" t="str">
        <f>'Cost of Equity &amp; Debt'!B20</f>
        <v>Cost of Debt</v>
      </c>
      <c r="C8" s="164">
        <f>'Cost of Equity &amp; Debt'!C20</f>
        <v>8.3751348837209305E-2</v>
      </c>
      <c r="D8" s="6"/>
      <c r="E8" s="113" t="s">
        <v>183</v>
      </c>
      <c r="F8" s="188">
        <v>359.72</v>
      </c>
    </row>
    <row r="9" spans="2:13">
      <c r="B9" s="53" t="str">
        <f>E15</f>
        <v>Market Value of Debt</v>
      </c>
      <c r="C9" s="193">
        <f>F22</f>
        <v>4606.1386763516039</v>
      </c>
      <c r="D9" s="6"/>
      <c r="E9" s="115" t="s">
        <v>178</v>
      </c>
      <c r="F9" s="189">
        <f>SUM($F$5:$F$8)</f>
        <v>5085.0800000000008</v>
      </c>
    </row>
    <row r="10" spans="2:13">
      <c r="B10" s="53"/>
      <c r="C10" s="53"/>
      <c r="D10" s="6"/>
      <c r="E10" s="113" t="s">
        <v>6</v>
      </c>
      <c r="F10" s="188">
        <f>35.55+2328.45</f>
        <v>2364</v>
      </c>
    </row>
    <row r="11" spans="2:13">
      <c r="B11" s="53" t="str">
        <f>Beta!B13</f>
        <v>Marginal Corporate Tax Rate (%)</v>
      </c>
      <c r="C11" s="164">
        <f>Beta!C13</f>
        <v>0.25169999999999998</v>
      </c>
      <c r="D11" s="6"/>
      <c r="E11" s="32"/>
      <c r="F11" s="32"/>
    </row>
    <row r="12" spans="2:13">
      <c r="B12" s="32"/>
      <c r="C12" s="32"/>
      <c r="D12" s="6"/>
      <c r="E12" s="113" t="s">
        <v>181</v>
      </c>
      <c r="F12" s="187">
        <f>F9/F10</f>
        <v>2.151049069373943</v>
      </c>
    </row>
    <row r="13" spans="2:13">
      <c r="F13" s="186"/>
    </row>
    <row r="14" spans="2:13" ht="12.75" customHeight="1">
      <c r="B14" s="53" t="s">
        <v>8</v>
      </c>
      <c r="C14" s="195">
        <f>C5*(C6/(C6+C9))+C8*(1-C11)*(C9/(C6+C9))</f>
        <v>0.11076149116410908</v>
      </c>
      <c r="D14" s="6"/>
    </row>
    <row r="15" spans="2:13" ht="15.75">
      <c r="D15" s="6"/>
      <c r="E15" s="179" t="s">
        <v>177</v>
      </c>
      <c r="F15" s="190" t="s">
        <v>180</v>
      </c>
    </row>
    <row r="16" spans="2:13" ht="7.5" customHeight="1">
      <c r="D16" s="6"/>
      <c r="E16" s="32"/>
      <c r="F16" s="190"/>
    </row>
    <row r="17" spans="2:12">
      <c r="B17" s="142" t="s">
        <v>67</v>
      </c>
      <c r="D17" s="6"/>
      <c r="E17" s="113" t="s">
        <v>178</v>
      </c>
      <c r="F17" s="188">
        <f>F9</f>
        <v>5085.0800000000008</v>
      </c>
    </row>
    <row r="18" spans="2:12">
      <c r="B18" s="142" t="s">
        <v>190</v>
      </c>
      <c r="D18" s="26"/>
      <c r="E18" s="113" t="s">
        <v>182</v>
      </c>
      <c r="F18" s="188">
        <v>304.74</v>
      </c>
    </row>
    <row r="19" spans="2:12">
      <c r="D19" s="6"/>
      <c r="E19" s="113" t="s">
        <v>18</v>
      </c>
      <c r="F19" s="95">
        <f>'Cost of Equity &amp; Debt'!C20</f>
        <v>8.3751348837209305E-2</v>
      </c>
    </row>
    <row r="20" spans="2:12">
      <c r="D20" s="6"/>
      <c r="E20" s="53" t="s">
        <v>185</v>
      </c>
      <c r="F20" s="191">
        <v>5</v>
      </c>
    </row>
    <row r="21" spans="2:12">
      <c r="D21" s="6"/>
      <c r="E21" s="32"/>
      <c r="F21" s="20"/>
    </row>
    <row r="22" spans="2:12">
      <c r="D22" s="26"/>
      <c r="E22" s="113" t="s">
        <v>184</v>
      </c>
      <c r="F22" s="192">
        <f>F18*((1-(1+F19)^(-F20))/F19)+F17/(1+F19)^5</f>
        <v>4606.1386763516039</v>
      </c>
    </row>
    <row r="23" spans="2:12">
      <c r="D23" s="3"/>
      <c r="E23" s="25"/>
      <c r="F23" s="25"/>
      <c r="G23" s="184"/>
      <c r="H23" s="184"/>
      <c r="J23" s="184"/>
      <c r="K23" s="184"/>
      <c r="L23" s="184"/>
    </row>
    <row r="24" spans="2:12">
      <c r="G24" s="3"/>
      <c r="H24" s="68"/>
      <c r="J24" s="68"/>
      <c r="K24" s="68"/>
      <c r="L24" s="68"/>
    </row>
    <row r="25" spans="2:12" ht="15.75">
      <c r="E25" s="179" t="s">
        <v>186</v>
      </c>
      <c r="F25" s="190" t="s">
        <v>180</v>
      </c>
      <c r="G25" s="55"/>
      <c r="H25" s="48"/>
      <c r="I25" s="48"/>
      <c r="J25" s="48"/>
      <c r="K25" s="48"/>
      <c r="L25" s="48"/>
    </row>
    <row r="26" spans="2:12" ht="7.5" customHeight="1">
      <c r="B26" s="183"/>
      <c r="E26" s="32"/>
      <c r="F26" s="32"/>
      <c r="G26" s="55"/>
      <c r="H26" s="48"/>
      <c r="I26" s="48"/>
      <c r="J26" s="48"/>
      <c r="K26" s="48"/>
      <c r="L26" s="48"/>
    </row>
    <row r="27" spans="2:12">
      <c r="E27" s="53" t="s">
        <v>187</v>
      </c>
      <c r="F27" s="188">
        <v>1043.8</v>
      </c>
      <c r="G27" s="55"/>
      <c r="H27" s="48"/>
      <c r="I27" s="48"/>
      <c r="J27" s="48"/>
      <c r="K27" s="48"/>
      <c r="L27" s="48"/>
    </row>
    <row r="28" spans="2:12">
      <c r="D28" s="3"/>
      <c r="E28" s="53" t="s">
        <v>188</v>
      </c>
      <c r="F28" s="191">
        <v>35.549999999999997</v>
      </c>
      <c r="G28" s="55"/>
      <c r="H28" s="48"/>
      <c r="I28" s="48"/>
      <c r="J28" s="48"/>
      <c r="K28" s="48"/>
      <c r="L28" s="48"/>
    </row>
    <row r="29" spans="2:12">
      <c r="D29" s="3"/>
      <c r="E29" s="53" t="s">
        <v>189</v>
      </c>
      <c r="F29" s="194">
        <f>F27*F28</f>
        <v>37107.089999999997</v>
      </c>
      <c r="G29" s="185"/>
      <c r="H29" s="185"/>
      <c r="I29" s="185"/>
      <c r="J29" s="185"/>
      <c r="K29" s="185"/>
      <c r="L29" s="25"/>
    </row>
    <row r="30" spans="2:12">
      <c r="B30" s="84"/>
      <c r="C30" s="3"/>
      <c r="D30" s="3"/>
      <c r="E30" s="3"/>
      <c r="F30" s="3"/>
    </row>
    <row r="31" spans="2:12">
      <c r="B31" s="3"/>
      <c r="C31" s="3"/>
      <c r="D31" s="3"/>
      <c r="E31" s="3"/>
      <c r="F31" s="3"/>
    </row>
    <row r="32" spans="2:12">
      <c r="B32" s="3"/>
      <c r="C32" s="3"/>
      <c r="D32" s="3"/>
      <c r="E32" s="3"/>
      <c r="F32" s="3"/>
    </row>
    <row r="33" spans="2:6">
      <c r="B33" s="3"/>
      <c r="C33" s="3"/>
      <c r="D33" s="3"/>
      <c r="E33" s="3"/>
      <c r="F33" s="3"/>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B4"/>
  <sheetViews>
    <sheetView workbookViewId="0"/>
  </sheetViews>
  <sheetFormatPr defaultRowHeight="12"/>
  <cols>
    <col min="1" max="1" width="2" style="1" customWidth="1"/>
    <col min="2" max="2" width="36" style="1" customWidth="1"/>
    <col min="3" max="16384" width="9.140625" style="1"/>
  </cols>
  <sheetData>
    <row r="1" spans="2:2" ht="41.25">
      <c r="B1" s="38" t="s">
        <v>193</v>
      </c>
    </row>
    <row r="3" spans="2:2">
      <c r="B3" s="204" t="s">
        <v>236</v>
      </c>
    </row>
    <row r="4" spans="2:2">
      <c r="B4" s="204" t="s">
        <v>235</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8" customWidth="1"/>
    <col min="2" max="2" width="36" style="198" customWidth="1"/>
    <col min="3" max="3" width="11.42578125" style="198" customWidth="1"/>
    <col min="4" max="4" width="4" style="198" customWidth="1"/>
    <col min="5" max="5" width="9.28515625" style="198" customWidth="1"/>
    <col min="6" max="6" width="9.85546875" style="198" customWidth="1"/>
    <col min="7" max="7" width="10.140625" style="198" bestFit="1" customWidth="1" collapsed="1"/>
    <col min="8" max="11" width="9" style="198" customWidth="1"/>
    <col min="12" max="12" width="9.285156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206</v>
      </c>
      <c r="C1" s="196"/>
      <c r="D1" s="196"/>
      <c r="E1" s="196"/>
      <c r="F1" s="196"/>
      <c r="G1" s="196"/>
      <c r="H1" s="196"/>
      <c r="I1" s="196"/>
      <c r="J1" s="196"/>
      <c r="K1" s="196"/>
      <c r="L1" s="196"/>
    </row>
    <row r="2" spans="1:32" ht="12.75" customHeight="1"/>
    <row r="3" spans="1:32" s="200" customFormat="1" ht="14.25" customHeight="1">
      <c r="D3" s="199"/>
      <c r="E3" s="199"/>
      <c r="H3" s="199"/>
      <c r="I3" s="199"/>
      <c r="J3" s="199"/>
      <c r="K3" s="199"/>
      <c r="L3" s="199"/>
      <c r="M3" s="199"/>
      <c r="N3" s="199"/>
      <c r="O3" s="199"/>
      <c r="P3" s="199"/>
      <c r="Q3" s="199"/>
      <c r="R3" s="199"/>
      <c r="S3" s="199"/>
      <c r="T3" s="199"/>
      <c r="U3" s="199"/>
      <c r="V3" s="199"/>
      <c r="W3" s="199"/>
      <c r="X3" s="199"/>
      <c r="Y3" s="199"/>
      <c r="Z3" s="199"/>
      <c r="AA3" s="199"/>
    </row>
    <row r="4" spans="1:32" ht="15">
      <c r="B4" s="223" t="s">
        <v>207</v>
      </c>
      <c r="C4" s="211"/>
    </row>
    <row r="5" spans="1:32">
      <c r="A5" s="200"/>
      <c r="B5" s="211"/>
      <c r="C5" s="212" t="s">
        <v>180</v>
      </c>
    </row>
    <row r="6" spans="1:32">
      <c r="B6" s="213" t="s">
        <v>196</v>
      </c>
      <c r="C6" s="214">
        <v>4673.2299999999996</v>
      </c>
      <c r="L6" s="202"/>
      <c r="N6" s="202"/>
      <c r="O6" s="202"/>
      <c r="Q6" s="202"/>
      <c r="R6" s="202"/>
      <c r="S6" s="202"/>
      <c r="T6" s="202"/>
      <c r="U6" s="202"/>
      <c r="V6" s="202"/>
      <c r="AA6" s="202"/>
    </row>
    <row r="7" spans="1:32">
      <c r="A7" s="205" t="s">
        <v>98</v>
      </c>
      <c r="B7" s="215" t="s">
        <v>197</v>
      </c>
      <c r="C7" s="216">
        <v>-2880.49</v>
      </c>
      <c r="H7" s="203"/>
      <c r="I7" s="203"/>
      <c r="J7" s="203"/>
      <c r="K7" s="203"/>
      <c r="L7" s="203"/>
      <c r="M7" s="203"/>
      <c r="N7" s="203"/>
      <c r="O7" s="267"/>
      <c r="P7" s="203"/>
      <c r="Q7" s="203"/>
      <c r="R7" s="203"/>
      <c r="S7" s="203"/>
      <c r="T7" s="203"/>
      <c r="U7" s="203"/>
      <c r="V7" s="203"/>
      <c r="W7" s="203"/>
      <c r="X7" s="203"/>
      <c r="Y7" s="203"/>
      <c r="Z7" s="203"/>
      <c r="AA7" s="203"/>
      <c r="AB7" s="203"/>
      <c r="AC7" s="203"/>
      <c r="AD7" s="203"/>
      <c r="AE7" s="203"/>
      <c r="AF7" s="203"/>
    </row>
    <row r="8" spans="1:32">
      <c r="A8" s="205" t="s">
        <v>98</v>
      </c>
      <c r="B8" s="215" t="s">
        <v>198</v>
      </c>
      <c r="C8" s="216">
        <v>-1043.6600000000001</v>
      </c>
      <c r="D8" s="206"/>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row>
    <row r="9" spans="1:32">
      <c r="A9" s="205" t="s">
        <v>98</v>
      </c>
      <c r="B9" s="215" t="s">
        <v>2</v>
      </c>
      <c r="C9" s="216">
        <f>-310.82-0.73</f>
        <v>-311.55</v>
      </c>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row>
    <row r="10" spans="1:32">
      <c r="A10" s="205" t="s">
        <v>98</v>
      </c>
      <c r="B10" s="215" t="s">
        <v>210</v>
      </c>
      <c r="C10" s="216">
        <v>-27.44</v>
      </c>
      <c r="H10" s="203"/>
      <c r="I10" s="203"/>
      <c r="J10" s="203"/>
      <c r="K10" s="203"/>
      <c r="L10" s="203"/>
      <c r="M10" s="203"/>
      <c r="N10" s="235"/>
      <c r="O10" s="203"/>
      <c r="P10" s="203"/>
      <c r="Q10" s="203"/>
      <c r="R10" s="203"/>
      <c r="S10" s="203"/>
      <c r="T10" s="203"/>
      <c r="U10" s="203"/>
      <c r="V10" s="203"/>
      <c r="W10" s="203"/>
      <c r="X10" s="203"/>
      <c r="Y10" s="203"/>
      <c r="Z10" s="203"/>
      <c r="AA10" s="203"/>
      <c r="AB10" s="203"/>
      <c r="AC10" s="203"/>
      <c r="AD10" s="203"/>
      <c r="AE10" s="203"/>
      <c r="AF10" s="203"/>
    </row>
    <row r="11" spans="1:32">
      <c r="A11" s="201"/>
      <c r="B11" s="217" t="s">
        <v>3</v>
      </c>
      <c r="C11" s="218">
        <f>SUM(C6:C10)</f>
        <v>410.08999999999969</v>
      </c>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row>
    <row r="12" spans="1:32">
      <c r="A12" s="205" t="s">
        <v>199</v>
      </c>
      <c r="B12" s="215" t="s">
        <v>194</v>
      </c>
      <c r="C12" s="216">
        <v>359.72</v>
      </c>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row>
    <row r="13" spans="1:32">
      <c r="B13" s="217" t="s">
        <v>200</v>
      </c>
      <c r="C13" s="218">
        <f>C11+C12</f>
        <v>769.80999999999972</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c r="A14" s="205" t="s">
        <v>98</v>
      </c>
      <c r="B14" s="215" t="str">
        <f>B24</f>
        <v>Depreciation of OL</v>
      </c>
      <c r="C14" s="216">
        <f>C24</f>
        <v>41.77442649573139</v>
      </c>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c r="B15" s="219" t="s">
        <v>202</v>
      </c>
      <c r="C15" s="220">
        <f>C13-C14</f>
        <v>728.03557350426831</v>
      </c>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c r="D16" s="203"/>
      <c r="E16" s="203"/>
      <c r="F16" s="203"/>
      <c r="G16" s="203"/>
      <c r="H16" s="203"/>
      <c r="I16" s="203"/>
      <c r="O16" s="203"/>
      <c r="P16" s="203"/>
      <c r="Q16" s="203"/>
      <c r="R16" s="203"/>
      <c r="S16" s="203"/>
      <c r="T16" s="203"/>
      <c r="U16" s="203"/>
      <c r="V16" s="203"/>
      <c r="W16" s="203"/>
      <c r="X16" s="203"/>
      <c r="Y16" s="203"/>
      <c r="Z16" s="203"/>
      <c r="AA16" s="203"/>
      <c r="AB16" s="203"/>
      <c r="AC16" s="203"/>
      <c r="AD16" s="203"/>
      <c r="AE16" s="203"/>
      <c r="AF16" s="203"/>
    </row>
    <row r="17" spans="2:32" ht="15">
      <c r="B17" s="223" t="s">
        <v>208</v>
      </c>
      <c r="C17" s="211"/>
      <c r="D17" s="208"/>
      <c r="E17" s="208"/>
      <c r="F17" s="208"/>
      <c r="G17" s="208"/>
      <c r="H17" s="208"/>
      <c r="I17" s="209"/>
      <c r="O17" s="203"/>
      <c r="P17" s="203"/>
      <c r="Q17" s="203"/>
      <c r="R17" s="203"/>
      <c r="S17" s="203"/>
      <c r="T17" s="203"/>
      <c r="U17" s="203"/>
      <c r="V17" s="203"/>
      <c r="W17" s="203"/>
      <c r="X17" s="203"/>
      <c r="Y17" s="203"/>
      <c r="Z17" s="203"/>
      <c r="AA17" s="203"/>
      <c r="AB17" s="203"/>
      <c r="AC17" s="203"/>
      <c r="AD17" s="203"/>
      <c r="AE17" s="203"/>
      <c r="AF17" s="203"/>
    </row>
    <row r="18" spans="2:32">
      <c r="B18" s="221"/>
      <c r="C18" s="212" t="s">
        <v>180</v>
      </c>
      <c r="D18" s="83"/>
      <c r="E18" s="83"/>
      <c r="F18" s="83"/>
      <c r="G18" s="83"/>
      <c r="H18" s="83"/>
      <c r="I18" s="8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2:32">
      <c r="B19" s="215" t="s">
        <v>203</v>
      </c>
      <c r="C19" s="216">
        <f>2141.58-392.77</f>
        <v>1748.81</v>
      </c>
      <c r="D19" s="83"/>
      <c r="E19" s="83"/>
      <c r="F19" s="83"/>
      <c r="G19" s="83"/>
      <c r="H19" s="83"/>
      <c r="I19" s="8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2:32">
      <c r="B20" s="215" t="s">
        <v>204</v>
      </c>
      <c r="C20" s="216">
        <f>236.94-33.85</f>
        <v>203.09</v>
      </c>
      <c r="D20" s="210"/>
      <c r="E20" s="210"/>
      <c r="F20" s="210"/>
      <c r="G20" s="210"/>
      <c r="H20" s="210"/>
      <c r="I20" s="208"/>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2:32">
      <c r="B21" s="215" t="s">
        <v>205</v>
      </c>
      <c r="C21" s="222">
        <f>C19/C20</f>
        <v>8.6110098970899589</v>
      </c>
      <c r="G21" s="203"/>
      <c r="H21" s="208"/>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2:32">
      <c r="B22" s="215"/>
      <c r="C22" s="215"/>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2:32">
      <c r="B23" s="215" t="s">
        <v>194</v>
      </c>
      <c r="C23" s="216">
        <f>C12</f>
        <v>359.72</v>
      </c>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2:32">
      <c r="B24" s="215" t="s">
        <v>201</v>
      </c>
      <c r="C24" s="216">
        <f>C23/C21</f>
        <v>41.77442649573139</v>
      </c>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2:32">
      <c r="B25" s="215"/>
      <c r="C25" s="215"/>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2:32">
      <c r="B26" s="219" t="s">
        <v>209</v>
      </c>
      <c r="C26" s="220">
        <f>SUM(WACC!F6:F8)</f>
        <v>4587.7000000000007</v>
      </c>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2:32">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ht="14.25" customHeight="1">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row r="39" spans="7:32">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7:32">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7:32">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41"/>
  <sheetViews>
    <sheetView workbookViewId="0"/>
  </sheetViews>
  <sheetFormatPr defaultRowHeight="12"/>
  <cols>
    <col min="1" max="1" width="2" style="198" customWidth="1"/>
    <col min="2" max="2" width="29.140625" style="198" customWidth="1"/>
    <col min="3" max="3" width="11.42578125" style="198" customWidth="1"/>
    <col min="4" max="4" width="9.7109375" style="198" customWidth="1"/>
    <col min="5" max="5" width="9.28515625" style="198" customWidth="1"/>
    <col min="6" max="6" width="22.42578125" style="198" customWidth="1"/>
    <col min="7" max="7" width="10.140625" style="198" bestFit="1" customWidth="1" collapsed="1"/>
    <col min="8" max="11" width="9" style="198" customWidth="1"/>
    <col min="12" max="12" width="9.285156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369</v>
      </c>
      <c r="C1" s="196"/>
      <c r="D1" s="196"/>
      <c r="E1" s="196"/>
      <c r="F1" s="196"/>
      <c r="G1" s="196"/>
      <c r="H1" s="196"/>
      <c r="I1" s="196"/>
      <c r="J1" s="196"/>
      <c r="K1" s="196"/>
      <c r="L1" s="196"/>
    </row>
    <row r="2" spans="1:32" ht="12" customHeight="1"/>
    <row r="3" spans="1:32" s="200" customFormat="1" ht="12" customHeight="1">
      <c r="B3" s="215" t="s">
        <v>3</v>
      </c>
      <c r="C3" s="216">
        <f>'EBIT &amp; Operating Lease'!C15</f>
        <v>728.03557350426831</v>
      </c>
      <c r="D3" s="199"/>
      <c r="E3" s="199"/>
      <c r="F3" s="441" t="s">
        <v>375</v>
      </c>
      <c r="G3" s="441"/>
      <c r="H3" s="441"/>
      <c r="I3" s="441"/>
      <c r="J3" s="441"/>
      <c r="K3" s="441"/>
      <c r="L3" s="441"/>
      <c r="M3" s="441"/>
      <c r="N3" s="199"/>
      <c r="O3" s="199"/>
      <c r="P3" s="199"/>
      <c r="Q3" s="199"/>
      <c r="R3" s="199"/>
      <c r="S3" s="199"/>
      <c r="T3" s="199"/>
      <c r="U3" s="199"/>
      <c r="V3" s="199"/>
      <c r="W3" s="199"/>
      <c r="X3" s="199"/>
      <c r="Y3" s="199"/>
      <c r="Z3" s="199"/>
      <c r="AA3" s="199"/>
    </row>
    <row r="4" spans="1:32" ht="12" customHeight="1">
      <c r="F4" s="375" t="s">
        <v>59</v>
      </c>
      <c r="G4" s="376" t="s">
        <v>370</v>
      </c>
      <c r="H4" s="375">
        <v>-1</v>
      </c>
      <c r="I4" s="376">
        <v>-2</v>
      </c>
      <c r="J4" s="376">
        <v>-3</v>
      </c>
      <c r="K4" s="376">
        <v>-4</v>
      </c>
      <c r="L4" s="376">
        <v>-5</v>
      </c>
      <c r="M4" s="377"/>
    </row>
    <row r="5" spans="1:32" ht="12" customHeight="1">
      <c r="A5" s="200"/>
      <c r="B5" s="215" t="s">
        <v>376</v>
      </c>
      <c r="C5" s="265">
        <f>M7</f>
        <v>219.02599999999998</v>
      </c>
      <c r="F5" s="287" t="s">
        <v>372</v>
      </c>
      <c r="G5" s="211">
        <v>113.11</v>
      </c>
      <c r="H5" s="211">
        <v>53.76</v>
      </c>
      <c r="I5" s="211">
        <v>58.5</v>
      </c>
      <c r="J5" s="211">
        <v>48.64</v>
      </c>
      <c r="K5" s="211">
        <v>41.76</v>
      </c>
      <c r="L5" s="211">
        <v>48.12</v>
      </c>
      <c r="M5" s="373"/>
    </row>
    <row r="6" spans="1:32" ht="12" customHeight="1">
      <c r="B6" s="215" t="s">
        <v>377</v>
      </c>
      <c r="C6" s="265">
        <f>M8</f>
        <v>50.155999999999992</v>
      </c>
      <c r="F6" s="287" t="s">
        <v>373</v>
      </c>
      <c r="G6" s="138">
        <v>1</v>
      </c>
      <c r="H6" s="138">
        <f>4/5</f>
        <v>0.8</v>
      </c>
      <c r="I6" s="138">
        <f>3/5</f>
        <v>0.6</v>
      </c>
      <c r="J6" s="138">
        <f>2/5</f>
        <v>0.4</v>
      </c>
      <c r="K6" s="138">
        <f>1/5</f>
        <v>0.2</v>
      </c>
      <c r="L6" s="138">
        <v>0</v>
      </c>
      <c r="M6" s="374"/>
      <c r="N6" s="202"/>
      <c r="O6" s="202"/>
      <c r="Q6" s="202"/>
      <c r="R6" s="202"/>
      <c r="S6" s="202"/>
      <c r="T6" s="202"/>
      <c r="U6" s="202"/>
      <c r="V6" s="202"/>
      <c r="AA6" s="202"/>
    </row>
    <row r="7" spans="1:32" ht="12" customHeight="1">
      <c r="A7" s="205"/>
      <c r="B7" s="215" t="s">
        <v>378</v>
      </c>
      <c r="C7" s="216">
        <f>G5</f>
        <v>113.11</v>
      </c>
      <c r="F7" s="287" t="s">
        <v>374</v>
      </c>
      <c r="G7" s="262">
        <f>G5*G6</f>
        <v>113.11</v>
      </c>
      <c r="H7" s="262">
        <f t="shared" ref="H7:L7" si="0">H5*H6</f>
        <v>43.008000000000003</v>
      </c>
      <c r="I7" s="262">
        <f t="shared" si="0"/>
        <v>35.1</v>
      </c>
      <c r="J7" s="262">
        <f t="shared" si="0"/>
        <v>19.456000000000003</v>
      </c>
      <c r="K7" s="262">
        <f t="shared" si="0"/>
        <v>8.3520000000000003</v>
      </c>
      <c r="L7" s="262">
        <f t="shared" si="0"/>
        <v>0</v>
      </c>
      <c r="M7" s="259">
        <f>SUM(G7:L7)</f>
        <v>219.02599999999998</v>
      </c>
      <c r="N7" s="203"/>
      <c r="O7" s="267"/>
      <c r="P7" s="203"/>
      <c r="Q7" s="203"/>
      <c r="R7" s="203"/>
      <c r="S7" s="203"/>
      <c r="T7" s="203"/>
      <c r="U7" s="203"/>
      <c r="V7" s="203"/>
      <c r="W7" s="203"/>
      <c r="X7" s="203"/>
      <c r="Y7" s="203"/>
      <c r="Z7" s="203"/>
      <c r="AA7" s="203"/>
      <c r="AB7" s="203"/>
      <c r="AC7" s="203"/>
      <c r="AD7" s="203"/>
      <c r="AE7" s="203"/>
      <c r="AF7" s="203"/>
    </row>
    <row r="8" spans="1:32" ht="12" customHeight="1">
      <c r="A8" s="205"/>
      <c r="B8" s="201"/>
      <c r="C8" s="227"/>
      <c r="D8" s="206"/>
      <c r="F8" s="287" t="s">
        <v>371</v>
      </c>
      <c r="G8" s="211">
        <v>0</v>
      </c>
      <c r="H8" s="372">
        <f>H5/5</f>
        <v>10.751999999999999</v>
      </c>
      <c r="I8" s="372">
        <f t="shared" ref="I8:K8" si="1">I5/5</f>
        <v>11.7</v>
      </c>
      <c r="J8" s="372">
        <f t="shared" si="1"/>
        <v>9.7279999999999998</v>
      </c>
      <c r="K8" s="372">
        <f t="shared" si="1"/>
        <v>8.3520000000000003</v>
      </c>
      <c r="L8" s="372">
        <f>L5/5</f>
        <v>9.6239999999999988</v>
      </c>
      <c r="M8" s="259">
        <f>SUM(H8:L8)</f>
        <v>50.155999999999992</v>
      </c>
      <c r="N8" s="203"/>
      <c r="O8" s="203"/>
      <c r="P8" s="203"/>
      <c r="Q8" s="203"/>
      <c r="R8" s="203"/>
      <c r="S8" s="203"/>
      <c r="T8" s="203"/>
      <c r="U8" s="203"/>
      <c r="V8" s="203"/>
      <c r="W8" s="203"/>
      <c r="X8" s="203"/>
      <c r="Y8" s="203"/>
      <c r="Z8" s="203"/>
      <c r="AA8" s="203"/>
      <c r="AB8" s="203"/>
      <c r="AC8" s="203"/>
      <c r="AD8" s="203"/>
      <c r="AE8" s="203"/>
      <c r="AF8" s="203"/>
    </row>
    <row r="9" spans="1:32" ht="12" customHeight="1">
      <c r="A9" s="205"/>
      <c r="B9" s="215" t="s">
        <v>369</v>
      </c>
      <c r="C9" s="216">
        <f>C3+C7</f>
        <v>841.14557350426833</v>
      </c>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row>
    <row r="10" spans="1:32">
      <c r="A10" s="205" t="s">
        <v>98</v>
      </c>
      <c r="B10" s="215" t="s">
        <v>379</v>
      </c>
      <c r="C10" s="216">
        <f>C6</f>
        <v>50.155999999999992</v>
      </c>
      <c r="H10" s="203"/>
      <c r="I10" s="203"/>
      <c r="J10" s="203"/>
      <c r="K10" s="203"/>
      <c r="L10" s="203"/>
      <c r="M10" s="203"/>
      <c r="N10" s="235"/>
      <c r="O10" s="203"/>
      <c r="P10" s="203"/>
      <c r="Q10" s="203"/>
      <c r="R10" s="203"/>
      <c r="S10" s="203"/>
      <c r="T10" s="203"/>
      <c r="U10" s="203"/>
      <c r="V10" s="203"/>
      <c r="W10" s="203"/>
      <c r="X10" s="203"/>
      <c r="Y10" s="203"/>
      <c r="Z10" s="203"/>
      <c r="AA10" s="203"/>
      <c r="AB10" s="203"/>
      <c r="AC10" s="203"/>
      <c r="AD10" s="203"/>
      <c r="AE10" s="203"/>
      <c r="AF10" s="203"/>
    </row>
    <row r="11" spans="1:32">
      <c r="A11" s="201"/>
      <c r="B11" s="219" t="s">
        <v>202</v>
      </c>
      <c r="C11" s="220">
        <f>C9-C10</f>
        <v>790.98957350426838</v>
      </c>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row>
    <row r="12" spans="1:32">
      <c r="A12" s="205"/>
      <c r="B12" s="201"/>
      <c r="C12" s="227"/>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row>
    <row r="13" spans="1:32">
      <c r="B13" s="215" t="s">
        <v>380</v>
      </c>
      <c r="C13" s="224">
        <f>C11*(1-Beta!C14)</f>
        <v>611.11854448939766</v>
      </c>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c r="A14" s="205"/>
      <c r="B14" s="201"/>
      <c r="C14" s="227"/>
      <c r="G14" s="203"/>
      <c r="H14" s="203"/>
      <c r="I14" s="203"/>
      <c r="J14" s="203"/>
      <c r="K14" s="203"/>
      <c r="L14" s="203"/>
      <c r="M14" s="203"/>
      <c r="N14" s="203"/>
      <c r="O14" s="203"/>
      <c r="P14" s="203"/>
      <c r="Q14" s="203"/>
      <c r="R14" s="203"/>
      <c r="S14" s="203"/>
      <c r="T14" s="203"/>
      <c r="U14" s="203"/>
      <c r="V14" s="203"/>
      <c r="W14" s="203"/>
      <c r="X14" s="203"/>
      <c r="Y14" s="203"/>
      <c r="Z14" s="203"/>
      <c r="AA14" s="203"/>
      <c r="AB14" s="203"/>
      <c r="AC14" s="203"/>
      <c r="AD14" s="203"/>
      <c r="AE14" s="203"/>
      <c r="AF14" s="203"/>
    </row>
    <row r="15" spans="1:32">
      <c r="B15" s="201"/>
      <c r="C15" s="227"/>
      <c r="G15" s="203"/>
      <c r="H15" s="203"/>
      <c r="I15" s="203"/>
      <c r="J15" s="203"/>
      <c r="K15" s="203"/>
      <c r="L15" s="203"/>
      <c r="M15" s="203"/>
      <c r="N15" s="203"/>
      <c r="O15" s="203"/>
      <c r="P15" s="203"/>
      <c r="Q15" s="203"/>
      <c r="R15" s="203"/>
      <c r="S15" s="203"/>
      <c r="T15" s="203"/>
      <c r="U15" s="203"/>
      <c r="V15" s="203"/>
      <c r="W15" s="203"/>
      <c r="X15" s="203"/>
      <c r="Y15" s="203"/>
      <c r="Z15" s="203"/>
      <c r="AA15" s="203"/>
      <c r="AB15" s="203"/>
      <c r="AC15" s="203"/>
      <c r="AD15" s="203"/>
      <c r="AE15" s="203"/>
      <c r="AF15" s="203"/>
    </row>
    <row r="16" spans="1:32">
      <c r="D16" s="203"/>
      <c r="E16" s="203"/>
      <c r="F16" s="203"/>
      <c r="G16" s="203"/>
      <c r="H16" s="203"/>
      <c r="I16" s="203"/>
      <c r="O16" s="203"/>
      <c r="P16" s="203"/>
      <c r="Q16" s="203"/>
      <c r="R16" s="203"/>
      <c r="S16" s="203"/>
      <c r="T16" s="203"/>
      <c r="U16" s="203"/>
      <c r="V16" s="203"/>
      <c r="W16" s="203"/>
      <c r="X16" s="203"/>
      <c r="Y16" s="203"/>
      <c r="Z16" s="203"/>
      <c r="AA16" s="203"/>
      <c r="AB16" s="203"/>
      <c r="AC16" s="203"/>
      <c r="AD16" s="203"/>
      <c r="AE16" s="203"/>
      <c r="AF16" s="203"/>
    </row>
    <row r="17" spans="2:32">
      <c r="D17" s="208"/>
      <c r="E17" s="208"/>
      <c r="F17" s="208"/>
      <c r="G17" s="208"/>
      <c r="H17" s="208"/>
      <c r="I17" s="209"/>
      <c r="O17" s="203"/>
      <c r="P17" s="203"/>
      <c r="Q17" s="203"/>
      <c r="R17" s="203"/>
      <c r="S17" s="203"/>
      <c r="T17" s="203"/>
      <c r="U17" s="203"/>
      <c r="V17" s="203"/>
      <c r="W17" s="203"/>
      <c r="X17" s="203"/>
      <c r="Y17" s="203"/>
      <c r="Z17" s="203"/>
      <c r="AA17" s="203"/>
      <c r="AB17" s="203"/>
      <c r="AC17" s="203"/>
      <c r="AD17" s="203"/>
      <c r="AE17" s="203"/>
      <c r="AF17" s="203"/>
    </row>
    <row r="18" spans="2:32">
      <c r="D18" s="83"/>
      <c r="E18" s="83"/>
      <c r="F18" s="83"/>
      <c r="G18" s="83"/>
      <c r="H18" s="83"/>
      <c r="I18" s="8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2:32" ht="15">
      <c r="B19" s="225"/>
      <c r="D19" s="83"/>
      <c r="E19" s="83"/>
      <c r="F19" s="83"/>
      <c r="G19" s="83"/>
      <c r="H19" s="83"/>
      <c r="I19" s="8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2:32">
      <c r="B20" s="199"/>
      <c r="C20" s="226"/>
      <c r="D20" s="210"/>
      <c r="E20" s="210"/>
      <c r="F20" s="210"/>
      <c r="G20" s="210"/>
      <c r="H20" s="210"/>
      <c r="I20" s="208"/>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2:32">
      <c r="B21" s="201"/>
      <c r="C21" s="227"/>
      <c r="G21" s="203"/>
      <c r="H21" s="208"/>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2:32">
      <c r="B22" s="201"/>
      <c r="C22" s="227"/>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2:32">
      <c r="B23" s="201"/>
      <c r="C23" s="228"/>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2:32">
      <c r="B24" s="201"/>
      <c r="C24" s="201"/>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2:32">
      <c r="B25" s="201"/>
      <c r="C25" s="227"/>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2:32">
      <c r="B26" s="201"/>
      <c r="C26" s="227"/>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2:32">
      <c r="B27" s="201"/>
      <c r="C27" s="201"/>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B28" s="201"/>
      <c r="C28" s="227"/>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ht="14.25" customHeight="1">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row r="39" spans="7:32">
      <c r="G39" s="203"/>
      <c r="H39" s="203"/>
      <c r="I39" s="203"/>
      <c r="J39" s="203"/>
      <c r="K39" s="203"/>
      <c r="L39" s="203"/>
      <c r="M39" s="203"/>
      <c r="N39" s="203"/>
      <c r="O39" s="203"/>
      <c r="P39" s="203"/>
      <c r="Q39" s="203"/>
      <c r="R39" s="203"/>
      <c r="S39" s="203"/>
      <c r="T39" s="203"/>
      <c r="U39" s="203"/>
      <c r="V39" s="203"/>
      <c r="W39" s="203"/>
      <c r="X39" s="203"/>
      <c r="Y39" s="203"/>
      <c r="Z39" s="203"/>
      <c r="AA39" s="203"/>
      <c r="AB39" s="203"/>
      <c r="AC39" s="203"/>
      <c r="AD39" s="203"/>
      <c r="AE39" s="203"/>
      <c r="AF39" s="203"/>
    </row>
    <row r="40" spans="7:32">
      <c r="G40" s="203"/>
      <c r="H40" s="203"/>
      <c r="I40" s="203"/>
      <c r="J40" s="203"/>
      <c r="K40" s="203"/>
      <c r="L40" s="203"/>
      <c r="M40" s="203"/>
      <c r="N40" s="203"/>
      <c r="O40" s="203"/>
      <c r="P40" s="203"/>
      <c r="Q40" s="203"/>
      <c r="R40" s="203"/>
      <c r="S40" s="203"/>
      <c r="T40" s="203"/>
      <c r="U40" s="203"/>
      <c r="V40" s="203"/>
      <c r="W40" s="203"/>
      <c r="X40" s="203"/>
      <c r="Y40" s="203"/>
      <c r="Z40" s="203"/>
      <c r="AA40" s="203"/>
      <c r="AB40" s="203"/>
      <c r="AC40" s="203"/>
      <c r="AD40" s="203"/>
      <c r="AE40" s="203"/>
      <c r="AF40" s="203"/>
    </row>
    <row r="41" spans="7:32">
      <c r="G41" s="203"/>
      <c r="H41" s="203"/>
      <c r="I41" s="203"/>
      <c r="J41" s="203"/>
      <c r="K41" s="203"/>
      <c r="L41" s="203"/>
      <c r="M41" s="203"/>
      <c r="N41" s="203"/>
      <c r="O41" s="203"/>
      <c r="P41" s="203"/>
      <c r="Q41" s="203"/>
      <c r="R41" s="203"/>
      <c r="S41" s="203"/>
      <c r="T41" s="203"/>
      <c r="U41" s="203"/>
      <c r="V41" s="203"/>
      <c r="W41" s="203"/>
      <c r="X41" s="203"/>
      <c r="Y41" s="203"/>
      <c r="Z41" s="203"/>
      <c r="AA41" s="203"/>
      <c r="AB41" s="203"/>
      <c r="AC41" s="203"/>
      <c r="AD41" s="203"/>
      <c r="AE41" s="203"/>
      <c r="AF41" s="203"/>
    </row>
  </sheetData>
  <mergeCells count="1">
    <mergeCell ref="F3:M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40" style="198" customWidth="1"/>
    <col min="3" max="3" width="10.5703125" style="198" customWidth="1"/>
    <col min="4" max="4" width="4" style="198" customWidth="1"/>
    <col min="5" max="5" width="9.28515625" style="198" customWidth="1"/>
    <col min="6" max="6" width="9.85546875" style="198" customWidth="1"/>
    <col min="7" max="7" width="10.140625" style="198" bestFit="1" customWidth="1" collapsed="1"/>
    <col min="8" max="11" width="9" style="198" customWidth="1"/>
    <col min="12" max="12" width="9.285156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212</v>
      </c>
      <c r="C1" s="196"/>
      <c r="D1" s="196"/>
      <c r="E1" s="196"/>
      <c r="F1" s="196"/>
      <c r="G1" s="196"/>
      <c r="H1" s="196"/>
      <c r="I1" s="196"/>
      <c r="J1" s="196"/>
      <c r="K1" s="196"/>
      <c r="L1" s="196"/>
    </row>
    <row r="2" spans="1:32" ht="12.75" customHeight="1">
      <c r="C2" s="226" t="s">
        <v>180</v>
      </c>
    </row>
    <row r="3" spans="1:32">
      <c r="A3" s="200"/>
      <c r="B3" s="215" t="s">
        <v>213</v>
      </c>
      <c r="C3" s="230">
        <v>270.92</v>
      </c>
    </row>
    <row r="4" spans="1:32">
      <c r="A4" s="205" t="s">
        <v>98</v>
      </c>
      <c r="B4" s="213" t="s">
        <v>2</v>
      </c>
      <c r="C4" s="214">
        <f>-310.82-0.73</f>
        <v>-311.55</v>
      </c>
      <c r="L4" s="202"/>
      <c r="N4" s="202"/>
      <c r="O4" s="202"/>
      <c r="Q4" s="202"/>
      <c r="R4" s="202"/>
      <c r="S4" s="202"/>
      <c r="T4" s="202"/>
      <c r="U4" s="202"/>
      <c r="V4" s="202"/>
      <c r="AA4" s="202"/>
    </row>
    <row r="5" spans="1:32">
      <c r="A5" s="205"/>
      <c r="B5" s="217" t="s">
        <v>212</v>
      </c>
      <c r="C5" s="218">
        <f>C3+C4</f>
        <v>-40.629999999999995</v>
      </c>
      <c r="H5" s="203"/>
      <c r="I5" s="203"/>
      <c r="J5" s="203"/>
      <c r="K5" s="203"/>
      <c r="L5" s="203"/>
      <c r="M5" s="203"/>
      <c r="N5" s="203"/>
      <c r="O5" s="203"/>
      <c r="P5" s="203"/>
      <c r="Q5" s="203"/>
      <c r="R5" s="203"/>
      <c r="S5" s="203"/>
      <c r="T5" s="203"/>
      <c r="U5" s="203"/>
      <c r="V5" s="203"/>
      <c r="W5" s="203"/>
      <c r="X5" s="203"/>
      <c r="Y5" s="203"/>
      <c r="Z5" s="203"/>
      <c r="AA5" s="203"/>
      <c r="AB5" s="203"/>
      <c r="AC5" s="203"/>
      <c r="AD5" s="203"/>
      <c r="AE5" s="203"/>
      <c r="AF5" s="203"/>
    </row>
    <row r="6" spans="1:32">
      <c r="A6" s="205" t="s">
        <v>199</v>
      </c>
      <c r="B6" s="229" t="s">
        <v>223</v>
      </c>
      <c r="C6" s="230">
        <v>66.27</v>
      </c>
      <c r="D6" s="206"/>
      <c r="H6" s="203"/>
      <c r="I6" s="203"/>
      <c r="J6" s="203"/>
      <c r="K6" s="203"/>
      <c r="L6" s="203"/>
      <c r="M6" s="203"/>
      <c r="N6" s="203"/>
      <c r="O6" s="203"/>
      <c r="P6" s="203"/>
      <c r="Q6" s="203"/>
      <c r="R6" s="203"/>
      <c r="S6" s="203"/>
      <c r="T6" s="203"/>
      <c r="U6" s="203"/>
      <c r="V6" s="203"/>
      <c r="W6" s="203"/>
      <c r="X6" s="203"/>
      <c r="Y6" s="203"/>
      <c r="Z6" s="203"/>
      <c r="AA6" s="203"/>
      <c r="AB6" s="203"/>
      <c r="AC6" s="203"/>
      <c r="AD6" s="203"/>
      <c r="AE6" s="203"/>
      <c r="AF6" s="203"/>
    </row>
    <row r="7" spans="1:32">
      <c r="A7" s="205" t="s">
        <v>199</v>
      </c>
      <c r="B7" s="215" t="s">
        <v>381</v>
      </c>
      <c r="C7" s="230">
        <f>'EBIT &amp; Advertising Expense'!C7</f>
        <v>113.11</v>
      </c>
      <c r="H7" s="203"/>
      <c r="I7" s="203"/>
      <c r="J7" s="203"/>
      <c r="K7" s="203"/>
      <c r="L7" s="203"/>
      <c r="M7" s="203"/>
      <c r="N7" s="203"/>
      <c r="O7" s="203"/>
      <c r="P7" s="203"/>
      <c r="Q7" s="203"/>
      <c r="R7" s="203"/>
      <c r="S7" s="203"/>
      <c r="T7" s="203"/>
      <c r="U7" s="203"/>
      <c r="V7" s="203"/>
      <c r="W7" s="203"/>
      <c r="X7" s="203"/>
      <c r="Y7" s="203"/>
      <c r="Z7" s="203"/>
      <c r="AA7" s="203"/>
      <c r="AB7" s="203"/>
      <c r="AC7" s="203"/>
      <c r="AD7" s="203"/>
      <c r="AE7" s="203"/>
      <c r="AF7" s="203"/>
    </row>
    <row r="8" spans="1:32">
      <c r="A8" s="207" t="s">
        <v>98</v>
      </c>
      <c r="B8" s="215" t="s">
        <v>377</v>
      </c>
      <c r="C8" s="230">
        <f>-'EBIT &amp; Advertising Expense'!C6</f>
        <v>-50.155999999999992</v>
      </c>
      <c r="H8" s="203"/>
      <c r="I8" s="203"/>
      <c r="J8" s="203"/>
      <c r="K8" s="203"/>
      <c r="L8" s="203"/>
      <c r="M8" s="203"/>
      <c r="N8" s="203"/>
      <c r="O8" s="203"/>
      <c r="P8" s="203"/>
      <c r="Q8" s="203"/>
      <c r="R8" s="203"/>
      <c r="S8" s="203"/>
      <c r="T8" s="203"/>
      <c r="U8" s="203"/>
      <c r="V8" s="203"/>
      <c r="W8" s="203"/>
      <c r="X8" s="203"/>
      <c r="Y8" s="203"/>
      <c r="Z8" s="203"/>
      <c r="AA8" s="203"/>
      <c r="AB8" s="203"/>
      <c r="AC8" s="203"/>
      <c r="AD8" s="203"/>
      <c r="AE8" s="203"/>
      <c r="AF8" s="203"/>
    </row>
    <row r="9" spans="1:32">
      <c r="A9" s="205"/>
      <c r="B9" s="219" t="s">
        <v>214</v>
      </c>
      <c r="C9" s="231">
        <f>C5+C6+C7+C8</f>
        <v>88.594000000000008</v>
      </c>
      <c r="H9" s="203"/>
      <c r="I9" s="203"/>
      <c r="J9" s="203"/>
      <c r="K9" s="203"/>
      <c r="L9" s="203"/>
      <c r="M9" s="203"/>
      <c r="N9" s="203"/>
      <c r="O9" s="203"/>
      <c r="P9" s="203"/>
      <c r="Q9" s="203"/>
      <c r="R9" s="203"/>
      <c r="S9" s="203"/>
      <c r="T9" s="203"/>
      <c r="U9" s="203"/>
      <c r="V9" s="203"/>
      <c r="W9" s="203"/>
      <c r="X9" s="203"/>
      <c r="Y9" s="203"/>
      <c r="Z9" s="203"/>
      <c r="AA9" s="203"/>
      <c r="AB9" s="203"/>
      <c r="AC9" s="203"/>
      <c r="AD9" s="203"/>
      <c r="AE9" s="203"/>
      <c r="AF9" s="203"/>
    </row>
    <row r="10" spans="1:32">
      <c r="A10" s="201"/>
      <c r="B10" s="201"/>
      <c r="C10" s="227"/>
      <c r="H10" s="203"/>
      <c r="I10" s="203"/>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row>
    <row r="11" spans="1:32">
      <c r="A11" s="205"/>
      <c r="B11" s="201"/>
      <c r="C11" s="227"/>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row>
    <row r="12" spans="1:32">
      <c r="B12" s="201"/>
      <c r="C12" s="227"/>
      <c r="G12" s="203"/>
      <c r="H12" s="203"/>
      <c r="I12" s="203"/>
      <c r="J12" s="203"/>
      <c r="K12" s="203"/>
      <c r="L12" s="203"/>
      <c r="M12" s="203"/>
      <c r="N12" s="203"/>
      <c r="O12" s="203"/>
      <c r="P12" s="203"/>
      <c r="Q12" s="203"/>
      <c r="R12" s="203"/>
      <c r="S12" s="203"/>
      <c r="T12" s="203"/>
      <c r="U12" s="203"/>
      <c r="V12" s="203"/>
      <c r="W12" s="203"/>
      <c r="X12" s="203"/>
      <c r="Y12" s="203"/>
      <c r="Z12" s="203"/>
      <c r="AA12" s="203"/>
      <c r="AB12" s="203"/>
      <c r="AC12" s="203"/>
      <c r="AD12" s="203"/>
      <c r="AE12" s="203"/>
      <c r="AF12" s="203"/>
    </row>
    <row r="13" spans="1:32">
      <c r="A13" s="205"/>
      <c r="B13" s="201"/>
      <c r="C13" s="227"/>
      <c r="G13" s="203"/>
      <c r="H13" s="203"/>
      <c r="I13" s="203"/>
      <c r="J13" s="203"/>
      <c r="K13" s="203"/>
      <c r="L13" s="203"/>
      <c r="M13" s="203"/>
      <c r="N13" s="203"/>
      <c r="O13" s="203"/>
      <c r="P13" s="203"/>
      <c r="Q13" s="203"/>
      <c r="R13" s="203"/>
      <c r="S13" s="203"/>
      <c r="T13" s="203"/>
      <c r="U13" s="203"/>
      <c r="V13" s="203"/>
      <c r="W13" s="203"/>
      <c r="X13" s="203"/>
      <c r="Y13" s="203"/>
      <c r="Z13" s="203"/>
      <c r="AA13" s="203"/>
      <c r="AB13" s="203"/>
      <c r="AC13" s="203"/>
      <c r="AD13" s="203"/>
      <c r="AE13" s="203"/>
      <c r="AF13" s="203"/>
    </row>
    <row r="14" spans="1:32">
      <c r="B14" s="201"/>
      <c r="C14" s="227"/>
      <c r="D14" s="203"/>
      <c r="E14" s="203"/>
      <c r="F14" s="203"/>
      <c r="G14" s="203"/>
      <c r="H14" s="203"/>
      <c r="I14" s="203"/>
      <c r="O14" s="203"/>
      <c r="P14" s="203"/>
      <c r="Q14" s="203"/>
      <c r="R14" s="203"/>
      <c r="S14" s="203"/>
      <c r="T14" s="203"/>
      <c r="U14" s="203"/>
      <c r="V14" s="203"/>
      <c r="W14" s="203"/>
      <c r="X14" s="203"/>
      <c r="Y14" s="203"/>
      <c r="Z14" s="203"/>
      <c r="AA14" s="203"/>
      <c r="AB14" s="203"/>
      <c r="AC14" s="203"/>
      <c r="AD14" s="203"/>
      <c r="AE14" s="203"/>
      <c r="AF14" s="203"/>
    </row>
    <row r="15" spans="1:32">
      <c r="D15" s="208"/>
      <c r="E15" s="208"/>
      <c r="F15" s="208"/>
      <c r="G15" s="208"/>
      <c r="H15" s="208"/>
      <c r="I15" s="209"/>
      <c r="O15" s="203"/>
      <c r="P15" s="203"/>
      <c r="Q15" s="203"/>
      <c r="R15" s="203"/>
      <c r="S15" s="203"/>
      <c r="T15" s="203"/>
      <c r="U15" s="203"/>
      <c r="V15" s="203"/>
      <c r="W15" s="203"/>
      <c r="X15" s="203"/>
      <c r="Y15" s="203"/>
      <c r="Z15" s="203"/>
      <c r="AA15" s="203"/>
      <c r="AB15" s="203"/>
      <c r="AC15" s="203"/>
      <c r="AD15" s="203"/>
      <c r="AE15" s="203"/>
      <c r="AF15" s="203"/>
    </row>
    <row r="16" spans="1:32">
      <c r="D16" s="83"/>
      <c r="E16" s="83"/>
      <c r="F16" s="83"/>
      <c r="G16" s="83"/>
      <c r="H16" s="83"/>
      <c r="I16" s="83"/>
      <c r="J16" s="203"/>
      <c r="K16" s="203"/>
      <c r="L16" s="203"/>
      <c r="M16" s="203"/>
      <c r="N16" s="203"/>
      <c r="O16" s="203"/>
      <c r="P16" s="203"/>
      <c r="Q16" s="203"/>
      <c r="R16" s="203"/>
      <c r="S16" s="203"/>
      <c r="T16" s="203"/>
      <c r="U16" s="203"/>
      <c r="V16" s="203"/>
      <c r="W16" s="203"/>
      <c r="X16" s="203"/>
      <c r="Y16" s="203"/>
      <c r="Z16" s="203"/>
      <c r="AA16" s="203"/>
      <c r="AB16" s="203"/>
      <c r="AC16" s="203"/>
      <c r="AD16" s="203"/>
      <c r="AE16" s="203"/>
      <c r="AF16" s="203"/>
    </row>
    <row r="17" spans="2:32" ht="15">
      <c r="B17" s="225"/>
      <c r="D17" s="210"/>
      <c r="E17" s="210"/>
      <c r="F17" s="210"/>
      <c r="G17" s="210"/>
      <c r="H17" s="210"/>
      <c r="I17" s="208"/>
      <c r="J17" s="203"/>
      <c r="K17" s="203"/>
      <c r="L17" s="203"/>
      <c r="M17" s="203"/>
      <c r="N17" s="203"/>
      <c r="O17" s="203"/>
      <c r="P17" s="203"/>
      <c r="Q17" s="203"/>
      <c r="R17" s="203"/>
      <c r="S17" s="203"/>
      <c r="T17" s="203"/>
      <c r="U17" s="203"/>
      <c r="V17" s="203"/>
      <c r="W17" s="203"/>
      <c r="X17" s="203"/>
      <c r="Y17" s="203"/>
      <c r="Z17" s="203"/>
      <c r="AA17" s="203"/>
      <c r="AB17" s="203"/>
      <c r="AC17" s="203"/>
      <c r="AD17" s="203"/>
      <c r="AE17" s="203"/>
      <c r="AF17" s="203"/>
    </row>
    <row r="18" spans="2:32">
      <c r="B18" s="199"/>
      <c r="C18" s="226"/>
      <c r="G18" s="203"/>
      <c r="H18" s="208"/>
      <c r="I18" s="203"/>
      <c r="J18" s="203"/>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2:32">
      <c r="B19" s="201"/>
      <c r="C19" s="227"/>
      <c r="G19" s="203"/>
      <c r="H19" s="203"/>
      <c r="I19" s="203"/>
      <c r="J19" s="203"/>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2:32">
      <c r="B20" s="201"/>
      <c r="C20" s="227"/>
      <c r="G20" s="203"/>
      <c r="H20" s="203"/>
      <c r="I20" s="203"/>
      <c r="J20" s="203"/>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2:32">
      <c r="B21" s="201"/>
      <c r="C21" s="228"/>
      <c r="G21" s="203"/>
      <c r="H21" s="203"/>
      <c r="I21" s="203"/>
      <c r="J21" s="203"/>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2:32">
      <c r="B22" s="201"/>
      <c r="C22" s="201"/>
      <c r="G22" s="203"/>
      <c r="H22" s="203"/>
      <c r="I22" s="203"/>
      <c r="J22" s="203"/>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2:32">
      <c r="B23" s="201"/>
      <c r="C23" s="227"/>
      <c r="G23" s="203"/>
      <c r="H23" s="203"/>
      <c r="I23" s="203"/>
      <c r="J23" s="203"/>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2:32">
      <c r="B24" s="201"/>
      <c r="C24" s="227"/>
      <c r="G24" s="203"/>
      <c r="H24" s="203"/>
      <c r="I24" s="203"/>
      <c r="J24" s="203"/>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2:32">
      <c r="B25" s="201"/>
      <c r="C25" s="201"/>
      <c r="G25" s="203"/>
      <c r="H25" s="203"/>
      <c r="I25" s="203"/>
      <c r="J25" s="203"/>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2:32">
      <c r="B26" s="201"/>
      <c r="C26" s="227"/>
      <c r="G26" s="203"/>
      <c r="H26" s="203"/>
      <c r="I26" s="203"/>
      <c r="J26" s="203"/>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2:32">
      <c r="G27" s="203"/>
      <c r="H27" s="203"/>
      <c r="I27" s="203"/>
      <c r="J27" s="203"/>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G28" s="203"/>
      <c r="H28" s="203"/>
      <c r="I28" s="203"/>
      <c r="J28" s="203"/>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G29" s="203"/>
      <c r="H29" s="203"/>
      <c r="I29" s="203"/>
      <c r="J29" s="203"/>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ht="14.25" customHeight="1">
      <c r="G30" s="203"/>
      <c r="H30" s="203"/>
      <c r="I30" s="203"/>
      <c r="J30" s="203"/>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30.5703125" style="198" customWidth="1"/>
    <col min="3" max="3" width="11.7109375" style="198" customWidth="1"/>
    <col min="4" max="4" width="13.140625" style="198" customWidth="1"/>
    <col min="5" max="6" width="9.85546875" style="198" customWidth="1"/>
    <col min="7" max="7" width="32.85546875" style="198" customWidth="1" collapsed="1"/>
    <col min="8" max="9" width="10.5703125" style="198" customWidth="1"/>
    <col min="10" max="10" width="9.28515625" style="198" customWidth="1"/>
    <col min="11" max="11" width="10" style="198" customWidth="1"/>
    <col min="12" max="12" width="9.4257812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215</v>
      </c>
      <c r="C1" s="196"/>
      <c r="D1" s="196"/>
      <c r="E1" s="196"/>
      <c r="F1" s="196"/>
      <c r="G1" s="196"/>
      <c r="H1" s="196"/>
      <c r="I1" s="196"/>
      <c r="J1" s="196"/>
      <c r="K1" s="196"/>
      <c r="L1" s="196"/>
    </row>
    <row r="2" spans="1:32" ht="12.75" customHeight="1">
      <c r="C2" s="226"/>
    </row>
    <row r="3" spans="1:32">
      <c r="A3" s="200"/>
      <c r="B3" s="213" t="s">
        <v>249</v>
      </c>
      <c r="C3" s="264">
        <f>L25</f>
        <v>0.11548574454975129</v>
      </c>
      <c r="G3" s="260" t="s">
        <v>103</v>
      </c>
      <c r="H3" s="261">
        <v>2018</v>
      </c>
      <c r="I3" s="261">
        <v>2019</v>
      </c>
      <c r="J3" s="261">
        <v>2020</v>
      </c>
      <c r="K3" s="261">
        <v>2021</v>
      </c>
      <c r="L3" s="261">
        <v>2022</v>
      </c>
    </row>
    <row r="4" spans="1:32">
      <c r="A4" s="205"/>
      <c r="B4" s="211"/>
      <c r="C4" s="211"/>
      <c r="G4" s="256" t="s">
        <v>5</v>
      </c>
      <c r="H4" s="211">
        <v>344.77</v>
      </c>
      <c r="I4" s="211">
        <v>497.01</v>
      </c>
      <c r="J4" s="211">
        <v>607.80999999999995</v>
      </c>
      <c r="K4" s="211">
        <v>428.39</v>
      </c>
      <c r="L4" s="211">
        <v>867.78</v>
      </c>
      <c r="N4" s="202"/>
      <c r="O4" s="202"/>
      <c r="Q4" s="202"/>
      <c r="R4" s="202"/>
      <c r="S4" s="202"/>
      <c r="T4" s="202"/>
      <c r="U4" s="202"/>
      <c r="V4" s="202"/>
      <c r="AA4" s="202"/>
    </row>
    <row r="5" spans="1:32">
      <c r="A5" s="205"/>
      <c r="B5" s="215" t="s">
        <v>250</v>
      </c>
      <c r="C5" s="216">
        <f>L23</f>
        <v>4498.0200000000004</v>
      </c>
      <c r="G5" s="256" t="s">
        <v>239</v>
      </c>
      <c r="H5" s="211">
        <v>15.1</v>
      </c>
      <c r="I5" s="211">
        <v>16.54</v>
      </c>
      <c r="J5" s="211">
        <v>17.12</v>
      </c>
      <c r="K5" s="211">
        <v>20.77</v>
      </c>
      <c r="L5" s="211">
        <v>17.86</v>
      </c>
      <c r="M5" s="203"/>
      <c r="N5" s="203"/>
      <c r="O5" s="203"/>
      <c r="P5" s="203"/>
      <c r="Q5" s="203"/>
      <c r="R5" s="203"/>
      <c r="S5" s="203"/>
      <c r="T5" s="203"/>
      <c r="U5" s="203"/>
      <c r="V5" s="203"/>
      <c r="W5" s="203"/>
      <c r="X5" s="203"/>
      <c r="Y5" s="203"/>
      <c r="Z5" s="203"/>
      <c r="AA5" s="203"/>
      <c r="AB5" s="203"/>
      <c r="AC5" s="203"/>
      <c r="AD5" s="203"/>
      <c r="AE5" s="203"/>
      <c r="AF5" s="203"/>
    </row>
    <row r="6" spans="1:32">
      <c r="A6" s="205"/>
      <c r="B6" s="219" t="s">
        <v>251</v>
      </c>
      <c r="C6" s="231">
        <f>C5*C3</f>
        <v>519.45718869967232</v>
      </c>
      <c r="D6" s="206"/>
      <c r="G6" s="256" t="s">
        <v>11</v>
      </c>
      <c r="H6" s="211">
        <v>30.75</v>
      </c>
      <c r="I6" s="211">
        <v>30.33</v>
      </c>
      <c r="J6" s="211">
        <f>25+60.98</f>
        <v>85.97999999999999</v>
      </c>
      <c r="K6" s="211">
        <v>26.04</v>
      </c>
      <c r="L6" s="211">
        <f>26.44</f>
        <v>26.44</v>
      </c>
      <c r="M6" s="203"/>
      <c r="N6" s="203"/>
      <c r="O6" s="203"/>
      <c r="P6" s="203"/>
      <c r="Q6" s="203"/>
      <c r="R6" s="203"/>
      <c r="S6" s="203"/>
      <c r="T6" s="203"/>
      <c r="U6" s="203"/>
      <c r="V6" s="203"/>
      <c r="W6" s="203"/>
      <c r="X6" s="203"/>
      <c r="Y6" s="203"/>
      <c r="Z6" s="203"/>
      <c r="AA6" s="203"/>
      <c r="AB6" s="203"/>
      <c r="AC6" s="203"/>
      <c r="AD6" s="203"/>
      <c r="AE6" s="203"/>
      <c r="AF6" s="203"/>
    </row>
    <row r="7" spans="1:32">
      <c r="B7" s="211"/>
      <c r="C7" s="211"/>
      <c r="G7" s="256" t="s">
        <v>12</v>
      </c>
      <c r="H7" s="211">
        <v>103.95</v>
      </c>
      <c r="I7" s="211">
        <v>119.75</v>
      </c>
      <c r="J7" s="211">
        <v>39.090000000000003</v>
      </c>
      <c r="K7" s="211">
        <v>55.5</v>
      </c>
      <c r="L7" s="211">
        <v>98.19</v>
      </c>
      <c r="M7" s="203"/>
      <c r="N7" s="203"/>
      <c r="O7" s="203"/>
      <c r="P7" s="203"/>
      <c r="Q7" s="203"/>
      <c r="R7" s="203"/>
      <c r="S7" s="203"/>
      <c r="T7" s="203"/>
      <c r="U7" s="203"/>
      <c r="V7" s="203"/>
      <c r="W7" s="203"/>
      <c r="X7" s="203"/>
      <c r="Y7" s="203"/>
      <c r="Z7" s="203"/>
      <c r="AA7" s="203"/>
      <c r="AB7" s="203"/>
      <c r="AC7" s="203"/>
      <c r="AD7" s="203"/>
      <c r="AE7" s="203"/>
      <c r="AF7" s="203"/>
    </row>
    <row r="8" spans="1:32">
      <c r="A8" s="205"/>
      <c r="B8" s="215" t="s">
        <v>253</v>
      </c>
      <c r="C8" s="238">
        <f>K23</f>
        <v>2592.96</v>
      </c>
      <c r="G8" s="256" t="s">
        <v>9</v>
      </c>
      <c r="H8" s="211">
        <v>0.44</v>
      </c>
      <c r="I8" s="211">
        <v>10.75</v>
      </c>
      <c r="J8" s="211">
        <v>23.45</v>
      </c>
      <c r="K8" s="211">
        <v>4.5199999999999996</v>
      </c>
      <c r="L8" s="211">
        <v>1.89</v>
      </c>
      <c r="M8" s="203"/>
      <c r="N8" s="203"/>
      <c r="O8" s="203"/>
      <c r="P8" s="203"/>
      <c r="Q8" s="203"/>
      <c r="R8" s="203"/>
      <c r="S8" s="203"/>
      <c r="T8" s="203"/>
      <c r="U8" s="203"/>
      <c r="V8" s="203"/>
      <c r="W8" s="203"/>
      <c r="X8" s="203"/>
      <c r="Y8" s="203"/>
      <c r="Z8" s="203"/>
      <c r="AA8" s="203"/>
      <c r="AB8" s="203"/>
      <c r="AC8" s="203"/>
      <c r="AD8" s="203"/>
      <c r="AE8" s="203"/>
      <c r="AF8" s="203"/>
    </row>
    <row r="9" spans="1:32">
      <c r="A9" s="205"/>
      <c r="B9" s="219" t="s">
        <v>252</v>
      </c>
      <c r="C9" s="220">
        <f>C8*C3</f>
        <v>299.44991618772309</v>
      </c>
      <c r="G9" s="256" t="s">
        <v>243</v>
      </c>
      <c r="H9" s="211">
        <v>60.27</v>
      </c>
      <c r="I9" s="211">
        <v>71.02</v>
      </c>
      <c r="J9" s="211">
        <v>83.28</v>
      </c>
      <c r="K9" s="211">
        <v>106.03</v>
      </c>
      <c r="L9" s="211">
        <v>152.19999999999999</v>
      </c>
      <c r="M9" s="203"/>
      <c r="N9" s="203"/>
      <c r="O9" s="203"/>
      <c r="P9" s="203"/>
      <c r="Q9" s="203"/>
      <c r="R9" s="203"/>
      <c r="S9" s="203"/>
      <c r="T9" s="203"/>
      <c r="U9" s="203"/>
      <c r="V9" s="203"/>
      <c r="W9" s="203"/>
      <c r="X9" s="203"/>
      <c r="Y9" s="203"/>
      <c r="Z9" s="203"/>
      <c r="AA9" s="203"/>
      <c r="AB9" s="203"/>
      <c r="AC9" s="203"/>
      <c r="AD9" s="203"/>
      <c r="AE9" s="203"/>
      <c r="AF9" s="203"/>
    </row>
    <row r="10" spans="1:32">
      <c r="A10" s="201"/>
      <c r="B10" s="211"/>
      <c r="C10" s="211"/>
      <c r="G10" s="256" t="s">
        <v>244</v>
      </c>
      <c r="H10" s="211">
        <v>0.03</v>
      </c>
      <c r="I10" s="211">
        <v>0</v>
      </c>
      <c r="J10" s="211">
        <v>6.45</v>
      </c>
      <c r="K10" s="211">
        <v>9.9700000000000006</v>
      </c>
      <c r="L10" s="211">
        <v>6.4</v>
      </c>
      <c r="M10" s="203"/>
      <c r="N10" s="203"/>
      <c r="O10" s="203"/>
      <c r="P10" s="203"/>
      <c r="Q10" s="203"/>
      <c r="R10" s="203"/>
      <c r="S10" s="203"/>
      <c r="T10" s="203"/>
      <c r="U10" s="203"/>
      <c r="V10" s="203"/>
      <c r="W10" s="203"/>
      <c r="X10" s="203"/>
      <c r="Y10" s="203"/>
      <c r="Z10" s="203"/>
      <c r="AA10" s="203"/>
      <c r="AB10" s="203"/>
      <c r="AC10" s="203"/>
      <c r="AD10" s="203"/>
      <c r="AE10" s="203"/>
      <c r="AF10" s="203"/>
    </row>
    <row r="11" spans="1:32">
      <c r="A11" s="205"/>
      <c r="B11" s="215" t="s">
        <v>255</v>
      </c>
      <c r="C11" s="224">
        <f>C6-C9</f>
        <v>220.00727251194922</v>
      </c>
      <c r="G11" s="258" t="s">
        <v>246</v>
      </c>
      <c r="H11" s="219">
        <f t="shared" ref="H11:K11" si="0">SUM(H4:H10)</f>
        <v>555.30999999999995</v>
      </c>
      <c r="I11" s="219">
        <f t="shared" si="0"/>
        <v>745.4</v>
      </c>
      <c r="J11" s="219">
        <f>SUM(J4:J10)</f>
        <v>863.18000000000006</v>
      </c>
      <c r="K11" s="219">
        <f t="shared" si="0"/>
        <v>651.22</v>
      </c>
      <c r="L11" s="219">
        <f>SUM(L4:L10)</f>
        <v>1170.76</v>
      </c>
      <c r="M11" s="203"/>
      <c r="N11" s="203"/>
      <c r="O11" s="203"/>
      <c r="P11" s="203"/>
      <c r="Q11" s="203"/>
      <c r="R11" s="203"/>
      <c r="S11" s="203"/>
      <c r="T11" s="203"/>
      <c r="U11" s="203"/>
      <c r="V11" s="203"/>
      <c r="W11" s="203"/>
      <c r="X11" s="203"/>
      <c r="Y11" s="203"/>
      <c r="Z11" s="203"/>
      <c r="AA11" s="203"/>
      <c r="AB11" s="203"/>
      <c r="AC11" s="203"/>
      <c r="AD11" s="203"/>
      <c r="AE11" s="203"/>
      <c r="AF11" s="203"/>
    </row>
    <row r="12" spans="1:32">
      <c r="B12" s="201"/>
      <c r="C12" s="266"/>
      <c r="M12" s="203"/>
      <c r="N12" s="203"/>
      <c r="O12" s="203"/>
      <c r="P12" s="203"/>
      <c r="Q12" s="203"/>
      <c r="R12" s="203"/>
      <c r="S12" s="203"/>
      <c r="T12" s="203"/>
      <c r="U12" s="203"/>
      <c r="V12" s="203"/>
      <c r="W12" s="203"/>
      <c r="X12" s="203"/>
      <c r="Y12" s="203"/>
      <c r="Z12" s="203"/>
      <c r="AA12" s="203"/>
      <c r="AB12" s="203"/>
      <c r="AC12" s="203"/>
      <c r="AD12" s="203"/>
      <c r="AE12" s="203"/>
      <c r="AF12" s="203"/>
    </row>
    <row r="13" spans="1:32">
      <c r="A13" s="205"/>
      <c r="G13" s="257" t="s">
        <v>216</v>
      </c>
      <c r="H13" s="119">
        <f>3.78+204.66</f>
        <v>208.44</v>
      </c>
      <c r="I13" s="211">
        <f>14.3+230.67</f>
        <v>244.97</v>
      </c>
      <c r="J13" s="211">
        <f>18.87+278.78</f>
        <v>297.64999999999998</v>
      </c>
      <c r="K13" s="211">
        <f>9.59+264.98</f>
        <v>274.57</v>
      </c>
      <c r="L13" s="211">
        <v>378.03</v>
      </c>
      <c r="M13" s="203"/>
      <c r="N13" s="203"/>
      <c r="O13" s="203"/>
      <c r="P13" s="203"/>
      <c r="Q13" s="203"/>
      <c r="R13" s="203"/>
      <c r="S13" s="203"/>
      <c r="T13" s="203"/>
      <c r="U13" s="203"/>
      <c r="V13" s="203"/>
      <c r="W13" s="203"/>
      <c r="X13" s="203"/>
      <c r="Y13" s="203"/>
      <c r="Z13" s="203"/>
      <c r="AA13" s="203"/>
      <c r="AB13" s="203"/>
      <c r="AC13" s="203"/>
      <c r="AD13" s="203"/>
      <c r="AE13" s="203"/>
      <c r="AF13" s="203"/>
    </row>
    <row r="14" spans="1:32">
      <c r="E14" s="203"/>
      <c r="F14" s="203"/>
      <c r="G14" s="256" t="s">
        <v>245</v>
      </c>
      <c r="H14" s="256">
        <v>47.96</v>
      </c>
      <c r="I14" s="256">
        <v>171.64</v>
      </c>
      <c r="J14" s="256">
        <v>139.04</v>
      </c>
      <c r="K14" s="256">
        <v>45.04</v>
      </c>
      <c r="L14" s="256">
        <v>85.93</v>
      </c>
      <c r="O14" s="203"/>
      <c r="P14" s="203"/>
      <c r="Q14" s="203"/>
      <c r="R14" s="203"/>
      <c r="S14" s="203"/>
      <c r="T14" s="203"/>
      <c r="U14" s="203"/>
      <c r="V14" s="203"/>
      <c r="W14" s="203"/>
      <c r="X14" s="203"/>
      <c r="Y14" s="203"/>
      <c r="Z14" s="203"/>
      <c r="AA14" s="203"/>
      <c r="AB14" s="203"/>
      <c r="AC14" s="203"/>
      <c r="AD14" s="203"/>
      <c r="AE14" s="203"/>
      <c r="AF14" s="203"/>
    </row>
    <row r="15" spans="1:32">
      <c r="B15" s="442" t="s">
        <v>220</v>
      </c>
      <c r="C15" s="442"/>
      <c r="D15" s="442"/>
      <c r="E15" s="208"/>
      <c r="F15" s="208"/>
      <c r="G15" s="256" t="s">
        <v>241</v>
      </c>
      <c r="H15" s="211">
        <v>43.15</v>
      </c>
      <c r="I15" s="211">
        <v>51.33</v>
      </c>
      <c r="J15" s="211">
        <v>41.28</v>
      </c>
      <c r="K15" s="211">
        <v>46.17</v>
      </c>
      <c r="L15" s="211">
        <v>71.900000000000006</v>
      </c>
      <c r="O15" s="203"/>
      <c r="P15" s="203"/>
      <c r="Q15" s="203"/>
      <c r="R15" s="203"/>
      <c r="S15" s="203"/>
      <c r="T15" s="203"/>
      <c r="U15" s="203"/>
      <c r="V15" s="203"/>
      <c r="W15" s="203"/>
      <c r="X15" s="203"/>
      <c r="Y15" s="203"/>
      <c r="Z15" s="203"/>
      <c r="AA15" s="203"/>
      <c r="AB15" s="203"/>
      <c r="AC15" s="203"/>
      <c r="AD15" s="203"/>
      <c r="AE15" s="203"/>
      <c r="AF15" s="203"/>
    </row>
    <row r="16" spans="1:32">
      <c r="B16" s="52" t="s">
        <v>104</v>
      </c>
      <c r="C16" s="233" t="s">
        <v>218</v>
      </c>
      <c r="D16" s="233" t="s">
        <v>219</v>
      </c>
      <c r="E16" s="83"/>
      <c r="F16" s="83"/>
      <c r="G16" s="256" t="s">
        <v>242</v>
      </c>
      <c r="H16" s="211">
        <v>6.69</v>
      </c>
      <c r="I16" s="211">
        <v>5.89</v>
      </c>
      <c r="J16" s="211">
        <v>2.0699999999999998</v>
      </c>
      <c r="K16" s="211">
        <v>2.77</v>
      </c>
      <c r="L16" s="211">
        <v>6.03</v>
      </c>
      <c r="M16" s="203"/>
      <c r="N16" s="203"/>
      <c r="O16" s="203"/>
      <c r="P16" s="203"/>
      <c r="Q16" s="203"/>
      <c r="R16" s="203"/>
      <c r="S16" s="203"/>
      <c r="T16" s="203"/>
      <c r="U16" s="203"/>
      <c r="V16" s="203"/>
      <c r="W16" s="203"/>
      <c r="X16" s="203"/>
      <c r="Y16" s="203"/>
      <c r="Z16" s="203"/>
      <c r="AA16" s="203"/>
      <c r="AB16" s="203"/>
      <c r="AC16" s="203"/>
      <c r="AD16" s="203"/>
      <c r="AE16" s="203"/>
      <c r="AF16" s="203"/>
    </row>
    <row r="17" spans="2:32">
      <c r="B17" s="75" t="s">
        <v>109</v>
      </c>
      <c r="C17" s="234">
        <v>467.91</v>
      </c>
      <c r="D17" s="236">
        <v>0.46389999999999998</v>
      </c>
      <c r="E17" s="210"/>
      <c r="F17" s="210"/>
      <c r="G17" s="258" t="s">
        <v>247</v>
      </c>
      <c r="H17" s="219">
        <f>SUM(H13:H16)</f>
        <v>306.23999999999995</v>
      </c>
      <c r="I17" s="219">
        <f>SUM(I13:I16)</f>
        <v>473.83</v>
      </c>
      <c r="J17" s="219">
        <f>SUM(J13:J16)</f>
        <v>480.03999999999991</v>
      </c>
      <c r="K17" s="219">
        <f>SUM(K13:K16)</f>
        <v>368.55</v>
      </c>
      <c r="L17" s="219">
        <f>SUM(L13:L16)</f>
        <v>541.89</v>
      </c>
      <c r="M17" s="203"/>
      <c r="N17" s="203"/>
      <c r="O17" s="203"/>
      <c r="P17" s="203"/>
      <c r="Q17" s="203"/>
      <c r="R17" s="203"/>
      <c r="S17" s="203"/>
      <c r="T17" s="203"/>
      <c r="U17" s="203"/>
      <c r="V17" s="203"/>
      <c r="W17" s="203"/>
      <c r="X17" s="203"/>
      <c r="Y17" s="203"/>
      <c r="Z17" s="203"/>
      <c r="AA17" s="203"/>
      <c r="AB17" s="203"/>
      <c r="AC17" s="203"/>
      <c r="AD17" s="203"/>
      <c r="AE17" s="203"/>
      <c r="AF17" s="203"/>
    </row>
    <row r="18" spans="2:32">
      <c r="B18" s="75" t="s">
        <v>112</v>
      </c>
      <c r="C18" s="234">
        <v>275.45999999999998</v>
      </c>
      <c r="D18" s="236">
        <v>3.39E-2</v>
      </c>
      <c r="M18" s="203"/>
      <c r="N18" s="203"/>
      <c r="O18" s="203"/>
      <c r="P18" s="203"/>
      <c r="Q18" s="203"/>
      <c r="R18" s="203"/>
      <c r="S18" s="203"/>
      <c r="T18" s="203"/>
      <c r="U18" s="203"/>
      <c r="V18" s="203"/>
      <c r="W18" s="203"/>
      <c r="X18" s="203"/>
      <c r="Y18" s="203"/>
      <c r="Z18" s="203"/>
      <c r="AA18" s="203"/>
      <c r="AB18" s="203"/>
      <c r="AC18" s="203"/>
      <c r="AD18" s="203"/>
      <c r="AE18" s="203"/>
      <c r="AF18" s="203"/>
    </row>
    <row r="19" spans="2:32">
      <c r="B19" s="75" t="s">
        <v>114</v>
      </c>
      <c r="C19" s="234">
        <v>247.57</v>
      </c>
      <c r="D19" s="236">
        <v>0.18440000000000001</v>
      </c>
      <c r="G19" s="258" t="s">
        <v>217</v>
      </c>
      <c r="H19" s="259">
        <f>H11-H17</f>
        <v>249.07</v>
      </c>
      <c r="I19" s="259">
        <f>I11-I17</f>
        <v>271.57</v>
      </c>
      <c r="J19" s="259">
        <f>J11-J17</f>
        <v>383.14000000000016</v>
      </c>
      <c r="K19" s="259">
        <f>K11-K17</f>
        <v>282.67</v>
      </c>
      <c r="L19" s="259">
        <f>L11-L17</f>
        <v>628.87</v>
      </c>
      <c r="M19" s="203"/>
      <c r="N19" s="203"/>
      <c r="O19" s="203"/>
      <c r="P19" s="203"/>
      <c r="Q19" s="203"/>
      <c r="R19" s="203"/>
      <c r="S19" s="203"/>
      <c r="T19" s="203"/>
      <c r="U19" s="203"/>
      <c r="V19" s="203"/>
      <c r="W19" s="203"/>
      <c r="X19" s="203"/>
      <c r="Y19" s="203"/>
      <c r="Z19" s="203"/>
      <c r="AA19" s="203"/>
      <c r="AB19" s="203"/>
      <c r="AC19" s="203"/>
      <c r="AD19" s="203"/>
      <c r="AE19" s="203"/>
      <c r="AF19" s="203"/>
    </row>
    <row r="20" spans="2:32">
      <c r="B20" s="75" t="s">
        <v>117</v>
      </c>
      <c r="C20" s="234">
        <v>377.65</v>
      </c>
      <c r="D20" s="236">
        <v>0.22670000000000001</v>
      </c>
      <c r="E20" s="245"/>
      <c r="G20" s="211"/>
      <c r="H20" s="211"/>
      <c r="I20" s="211"/>
      <c r="J20" s="211"/>
      <c r="K20" s="211"/>
      <c r="L20" s="211"/>
      <c r="M20" s="203"/>
      <c r="N20" s="203"/>
      <c r="O20" s="203"/>
      <c r="P20" s="203"/>
      <c r="Q20" s="203"/>
      <c r="R20" s="203"/>
      <c r="S20" s="203"/>
      <c r="T20" s="203"/>
      <c r="U20" s="203"/>
      <c r="V20" s="203"/>
      <c r="W20" s="203"/>
      <c r="X20" s="203"/>
      <c r="Y20" s="203"/>
      <c r="Z20" s="203"/>
      <c r="AA20" s="203"/>
      <c r="AB20" s="203"/>
      <c r="AC20" s="203"/>
      <c r="AD20" s="203"/>
      <c r="AE20" s="203"/>
      <c r="AF20" s="203"/>
    </row>
    <row r="21" spans="2:32">
      <c r="B21" s="75" t="s">
        <v>118</v>
      </c>
      <c r="C21" s="234">
        <v>-402.78</v>
      </c>
      <c r="D21" s="236">
        <v>-0.15989999999999999</v>
      </c>
      <c r="G21" s="233" t="s">
        <v>248</v>
      </c>
      <c r="H21" s="262"/>
      <c r="I21" s="265">
        <f t="shared" ref="I21:K21" si="1">I19-H19</f>
        <v>22.5</v>
      </c>
      <c r="J21" s="265">
        <f t="shared" si="1"/>
        <v>111.57000000000016</v>
      </c>
      <c r="K21" s="265">
        <f t="shared" si="1"/>
        <v>-100.47000000000014</v>
      </c>
      <c r="L21" s="265">
        <f>L19-K19</f>
        <v>346.2</v>
      </c>
      <c r="M21" s="203"/>
      <c r="N21" s="203"/>
      <c r="O21" s="203"/>
      <c r="P21" s="203"/>
      <c r="Q21" s="203"/>
      <c r="R21" s="203"/>
      <c r="S21" s="203"/>
      <c r="T21" s="203"/>
      <c r="U21" s="203"/>
      <c r="V21" s="203"/>
      <c r="W21" s="203"/>
      <c r="X21" s="203"/>
      <c r="Y21" s="203"/>
      <c r="Z21" s="203"/>
      <c r="AA21" s="203"/>
      <c r="AB21" s="203"/>
      <c r="AC21" s="203"/>
      <c r="AD21" s="203"/>
      <c r="AE21" s="203"/>
      <c r="AF21" s="203"/>
    </row>
    <row r="22" spans="2:32">
      <c r="B22" s="75" t="s">
        <v>120</v>
      </c>
      <c r="C22" s="234">
        <v>354.65</v>
      </c>
      <c r="D22" s="236">
        <v>0.11600000000000001</v>
      </c>
      <c r="G22" s="211"/>
      <c r="H22" s="211"/>
      <c r="I22" s="211"/>
      <c r="J22" s="211"/>
      <c r="K22" s="211"/>
      <c r="L22" s="211"/>
      <c r="M22" s="267"/>
      <c r="N22" s="203"/>
      <c r="O22" s="203"/>
      <c r="P22" s="203"/>
      <c r="Q22" s="203"/>
      <c r="R22" s="203"/>
      <c r="S22" s="203"/>
      <c r="T22" s="203"/>
      <c r="U22" s="203"/>
      <c r="V22" s="203"/>
      <c r="W22" s="203"/>
      <c r="X22" s="203"/>
      <c r="Y22" s="203"/>
      <c r="Z22" s="203"/>
      <c r="AA22" s="203"/>
      <c r="AB22" s="203"/>
      <c r="AC22" s="203"/>
      <c r="AD22" s="203"/>
      <c r="AE22" s="203"/>
      <c r="AF22" s="203"/>
    </row>
    <row r="23" spans="2:32">
      <c r="B23" s="75" t="s">
        <v>122</v>
      </c>
      <c r="C23" s="234">
        <v>-56.33</v>
      </c>
      <c r="D23" s="236">
        <v>-1.7500000000000002E-2</v>
      </c>
      <c r="G23" s="256" t="s">
        <v>7</v>
      </c>
      <c r="H23" s="211">
        <v>2157.46</v>
      </c>
      <c r="I23" s="211">
        <v>2630.24</v>
      </c>
      <c r="J23" s="211">
        <v>3485.98</v>
      </c>
      <c r="K23" s="211">
        <v>2592.96</v>
      </c>
      <c r="L23" s="211">
        <v>4498.0200000000004</v>
      </c>
      <c r="M23" s="203"/>
      <c r="N23" s="203"/>
      <c r="O23" s="203"/>
      <c r="P23" s="203"/>
      <c r="Q23" s="203"/>
      <c r="R23" s="203"/>
      <c r="S23" s="203"/>
      <c r="T23" s="203"/>
      <c r="U23" s="203"/>
      <c r="V23" s="203"/>
      <c r="W23" s="203"/>
      <c r="X23" s="203"/>
      <c r="Y23" s="203"/>
      <c r="Z23" s="203"/>
      <c r="AA23" s="203"/>
      <c r="AB23" s="203"/>
      <c r="AC23" s="203"/>
      <c r="AD23" s="203"/>
      <c r="AE23" s="203"/>
      <c r="AF23" s="203"/>
    </row>
    <row r="24" spans="2:32">
      <c r="B24" s="75" t="s">
        <v>124</v>
      </c>
      <c r="C24" s="234">
        <v>156.38999999999999</v>
      </c>
      <c r="D24" s="236">
        <v>0.2485</v>
      </c>
      <c r="G24" s="212" t="s">
        <v>240</v>
      </c>
      <c r="H24" s="236">
        <f>H19/H23</f>
        <v>0.11544594106032093</v>
      </c>
      <c r="I24" s="236">
        <f>I19/I23</f>
        <v>0.10324913315895128</v>
      </c>
      <c r="J24" s="236">
        <f>J19/J23</f>
        <v>0.10990883481832947</v>
      </c>
      <c r="K24" s="236">
        <f>K19/K23</f>
        <v>0.1090144082438603</v>
      </c>
      <c r="L24" s="236">
        <f>L19/L23</f>
        <v>0.13981040546729448</v>
      </c>
      <c r="M24" s="203"/>
      <c r="N24" s="203"/>
      <c r="O24" s="203"/>
      <c r="P24" s="203"/>
      <c r="Q24" s="203"/>
      <c r="R24" s="203"/>
      <c r="S24" s="203"/>
      <c r="T24" s="203"/>
      <c r="U24" s="203"/>
      <c r="V24" s="203"/>
      <c r="W24" s="203"/>
      <c r="X24" s="203"/>
      <c r="Y24" s="203"/>
      <c r="Z24" s="203"/>
      <c r="AA24" s="203"/>
      <c r="AB24" s="203"/>
      <c r="AC24" s="203"/>
      <c r="AD24" s="203"/>
      <c r="AE24" s="203"/>
      <c r="AF24" s="203"/>
    </row>
    <row r="25" spans="2:32">
      <c r="B25" s="443" t="s">
        <v>220</v>
      </c>
      <c r="C25" s="443"/>
      <c r="D25" s="237">
        <f>AVERAGE(D17:D24)</f>
        <v>0.13699999999999998</v>
      </c>
      <c r="K25" s="226" t="s">
        <v>254</v>
      </c>
      <c r="L25" s="263">
        <f>AVERAGE(H24:L24)</f>
        <v>0.11548574454975129</v>
      </c>
      <c r="M25" s="203"/>
      <c r="N25" s="203"/>
      <c r="O25" s="203"/>
      <c r="P25" s="203"/>
      <c r="Q25" s="203"/>
      <c r="R25" s="203"/>
      <c r="S25" s="203"/>
      <c r="T25" s="203"/>
      <c r="U25" s="203"/>
      <c r="V25" s="203"/>
      <c r="W25" s="203"/>
      <c r="X25" s="203"/>
      <c r="Y25" s="203"/>
      <c r="Z25" s="203"/>
      <c r="AA25" s="203"/>
      <c r="AB25" s="203"/>
      <c r="AC25" s="203"/>
      <c r="AD25" s="203"/>
      <c r="AE25" s="203"/>
      <c r="AF25" s="203"/>
    </row>
    <row r="26" spans="2:32">
      <c r="M26" s="203"/>
      <c r="N26" s="203"/>
      <c r="O26" s="203"/>
      <c r="P26" s="203"/>
      <c r="Q26" s="203"/>
      <c r="R26" s="203"/>
      <c r="S26" s="203"/>
      <c r="T26" s="203"/>
      <c r="U26" s="203"/>
      <c r="V26" s="203"/>
      <c r="W26" s="203"/>
      <c r="X26" s="203"/>
      <c r="Y26" s="203"/>
      <c r="Z26" s="203"/>
      <c r="AA26" s="203"/>
      <c r="AB26" s="203"/>
      <c r="AC26" s="203"/>
      <c r="AD26" s="203"/>
      <c r="AE26" s="203"/>
      <c r="AF26" s="203"/>
    </row>
    <row r="27" spans="2:32">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2:32">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2:32">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2:32" ht="14.25" customHeight="1">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2:32">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2:32">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mergeCells count="2">
    <mergeCell ref="B15:D15"/>
    <mergeCell ref="B25:C25"/>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29.28515625" style="198" customWidth="1"/>
    <col min="3" max="3" width="11.7109375" style="198" customWidth="1"/>
    <col min="4" max="4" width="4.85546875" style="198" customWidth="1"/>
    <col min="5" max="5" width="10.140625" style="198" customWidth="1"/>
    <col min="6" max="6" width="32.42578125" style="198" customWidth="1"/>
    <col min="7" max="7" width="10.28515625" style="198" customWidth="1" collapsed="1"/>
    <col min="8" max="8" width="5.42578125" style="198" customWidth="1"/>
    <col min="9" max="9" width="5" style="198" customWidth="1"/>
    <col min="10" max="10" width="31.57031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238</v>
      </c>
      <c r="C1" s="196"/>
      <c r="D1" s="196"/>
      <c r="E1" s="196"/>
      <c r="F1" s="196"/>
      <c r="G1" s="196"/>
      <c r="H1" s="196"/>
      <c r="I1" s="196"/>
      <c r="J1" s="196"/>
      <c r="K1" s="196"/>
      <c r="L1" s="196"/>
    </row>
    <row r="2" spans="1:32" ht="12.75" customHeight="1">
      <c r="C2" s="226"/>
    </row>
    <row r="3" spans="1:32" ht="15.75">
      <c r="A3" s="200"/>
      <c r="B3" s="229" t="str">
        <f>F14</f>
        <v>Free Cash Flow to Firm (FCFF)</v>
      </c>
      <c r="C3" s="252">
        <f>G14</f>
        <v>302.51727197744844</v>
      </c>
      <c r="F3" s="179" t="s">
        <v>221</v>
      </c>
      <c r="G3" s="211"/>
      <c r="J3" s="179" t="s">
        <v>226</v>
      </c>
      <c r="K3" s="211"/>
      <c r="L3" s="208"/>
    </row>
    <row r="4" spans="1:32" ht="15">
      <c r="A4" s="205"/>
      <c r="F4" s="223"/>
      <c r="G4" s="255" t="s">
        <v>180</v>
      </c>
      <c r="J4" s="223"/>
      <c r="K4" s="254" t="s">
        <v>180</v>
      </c>
      <c r="L4" s="83"/>
      <c r="O4" s="202"/>
      <c r="Q4" s="202"/>
      <c r="R4" s="202"/>
      <c r="S4" s="202"/>
      <c r="T4" s="202"/>
      <c r="U4" s="202"/>
      <c r="V4" s="202"/>
      <c r="AA4" s="202"/>
    </row>
    <row r="5" spans="1:32">
      <c r="A5" s="205"/>
      <c r="B5" s="251" t="str">
        <f>J17</f>
        <v>Free Cash Flow to Equity (FCFE)</v>
      </c>
      <c r="C5" s="253">
        <f>K17</f>
        <v>317.48514797744849</v>
      </c>
      <c r="F5" s="215" t="str">
        <f>'EBIT &amp; Operating Lease'!B15</f>
        <v>Adjusted EBIT</v>
      </c>
      <c r="G5" s="230">
        <f>'EBIT &amp; Advertising Expense'!C11</f>
        <v>790.98957350426838</v>
      </c>
      <c r="J5" s="215" t="str">
        <f>F5</f>
        <v>Adjusted EBIT</v>
      </c>
      <c r="K5" s="216">
        <f>G5</f>
        <v>790.98957350426838</v>
      </c>
      <c r="L5" s="210"/>
      <c r="O5" s="203"/>
      <c r="P5" s="203"/>
      <c r="Q5" s="203"/>
      <c r="R5" s="203"/>
      <c r="S5" s="203"/>
      <c r="T5" s="203"/>
      <c r="U5" s="203"/>
      <c r="V5" s="203"/>
      <c r="W5" s="203"/>
      <c r="X5" s="203"/>
      <c r="Y5" s="203"/>
      <c r="Z5" s="203"/>
      <c r="AA5" s="203"/>
      <c r="AB5" s="203"/>
      <c r="AC5" s="203"/>
      <c r="AD5" s="203"/>
      <c r="AE5" s="203"/>
      <c r="AF5" s="203"/>
    </row>
    <row r="6" spans="1:32">
      <c r="A6" s="205"/>
      <c r="F6" s="215" t="str">
        <f>Beta!B14</f>
        <v>Effective Tax Rate (Trent Ltd)</v>
      </c>
      <c r="G6" s="247">
        <f>Beta!C14</f>
        <v>0.22739999999999999</v>
      </c>
      <c r="J6" s="213" t="s">
        <v>227</v>
      </c>
      <c r="K6" s="216">
        <f>304.74</f>
        <v>304.74</v>
      </c>
      <c r="O6" s="203"/>
      <c r="P6" s="203"/>
      <c r="Q6" s="203"/>
      <c r="R6" s="203"/>
      <c r="S6" s="203"/>
      <c r="T6" s="203"/>
      <c r="U6" s="203"/>
      <c r="V6" s="203"/>
      <c r="W6" s="203"/>
      <c r="X6" s="203"/>
      <c r="Y6" s="203"/>
      <c r="Z6" s="203"/>
      <c r="AA6" s="203"/>
      <c r="AB6" s="203"/>
      <c r="AC6" s="203"/>
      <c r="AD6" s="203"/>
      <c r="AE6" s="203"/>
      <c r="AF6" s="203"/>
    </row>
    <row r="7" spans="1:32">
      <c r="F7" s="213"/>
      <c r="G7" s="239"/>
      <c r="J7" s="217" t="s">
        <v>228</v>
      </c>
      <c r="K7" s="218">
        <f>K5-K6</f>
        <v>486.24957350426837</v>
      </c>
      <c r="O7" s="203"/>
      <c r="P7" s="203"/>
      <c r="Q7" s="203"/>
      <c r="R7" s="203"/>
      <c r="S7" s="203"/>
      <c r="T7" s="203"/>
      <c r="U7" s="203"/>
      <c r="V7" s="203"/>
      <c r="W7" s="203"/>
      <c r="X7" s="203"/>
      <c r="Y7" s="203"/>
      <c r="Z7" s="203"/>
      <c r="AA7" s="203"/>
      <c r="AB7" s="203"/>
      <c r="AC7" s="203"/>
      <c r="AD7" s="203"/>
      <c r="AE7" s="203"/>
      <c r="AF7" s="203"/>
    </row>
    <row r="8" spans="1:32">
      <c r="A8" s="205"/>
      <c r="F8" s="215" t="s">
        <v>222</v>
      </c>
      <c r="G8" s="216">
        <f>G5*(1-G6)</f>
        <v>611.11854448939766</v>
      </c>
      <c r="H8" s="206"/>
      <c r="J8" s="229" t="s">
        <v>229</v>
      </c>
      <c r="K8" s="250">
        <f>'FCFF &amp; FCFE'!G6</f>
        <v>0.22739999999999999</v>
      </c>
      <c r="O8" s="203"/>
      <c r="P8" s="203"/>
      <c r="Q8" s="203"/>
      <c r="R8" s="203"/>
      <c r="S8" s="203"/>
      <c r="T8" s="203"/>
      <c r="U8" s="203"/>
      <c r="V8" s="203"/>
      <c r="W8" s="203"/>
      <c r="X8" s="203"/>
      <c r="Y8" s="203"/>
      <c r="Z8" s="203"/>
      <c r="AA8" s="203"/>
      <c r="AB8" s="203"/>
      <c r="AC8" s="203"/>
      <c r="AD8" s="203"/>
      <c r="AE8" s="203"/>
      <c r="AF8" s="203"/>
    </row>
    <row r="9" spans="1:32">
      <c r="A9" s="205"/>
      <c r="F9" s="229"/>
      <c r="G9" s="240"/>
      <c r="J9" s="219" t="s">
        <v>230</v>
      </c>
      <c r="K9" s="220">
        <f>K7*(1-K8)</f>
        <v>375.67642048939774</v>
      </c>
      <c r="O9" s="203"/>
      <c r="P9" s="203"/>
      <c r="Q9" s="203"/>
      <c r="R9" s="203"/>
      <c r="S9" s="203"/>
      <c r="T9" s="203"/>
      <c r="U9" s="203"/>
      <c r="V9" s="203"/>
      <c r="W9" s="203"/>
      <c r="X9" s="203"/>
      <c r="Y9" s="203"/>
      <c r="Z9" s="203"/>
      <c r="AA9" s="203"/>
      <c r="AB9" s="203"/>
      <c r="AC9" s="203"/>
      <c r="AD9" s="203"/>
      <c r="AE9" s="203"/>
      <c r="AF9" s="203"/>
    </row>
    <row r="10" spans="1:32">
      <c r="A10" s="201"/>
      <c r="F10" s="215" t="str">
        <f>'Net CapEx'!B9</f>
        <v>Adjusted Net Capital Expenditures</v>
      </c>
      <c r="G10" s="216">
        <f>'Net CapEx'!C9</f>
        <v>88.594000000000008</v>
      </c>
      <c r="J10" s="211"/>
      <c r="K10" s="211"/>
      <c r="O10" s="203"/>
      <c r="P10" s="203"/>
      <c r="Q10" s="203"/>
      <c r="R10" s="203"/>
      <c r="S10" s="203"/>
      <c r="T10" s="203"/>
      <c r="U10" s="203"/>
      <c r="V10" s="203"/>
      <c r="W10" s="203"/>
      <c r="X10" s="203"/>
      <c r="Y10" s="203"/>
      <c r="Z10" s="203"/>
      <c r="AA10" s="203"/>
      <c r="AB10" s="203"/>
      <c r="AC10" s="203"/>
      <c r="AD10" s="203"/>
      <c r="AE10" s="203"/>
      <c r="AF10" s="203"/>
    </row>
    <row r="11" spans="1:32">
      <c r="A11" s="205"/>
      <c r="F11" s="215" t="str">
        <f>'Working Capital Changes'!B11</f>
        <v>Adj Change in Non Cash WC</v>
      </c>
      <c r="G11" s="216">
        <f>'Working Capital Changes'!C11</f>
        <v>220.00727251194922</v>
      </c>
      <c r="J11" s="215" t="str">
        <f>F12</f>
        <v>Reinvestment</v>
      </c>
      <c r="K11" s="216">
        <f>G12</f>
        <v>308.60127251194922</v>
      </c>
      <c r="O11" s="203"/>
      <c r="P11" s="203"/>
      <c r="Q11" s="203"/>
      <c r="R11" s="203"/>
      <c r="S11" s="203"/>
      <c r="T11" s="203"/>
      <c r="U11" s="203"/>
      <c r="V11" s="203"/>
      <c r="W11" s="203"/>
      <c r="X11" s="203"/>
      <c r="Y11" s="203"/>
      <c r="Z11" s="203"/>
      <c r="AA11" s="203"/>
      <c r="AB11" s="203"/>
      <c r="AC11" s="203"/>
      <c r="AD11" s="203"/>
      <c r="AE11" s="203"/>
      <c r="AF11" s="203"/>
    </row>
    <row r="12" spans="1:32">
      <c r="F12" s="219" t="s">
        <v>225</v>
      </c>
      <c r="G12" s="249">
        <f>G10+G11</f>
        <v>308.60127251194922</v>
      </c>
      <c r="J12" s="215"/>
      <c r="K12" s="188"/>
      <c r="O12" s="203"/>
      <c r="P12" s="203"/>
      <c r="Q12" s="203"/>
      <c r="R12" s="203"/>
      <c r="S12" s="203"/>
      <c r="T12" s="203"/>
      <c r="U12" s="203"/>
      <c r="V12" s="203"/>
      <c r="W12" s="203"/>
      <c r="X12" s="203"/>
      <c r="Y12" s="203"/>
      <c r="Z12" s="203"/>
      <c r="AA12" s="203"/>
      <c r="AB12" s="203"/>
      <c r="AC12" s="203"/>
      <c r="AD12" s="203"/>
      <c r="AE12" s="203"/>
      <c r="AF12" s="203"/>
    </row>
    <row r="13" spans="1:32">
      <c r="A13" s="205"/>
      <c r="B13" s="201"/>
      <c r="C13" s="246"/>
      <c r="F13" s="211"/>
      <c r="G13" s="211"/>
      <c r="J13" s="215" t="s">
        <v>231</v>
      </c>
      <c r="K13" s="216">
        <f>300.9</f>
        <v>300.89999999999998</v>
      </c>
      <c r="O13" s="203"/>
      <c r="P13" s="203"/>
      <c r="Q13" s="203"/>
      <c r="R13" s="203"/>
      <c r="S13" s="203"/>
      <c r="T13" s="203"/>
      <c r="U13" s="203"/>
      <c r="V13" s="203"/>
      <c r="W13" s="203"/>
      <c r="X13" s="203"/>
      <c r="Y13" s="203"/>
      <c r="Z13" s="203"/>
      <c r="AA13" s="203"/>
      <c r="AB13" s="203"/>
      <c r="AC13" s="203"/>
      <c r="AD13" s="203"/>
      <c r="AE13" s="203"/>
      <c r="AF13" s="203"/>
    </row>
    <row r="14" spans="1:32">
      <c r="D14" s="203"/>
      <c r="E14" s="203"/>
      <c r="F14" s="215" t="s">
        <v>224</v>
      </c>
      <c r="G14" s="224">
        <f>G8-G12</f>
        <v>302.51727197744844</v>
      </c>
      <c r="H14" s="203"/>
      <c r="J14" s="215" t="s">
        <v>232</v>
      </c>
      <c r="K14" s="216">
        <v>551.30999999999995</v>
      </c>
      <c r="O14" s="203"/>
      <c r="P14" s="203"/>
      <c r="Q14" s="203"/>
      <c r="R14" s="203"/>
      <c r="S14" s="203"/>
      <c r="T14" s="203"/>
      <c r="U14" s="203"/>
      <c r="V14" s="203"/>
      <c r="W14" s="203"/>
      <c r="X14" s="203"/>
      <c r="Y14" s="203"/>
      <c r="Z14" s="203"/>
      <c r="AA14" s="203"/>
      <c r="AB14" s="203"/>
      <c r="AC14" s="203"/>
      <c r="AD14" s="203"/>
      <c r="AE14" s="203"/>
      <c r="AF14" s="203"/>
    </row>
    <row r="15" spans="1:32">
      <c r="E15" s="208"/>
      <c r="F15" s="208"/>
      <c r="J15" s="219" t="s">
        <v>234</v>
      </c>
      <c r="K15" s="220">
        <f>K14-K13</f>
        <v>250.40999999999997</v>
      </c>
      <c r="O15" s="203"/>
      <c r="P15" s="203"/>
      <c r="Q15" s="203"/>
      <c r="R15" s="203"/>
      <c r="S15" s="203"/>
      <c r="T15" s="203"/>
      <c r="U15" s="203"/>
      <c r="V15" s="203"/>
      <c r="W15" s="203"/>
      <c r="X15" s="203"/>
      <c r="Y15" s="203"/>
      <c r="Z15" s="203"/>
      <c r="AA15" s="203"/>
      <c r="AB15" s="203"/>
      <c r="AC15" s="203"/>
      <c r="AD15" s="203"/>
      <c r="AE15" s="203"/>
      <c r="AF15" s="203"/>
    </row>
    <row r="16" spans="1:32">
      <c r="E16" s="83"/>
      <c r="F16" s="83"/>
      <c r="J16" s="211"/>
      <c r="K16" s="211"/>
      <c r="O16" s="203"/>
      <c r="P16" s="203"/>
      <c r="Q16" s="203"/>
      <c r="R16" s="203"/>
      <c r="S16" s="203"/>
      <c r="T16" s="203"/>
      <c r="U16" s="203"/>
      <c r="V16" s="203"/>
      <c r="W16" s="203"/>
      <c r="X16" s="203"/>
      <c r="Y16" s="203"/>
      <c r="Z16" s="203"/>
      <c r="AA16" s="203"/>
      <c r="AB16" s="203"/>
      <c r="AC16" s="203"/>
      <c r="AD16" s="203"/>
      <c r="AE16" s="203"/>
      <c r="AF16" s="203"/>
    </row>
    <row r="17" spans="1:32">
      <c r="E17" s="210"/>
      <c r="F17" s="210"/>
      <c r="J17" s="215" t="s">
        <v>233</v>
      </c>
      <c r="K17" s="224">
        <f>K9-K11+K15</f>
        <v>317.48514797744849</v>
      </c>
      <c r="L17" s="203"/>
      <c r="O17" s="203"/>
      <c r="P17" s="203"/>
      <c r="Q17" s="203"/>
      <c r="R17" s="203"/>
      <c r="S17" s="203"/>
      <c r="T17" s="203"/>
      <c r="U17" s="203"/>
      <c r="V17" s="203"/>
      <c r="W17" s="203"/>
      <c r="X17" s="203"/>
      <c r="Y17" s="203"/>
      <c r="Z17" s="203"/>
      <c r="AA17" s="203"/>
      <c r="AB17" s="203"/>
      <c r="AC17" s="203"/>
      <c r="AD17" s="203"/>
      <c r="AE17" s="203"/>
      <c r="AF17" s="203"/>
    </row>
    <row r="18" spans="1:32">
      <c r="A18" s="205" t="s">
        <v>98</v>
      </c>
      <c r="G18" s="244"/>
      <c r="H18" s="245"/>
      <c r="I18" s="245"/>
      <c r="J18" s="24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G19" s="50"/>
      <c r="H19" s="50"/>
      <c r="I19" s="207"/>
      <c r="J19" s="207"/>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G20" s="121"/>
      <c r="H20" s="121"/>
      <c r="I20" s="232"/>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G21" s="121"/>
      <c r="H21" s="121"/>
      <c r="I21" s="232"/>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241"/>
      <c r="G22" s="121"/>
      <c r="H22" s="121"/>
      <c r="I22" s="232"/>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c r="F23" s="248"/>
      <c r="G23" s="121"/>
      <c r="H23" s="121"/>
      <c r="I23" s="232"/>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G24" s="121"/>
      <c r="H24" s="121"/>
      <c r="I24" s="232"/>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G25" s="121"/>
      <c r="H25" s="121"/>
      <c r="I25" s="232"/>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G26" s="121"/>
      <c r="H26" s="121"/>
      <c r="I26" s="232"/>
      <c r="J26" s="235"/>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G27" s="121"/>
      <c r="H27" s="121"/>
      <c r="I27" s="232"/>
      <c r="J27" s="235"/>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G28" s="243"/>
      <c r="H28" s="243"/>
      <c r="I28" s="243"/>
      <c r="J28" s="242"/>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8" t="s">
        <v>278</v>
      </c>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29.28515625" style="198" customWidth="1"/>
    <col min="3" max="3" width="11.7109375" style="198" customWidth="1"/>
    <col min="4" max="4" width="4.85546875" style="198" customWidth="1"/>
    <col min="5" max="5" width="10.140625" style="198" customWidth="1"/>
    <col min="6" max="6" width="29.5703125" style="198" customWidth="1"/>
    <col min="7" max="7" width="20.710937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256</v>
      </c>
      <c r="C1" s="196"/>
      <c r="D1" s="196"/>
      <c r="E1" s="196"/>
      <c r="F1" s="196"/>
      <c r="G1" s="196"/>
      <c r="H1" s="196"/>
      <c r="I1" s="196"/>
      <c r="J1" s="196"/>
      <c r="K1" s="196"/>
      <c r="L1" s="196"/>
    </row>
    <row r="2" spans="1:32" ht="12" customHeight="1">
      <c r="C2" s="226"/>
    </row>
    <row r="3" spans="1:32" ht="12" customHeight="1">
      <c r="A3" s="200"/>
      <c r="B3" s="229" t="s">
        <v>260</v>
      </c>
      <c r="C3" s="269">
        <f>'FCFF &amp; FCFE'!G12/'FCFF &amp; FCFE'!G8</f>
        <v>0.50497775807113177</v>
      </c>
      <c r="F3" s="442" t="s">
        <v>220</v>
      </c>
      <c r="G3" s="442"/>
      <c r="H3" s="244"/>
      <c r="J3" s="303"/>
      <c r="L3" s="208"/>
    </row>
    <row r="4" spans="1:32" ht="12" customHeight="1">
      <c r="A4" s="205"/>
      <c r="B4" s="215" t="s">
        <v>261</v>
      </c>
      <c r="C4" s="95">
        <f>'FCFF &amp; FCFE'!G8/(WACC!F9+WACC!F10-(526.33+82.16+4.21))</f>
        <v>8.9392126313838249E-2</v>
      </c>
      <c r="F4" s="52" t="s">
        <v>104</v>
      </c>
      <c r="G4" s="233" t="s">
        <v>283</v>
      </c>
      <c r="H4" s="207"/>
      <c r="J4" s="225"/>
      <c r="K4" s="304"/>
      <c r="L4" s="83"/>
      <c r="O4" s="202"/>
      <c r="Q4" s="202"/>
      <c r="R4" s="202"/>
      <c r="S4" s="202"/>
      <c r="T4" s="202"/>
      <c r="U4" s="202"/>
      <c r="V4" s="202"/>
      <c r="AA4" s="202"/>
    </row>
    <row r="5" spans="1:32" ht="12" customHeight="1">
      <c r="A5" s="205"/>
      <c r="B5" s="215" t="s">
        <v>262</v>
      </c>
      <c r="C5" s="95">
        <v>0.15</v>
      </c>
      <c r="F5" s="75" t="s">
        <v>109</v>
      </c>
      <c r="G5" s="311">
        <v>0.74</v>
      </c>
      <c r="H5" s="235"/>
      <c r="J5" s="201"/>
      <c r="K5" s="227"/>
      <c r="L5" s="210"/>
      <c r="O5" s="203"/>
      <c r="P5" s="203"/>
      <c r="Q5" s="203"/>
      <c r="R5" s="203"/>
      <c r="S5" s="203"/>
      <c r="T5" s="203"/>
      <c r="U5" s="203"/>
      <c r="V5" s="203"/>
      <c r="W5" s="203"/>
      <c r="X5" s="203"/>
      <c r="Y5" s="203"/>
      <c r="Z5" s="203"/>
      <c r="AA5" s="203"/>
      <c r="AB5" s="203"/>
      <c r="AC5" s="203"/>
      <c r="AD5" s="203"/>
      <c r="AE5" s="203"/>
      <c r="AF5" s="203"/>
    </row>
    <row r="6" spans="1:32" ht="12" customHeight="1">
      <c r="A6" s="205"/>
      <c r="F6" s="75" t="s">
        <v>112</v>
      </c>
      <c r="G6" s="311">
        <v>1.21</v>
      </c>
      <c r="H6" s="235"/>
      <c r="J6" s="305"/>
      <c r="K6" s="227"/>
      <c r="O6" s="203"/>
      <c r="P6" s="203"/>
      <c r="Q6" s="203"/>
      <c r="R6" s="203"/>
      <c r="S6" s="203"/>
      <c r="T6" s="203"/>
      <c r="U6" s="203"/>
      <c r="V6" s="203"/>
      <c r="W6" s="203"/>
      <c r="X6" s="203"/>
      <c r="Y6" s="203"/>
      <c r="Z6" s="203"/>
      <c r="AA6" s="203"/>
      <c r="AB6" s="203"/>
      <c r="AC6" s="203"/>
      <c r="AD6" s="203"/>
      <c r="AE6" s="203"/>
      <c r="AF6" s="203"/>
    </row>
    <row r="7" spans="1:32" ht="12" customHeight="1">
      <c r="B7" s="215" t="s">
        <v>263</v>
      </c>
      <c r="C7" s="95">
        <f>C5*C3</f>
        <v>7.5746663710669765E-2</v>
      </c>
      <c r="F7" s="75" t="s">
        <v>114</v>
      </c>
      <c r="G7" s="311">
        <v>0.89</v>
      </c>
      <c r="H7" s="235"/>
      <c r="J7" s="201"/>
      <c r="K7" s="227"/>
      <c r="O7" s="203"/>
      <c r="P7" s="203"/>
      <c r="Q7" s="203"/>
      <c r="R7" s="203"/>
      <c r="S7" s="203"/>
      <c r="T7" s="203"/>
      <c r="U7" s="203"/>
      <c r="V7" s="203"/>
      <c r="W7" s="203"/>
      <c r="X7" s="203"/>
      <c r="Y7" s="203"/>
      <c r="Z7" s="203"/>
      <c r="AA7" s="203"/>
      <c r="AB7" s="203"/>
      <c r="AC7" s="203"/>
      <c r="AD7" s="203"/>
      <c r="AE7" s="203"/>
      <c r="AF7" s="203"/>
    </row>
    <row r="8" spans="1:32" ht="12" customHeight="1">
      <c r="A8" s="205"/>
      <c r="B8" s="215" t="s">
        <v>264</v>
      </c>
      <c r="C8" s="95">
        <f>((1+((C5-C4)/C4))^0.1)-1</f>
        <v>5.3123245786047546E-2</v>
      </c>
      <c r="F8" s="75" t="s">
        <v>117</v>
      </c>
      <c r="G8" s="311">
        <v>0.97</v>
      </c>
      <c r="H8" s="235"/>
      <c r="J8" s="306"/>
      <c r="K8" s="307"/>
      <c r="O8" s="203"/>
      <c r="P8" s="203"/>
      <c r="Q8" s="203"/>
      <c r="R8" s="203"/>
      <c r="S8" s="203"/>
      <c r="T8" s="203"/>
      <c r="U8" s="203"/>
      <c r="V8" s="203"/>
      <c r="W8" s="203"/>
      <c r="X8" s="203"/>
      <c r="Y8" s="203"/>
      <c r="Z8" s="203"/>
      <c r="AA8" s="203"/>
      <c r="AB8" s="203"/>
      <c r="AC8" s="203"/>
      <c r="AD8" s="203"/>
      <c r="AE8" s="203"/>
      <c r="AF8" s="203"/>
    </row>
    <row r="9" spans="1:32" ht="12" customHeight="1">
      <c r="A9" s="205"/>
      <c r="F9" s="75" t="s">
        <v>118</v>
      </c>
      <c r="G9" s="311">
        <v>1.17</v>
      </c>
      <c r="H9" s="235"/>
      <c r="J9" s="201"/>
      <c r="K9" s="227"/>
      <c r="O9" s="203"/>
      <c r="P9" s="203"/>
      <c r="Q9" s="203"/>
      <c r="R9" s="203"/>
      <c r="S9" s="203"/>
      <c r="T9" s="203"/>
      <c r="U9" s="203"/>
      <c r="V9" s="203"/>
      <c r="W9" s="203"/>
      <c r="X9" s="203"/>
      <c r="Y9" s="203"/>
      <c r="Z9" s="203"/>
      <c r="AA9" s="203"/>
      <c r="AB9" s="203"/>
      <c r="AC9" s="203"/>
      <c r="AD9" s="203"/>
      <c r="AE9" s="203"/>
      <c r="AF9" s="203"/>
    </row>
    <row r="10" spans="1:32">
      <c r="A10" s="201"/>
      <c r="B10" s="215" t="s">
        <v>256</v>
      </c>
      <c r="C10" s="281">
        <f>C7+C8</f>
        <v>0.12886990949671731</v>
      </c>
      <c r="F10" s="75" t="s">
        <v>120</v>
      </c>
      <c r="G10" s="311">
        <v>1.91</v>
      </c>
      <c r="H10" s="235"/>
      <c r="O10" s="203"/>
      <c r="P10" s="203"/>
      <c r="Q10" s="203"/>
      <c r="R10" s="203"/>
      <c r="S10" s="203"/>
      <c r="T10" s="203"/>
      <c r="U10" s="203"/>
      <c r="V10" s="203"/>
      <c r="W10" s="203"/>
      <c r="X10" s="203"/>
      <c r="Y10" s="203"/>
      <c r="Z10" s="203"/>
      <c r="AA10" s="203"/>
      <c r="AB10" s="203"/>
      <c r="AC10" s="203"/>
      <c r="AD10" s="203"/>
      <c r="AE10" s="203"/>
      <c r="AF10" s="203"/>
    </row>
    <row r="11" spans="1:32">
      <c r="A11" s="205"/>
      <c r="F11" s="75" t="s">
        <v>122</v>
      </c>
      <c r="G11" s="311">
        <v>2.04</v>
      </c>
      <c r="H11" s="235"/>
      <c r="J11" s="201"/>
      <c r="K11" s="227"/>
      <c r="O11" s="203"/>
      <c r="P11" s="203"/>
      <c r="Q11" s="203"/>
      <c r="R11" s="203"/>
      <c r="S11" s="203"/>
      <c r="T11" s="203"/>
      <c r="U11" s="203"/>
      <c r="V11" s="203"/>
      <c r="W11" s="203"/>
      <c r="X11" s="203"/>
      <c r="Y11" s="203"/>
      <c r="Z11" s="203"/>
      <c r="AA11" s="203"/>
      <c r="AB11" s="203"/>
      <c r="AC11" s="203"/>
      <c r="AD11" s="203"/>
      <c r="AE11" s="203"/>
      <c r="AF11" s="203"/>
    </row>
    <row r="12" spans="1:32">
      <c r="B12" s="203" t="s">
        <v>279</v>
      </c>
      <c r="F12" s="75" t="s">
        <v>124</v>
      </c>
      <c r="G12" s="311">
        <v>0.99</v>
      </c>
      <c r="H12" s="235"/>
      <c r="J12" s="201"/>
      <c r="K12" s="186"/>
      <c r="O12" s="203"/>
      <c r="P12" s="203"/>
      <c r="Q12" s="203"/>
      <c r="R12" s="203"/>
      <c r="S12" s="203"/>
      <c r="T12" s="203"/>
      <c r="U12" s="203"/>
      <c r="V12" s="203"/>
      <c r="W12" s="203"/>
      <c r="X12" s="203"/>
      <c r="Y12" s="203"/>
      <c r="Z12" s="203"/>
      <c r="AA12" s="203"/>
      <c r="AB12" s="203"/>
      <c r="AC12" s="203"/>
      <c r="AD12" s="203"/>
      <c r="AE12" s="203"/>
      <c r="AF12" s="203"/>
    </row>
    <row r="13" spans="1:32">
      <c r="A13" s="205"/>
      <c r="B13" s="201"/>
      <c r="C13" s="246"/>
      <c r="F13" s="268" t="s">
        <v>220</v>
      </c>
      <c r="G13" s="310">
        <f>AVERAGE(G5:G12)</f>
        <v>1.24</v>
      </c>
      <c r="H13" s="242"/>
      <c r="J13" s="201"/>
      <c r="K13" s="227"/>
      <c r="O13" s="203"/>
      <c r="P13" s="203"/>
      <c r="Q13" s="203"/>
      <c r="R13" s="203"/>
      <c r="S13" s="203"/>
      <c r="T13" s="203"/>
      <c r="U13" s="203"/>
      <c r="V13" s="203"/>
      <c r="W13" s="203"/>
      <c r="X13" s="203"/>
      <c r="Y13" s="203"/>
      <c r="Z13" s="203"/>
      <c r="AA13" s="203"/>
      <c r="AB13" s="203"/>
      <c r="AC13" s="203"/>
      <c r="AD13" s="203"/>
      <c r="AE13" s="203"/>
      <c r="AF13" s="203"/>
    </row>
    <row r="14" spans="1:32">
      <c r="D14" s="203"/>
      <c r="E14" s="203"/>
      <c r="F14" s="201"/>
      <c r="G14" s="308"/>
      <c r="H14" s="203"/>
      <c r="J14" s="201"/>
      <c r="K14" s="227"/>
      <c r="O14" s="203"/>
      <c r="P14" s="203"/>
      <c r="Q14" s="203"/>
      <c r="R14" s="203"/>
      <c r="S14" s="203"/>
      <c r="T14" s="203"/>
      <c r="U14" s="203"/>
      <c r="V14" s="203"/>
      <c r="W14" s="203"/>
      <c r="X14" s="203"/>
      <c r="Y14" s="203"/>
      <c r="Z14" s="203"/>
      <c r="AA14" s="203"/>
      <c r="AB14" s="203"/>
      <c r="AC14" s="203"/>
      <c r="AD14" s="203"/>
      <c r="AE14" s="203"/>
      <c r="AF14" s="203"/>
    </row>
    <row r="15" spans="1:32">
      <c r="E15" s="208"/>
      <c r="F15" s="208"/>
      <c r="J15" s="201"/>
      <c r="K15" s="227"/>
      <c r="O15" s="203"/>
      <c r="P15" s="203"/>
      <c r="Q15" s="203"/>
      <c r="R15" s="203"/>
      <c r="S15" s="203"/>
      <c r="T15" s="203"/>
      <c r="U15" s="203"/>
      <c r="V15" s="203"/>
      <c r="W15" s="203"/>
      <c r="X15" s="203"/>
      <c r="Y15" s="203"/>
      <c r="Z15" s="203"/>
      <c r="AA15" s="203"/>
      <c r="AB15" s="203"/>
      <c r="AC15" s="203"/>
      <c r="AD15" s="203"/>
      <c r="AE15" s="203"/>
      <c r="AF15" s="203"/>
    </row>
    <row r="16" spans="1:32">
      <c r="E16" s="83"/>
      <c r="F16" s="83"/>
      <c r="O16" s="203"/>
      <c r="P16" s="203"/>
      <c r="Q16" s="203"/>
      <c r="R16" s="203"/>
      <c r="S16" s="203"/>
      <c r="T16" s="203"/>
      <c r="U16" s="203"/>
      <c r="V16" s="203"/>
      <c r="W16" s="203"/>
      <c r="X16" s="203"/>
      <c r="Y16" s="203"/>
      <c r="Z16" s="203"/>
      <c r="AA16" s="203"/>
      <c r="AB16" s="203"/>
      <c r="AC16" s="203"/>
      <c r="AD16" s="203"/>
      <c r="AE16" s="203"/>
      <c r="AF16" s="203"/>
    </row>
    <row r="17" spans="1:32">
      <c r="E17" s="210"/>
      <c r="F17" s="210"/>
      <c r="J17" s="201"/>
      <c r="K17" s="308"/>
      <c r="L17" s="203"/>
      <c r="O17" s="203"/>
      <c r="P17" s="203"/>
      <c r="Q17" s="203"/>
      <c r="R17" s="203"/>
      <c r="S17" s="203"/>
      <c r="T17" s="203"/>
      <c r="U17" s="203"/>
      <c r="V17" s="203"/>
      <c r="W17" s="203"/>
      <c r="X17" s="203"/>
      <c r="Y17" s="203"/>
      <c r="Z17" s="203"/>
      <c r="AA17" s="203"/>
      <c r="AB17" s="203"/>
      <c r="AC17" s="203"/>
      <c r="AD17" s="203"/>
      <c r="AE17" s="203"/>
      <c r="AF17" s="203"/>
    </row>
    <row r="18" spans="1:32">
      <c r="A18" s="205" t="s">
        <v>98</v>
      </c>
      <c r="G18" s="244"/>
      <c r="H18" s="245"/>
      <c r="I18" s="245"/>
      <c r="J18" s="24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G19" s="50"/>
      <c r="H19" s="50"/>
      <c r="I19" s="207"/>
      <c r="J19" s="207"/>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G20" s="121"/>
      <c r="H20" s="121"/>
      <c r="I20" s="232"/>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G21" s="121"/>
      <c r="H21" s="121"/>
      <c r="I21" s="232"/>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241"/>
      <c r="G22" s="121"/>
      <c r="H22" s="121"/>
      <c r="I22" s="232"/>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c r="F23" s="248"/>
      <c r="G23" s="121"/>
      <c r="H23" s="121"/>
      <c r="I23" s="232"/>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G24" s="121"/>
      <c r="H24" s="121"/>
      <c r="I24" s="232"/>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G25" s="121"/>
      <c r="H25" s="121"/>
      <c r="I25" s="232"/>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G26" s="121"/>
      <c r="H26" s="121"/>
      <c r="I26" s="232"/>
      <c r="J26" s="235"/>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G27" s="121"/>
      <c r="H27" s="121"/>
      <c r="I27" s="232"/>
      <c r="J27" s="235"/>
      <c r="K27" s="203"/>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G28" s="243"/>
      <c r="H28" s="243"/>
      <c r="I28" s="243"/>
      <c r="J28" s="242"/>
      <c r="K28" s="203"/>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mergeCells count="1">
    <mergeCell ref="F3:G3"/>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38"/>
  <sheetViews>
    <sheetView workbookViewId="0"/>
  </sheetViews>
  <sheetFormatPr defaultRowHeight="12"/>
  <cols>
    <col min="1" max="1" width="2" style="198" customWidth="1"/>
    <col min="2" max="2" width="7" style="198" customWidth="1"/>
    <col min="3" max="3" width="14.7109375" style="198" customWidth="1"/>
    <col min="4" max="4" width="16.140625" style="198" customWidth="1"/>
    <col min="5" max="5" width="14" style="198" customWidth="1"/>
    <col min="6" max="6" width="13.28515625" style="198" customWidth="1"/>
    <col min="7" max="7" width="15.28515625" style="198" customWidth="1" collapsed="1"/>
    <col min="8" max="8" width="10.85546875" style="198" customWidth="1"/>
    <col min="9" max="9" width="10.42578125" style="198" customWidth="1"/>
    <col min="10" max="10" width="10.140625" style="198" customWidth="1"/>
    <col min="11" max="11" width="11.5703125" style="198" customWidth="1"/>
    <col min="12" max="12" width="8.5703125" style="198" customWidth="1"/>
    <col min="13" max="13" width="32.140625" style="198" customWidth="1"/>
    <col min="14" max="14" width="8.7109375" style="198" customWidth="1"/>
    <col min="15" max="15" width="6.7109375" style="198" customWidth="1"/>
    <col min="16" max="16" width="8.28515625" style="198" customWidth="1"/>
    <col min="17" max="28" width="9.140625" style="198" customWidth="1"/>
    <col min="29" max="29" width="9.28515625" style="198" customWidth="1"/>
    <col min="30" max="30" width="9.42578125" style="198" customWidth="1"/>
    <col min="31" max="31" width="10" style="198" customWidth="1"/>
    <col min="32" max="32" width="11.42578125" style="198" customWidth="1"/>
    <col min="33" max="33" width="9.42578125" style="198" bestFit="1" customWidth="1" collapsed="1"/>
    <col min="34" max="16384" width="9.140625" style="198"/>
  </cols>
  <sheetData>
    <row r="1" spans="1:32" s="197" customFormat="1" ht="15" customHeight="1">
      <c r="B1" s="18" t="s">
        <v>257</v>
      </c>
      <c r="C1" s="196"/>
      <c r="D1" s="196"/>
      <c r="E1" s="196"/>
      <c r="F1" s="196"/>
      <c r="G1" s="196"/>
      <c r="H1" s="196"/>
      <c r="I1" s="196"/>
      <c r="J1" s="196"/>
      <c r="K1" s="196"/>
      <c r="L1" s="196"/>
      <c r="M1" s="196"/>
      <c r="N1" s="196"/>
    </row>
    <row r="2" spans="1:32" ht="12" customHeight="1">
      <c r="C2" s="226"/>
    </row>
    <row r="3" spans="1:32" ht="12" customHeight="1">
      <c r="A3" s="200"/>
      <c r="B3" s="309"/>
      <c r="C3" s="102" t="s">
        <v>282</v>
      </c>
      <c r="D3" s="102" t="s">
        <v>280</v>
      </c>
      <c r="E3" s="102" t="s">
        <v>281</v>
      </c>
      <c r="F3" s="260" t="s">
        <v>268</v>
      </c>
      <c r="G3" s="260" t="s">
        <v>7</v>
      </c>
      <c r="H3" s="260" t="s">
        <v>270</v>
      </c>
      <c r="I3" s="260" t="s">
        <v>271</v>
      </c>
      <c r="J3" s="260" t="s">
        <v>3</v>
      </c>
      <c r="K3" s="260" t="s">
        <v>272</v>
      </c>
      <c r="L3" s="184"/>
      <c r="M3" s="184"/>
      <c r="N3" s="270"/>
    </row>
    <row r="4" spans="1:32" ht="12" customHeight="1">
      <c r="A4" s="205"/>
      <c r="B4" s="292" t="s">
        <v>265</v>
      </c>
      <c r="C4" s="396">
        <f>69000*80*(1+$N$24)</f>
        <v>5977056</v>
      </c>
      <c r="D4" s="396">
        <f>C4*$N$25</f>
        <v>896558.4</v>
      </c>
      <c r="E4" s="394">
        <f>C4*$N$26</f>
        <v>4004627.52</v>
      </c>
      <c r="F4" s="394">
        <f>(D4*Beta!$D$9)+(E4*Beta!$D$10)</f>
        <v>1341496.5351399356</v>
      </c>
      <c r="G4" s="288">
        <f>'EBIT &amp; Operating Lease'!C6</f>
        <v>4673.2299999999996</v>
      </c>
      <c r="H4" s="284"/>
      <c r="I4" s="313">
        <f>J4/G4</f>
        <v>0.16925971405307857</v>
      </c>
      <c r="J4" s="296">
        <f>'EBIT &amp; Advertising Expense'!C11</f>
        <v>790.98957350426838</v>
      </c>
      <c r="K4" s="296">
        <f>J4*(1-$N$29)</f>
        <v>611.11854448939766</v>
      </c>
      <c r="L4" s="86"/>
      <c r="M4" s="69"/>
      <c r="N4" s="69"/>
      <c r="O4" s="202"/>
      <c r="Q4" s="202"/>
      <c r="R4" s="202"/>
      <c r="S4" s="202"/>
      <c r="T4" s="202"/>
      <c r="U4" s="202"/>
      <c r="V4" s="202"/>
      <c r="AA4" s="202"/>
    </row>
    <row r="5" spans="1:32" ht="12" customHeight="1">
      <c r="A5" s="205"/>
      <c r="B5" s="286">
        <v>1</v>
      </c>
      <c r="C5" s="397">
        <f>C4*(1+$N$24)</f>
        <v>6471956.2368000001</v>
      </c>
      <c r="D5" s="397">
        <f>C5*($N$25+0.5%)</f>
        <v>1003153.216704</v>
      </c>
      <c r="E5" s="395">
        <f>C5*($N$26-1.25%)</f>
        <v>4255311.2256960003</v>
      </c>
      <c r="F5" s="398">
        <f>(D5*Beta!$D$9)+(E5*Beta!$D$10)</f>
        <v>1468718.5126589709</v>
      </c>
      <c r="G5" s="290">
        <f t="shared" ref="G5:G14" si="0">G4*(1+H5)</f>
        <v>5374.2144999999991</v>
      </c>
      <c r="H5" s="236">
        <v>0.15</v>
      </c>
      <c r="I5" s="293">
        <v>0.17</v>
      </c>
      <c r="J5" s="295">
        <f>G5*I5</f>
        <v>913.61646499999995</v>
      </c>
      <c r="K5" s="295">
        <f>J5*(1-$N$29)</f>
        <v>705.86008085899994</v>
      </c>
      <c r="L5" s="86"/>
      <c r="M5" s="276"/>
      <c r="N5" s="277"/>
      <c r="O5" s="203"/>
      <c r="P5" s="203"/>
      <c r="Q5" s="203"/>
      <c r="R5" s="203"/>
      <c r="S5" s="203"/>
      <c r="T5" s="203"/>
      <c r="U5" s="203"/>
      <c r="V5" s="203"/>
      <c r="W5" s="203"/>
      <c r="X5" s="203"/>
      <c r="Y5" s="203"/>
      <c r="Z5" s="203"/>
      <c r="AA5" s="203"/>
      <c r="AB5" s="203"/>
      <c r="AC5" s="203"/>
      <c r="AD5" s="203"/>
      <c r="AE5" s="203"/>
      <c r="AF5" s="203"/>
    </row>
    <row r="6" spans="1:32" ht="12" customHeight="1">
      <c r="A6" s="205"/>
      <c r="B6" s="286">
        <f t="shared" ref="B6:B14" si="1">B5+1</f>
        <v>2</v>
      </c>
      <c r="C6" s="397">
        <f t="shared" ref="C6:C14" si="2">C5*(1+$N$24)</f>
        <v>7007834.21320704</v>
      </c>
      <c r="D6" s="397">
        <f>C6*($N$25+1%)</f>
        <v>1121253.4741131265</v>
      </c>
      <c r="E6" s="395">
        <f>C6*($N$26-2.5%)</f>
        <v>4520053.0675185407</v>
      </c>
      <c r="F6" s="398">
        <f>(D6*Beta!$D$9)+(E6*Beta!$D$10)</f>
        <v>1607811.3640496847</v>
      </c>
      <c r="G6" s="290">
        <f t="shared" si="0"/>
        <v>6019.1202399999993</v>
      </c>
      <c r="H6" s="236">
        <v>0.12</v>
      </c>
      <c r="I6" s="293">
        <v>0.17</v>
      </c>
      <c r="J6" s="295">
        <f t="shared" ref="J6:J13" si="3">G6*I6</f>
        <v>1023.2504408</v>
      </c>
      <c r="K6" s="295">
        <f>J6*(1-($N$29+0.5%))</f>
        <v>785.44703835808002</v>
      </c>
      <c r="L6" s="86"/>
      <c r="M6" s="278"/>
      <c r="N6" s="277"/>
      <c r="O6" s="203"/>
      <c r="P6" s="203"/>
      <c r="Q6" s="203"/>
      <c r="R6" s="203"/>
      <c r="S6" s="203"/>
      <c r="T6" s="203"/>
      <c r="U6" s="203"/>
      <c r="V6" s="203"/>
      <c r="W6" s="203"/>
      <c r="X6" s="203"/>
      <c r="Y6" s="203"/>
      <c r="Z6" s="203"/>
      <c r="AA6" s="203"/>
      <c r="AB6" s="203"/>
      <c r="AC6" s="203"/>
      <c r="AD6" s="203"/>
      <c r="AE6" s="203"/>
      <c r="AF6" s="203"/>
    </row>
    <row r="7" spans="1:32" ht="12" customHeight="1">
      <c r="B7" s="286">
        <f t="shared" si="1"/>
        <v>3</v>
      </c>
      <c r="C7" s="397">
        <f t="shared" si="2"/>
        <v>7588082.8860605825</v>
      </c>
      <c r="D7" s="397">
        <f>C7*($N$25+1.5%)</f>
        <v>1252033.6761999959</v>
      </c>
      <c r="E7" s="395">
        <f>C7*($N$26-3.75%)</f>
        <v>4799462.4254333191</v>
      </c>
      <c r="F7" s="398">
        <f>(D7*Beta!$D$9)+(E7*Beta!$D$10)</f>
        <v>1759868.6925028728</v>
      </c>
      <c r="G7" s="290">
        <f t="shared" si="0"/>
        <v>6741.4146688000001</v>
      </c>
      <c r="H7" s="236">
        <v>0.12</v>
      </c>
      <c r="I7" s="293">
        <v>0.18</v>
      </c>
      <c r="J7" s="295">
        <f t="shared" si="3"/>
        <v>1213.454640384</v>
      </c>
      <c r="K7" s="295">
        <f>J7*(1-($N$29+0.75%))</f>
        <v>928.41414535779836</v>
      </c>
      <c r="L7" s="86"/>
      <c r="M7" s="278"/>
      <c r="N7" s="277"/>
      <c r="O7" s="203"/>
      <c r="P7" s="203"/>
      <c r="Q7" s="203"/>
      <c r="R7" s="203"/>
      <c r="S7" s="203"/>
      <c r="T7" s="203"/>
      <c r="U7" s="203"/>
      <c r="V7" s="203"/>
      <c r="W7" s="203"/>
      <c r="X7" s="203"/>
      <c r="Y7" s="203"/>
      <c r="Z7" s="203"/>
      <c r="AA7" s="203"/>
      <c r="AB7" s="203"/>
      <c r="AC7" s="203"/>
      <c r="AD7" s="203"/>
      <c r="AE7" s="203"/>
      <c r="AF7" s="203"/>
    </row>
    <row r="8" spans="1:32" ht="12" customHeight="1">
      <c r="A8" s="205"/>
      <c r="B8" s="286">
        <f t="shared" si="1"/>
        <v>4</v>
      </c>
      <c r="C8" s="397">
        <f t="shared" si="2"/>
        <v>8216376.1490263985</v>
      </c>
      <c r="D8" s="397">
        <f>C8*($N$25+2%)</f>
        <v>1396783.9453344876</v>
      </c>
      <c r="E8" s="395">
        <f>C8*($N$26-5%)</f>
        <v>5094153.2123963675</v>
      </c>
      <c r="F8" s="398">
        <f>(D8*Beta!$D$9)+(E8*Beta!$D$10)</f>
        <v>1926083.8170858026</v>
      </c>
      <c r="G8" s="290">
        <f t="shared" si="0"/>
        <v>7348.1419889920007</v>
      </c>
      <c r="H8" s="236">
        <v>0.09</v>
      </c>
      <c r="I8" s="293">
        <v>0.18</v>
      </c>
      <c r="J8" s="295">
        <f t="shared" si="3"/>
        <v>1322.66555801856</v>
      </c>
      <c r="K8" s="295">
        <f>J8*(1-($N$29+1%))</f>
        <v>1008.6647545449538</v>
      </c>
      <c r="L8" s="86"/>
      <c r="M8" s="278"/>
      <c r="N8" s="277"/>
      <c r="O8" s="203"/>
      <c r="P8" s="203"/>
      <c r="Q8" s="203"/>
      <c r="R8" s="203"/>
      <c r="S8" s="203"/>
      <c r="T8" s="203"/>
      <c r="U8" s="203"/>
      <c r="V8" s="203"/>
      <c r="W8" s="203"/>
      <c r="X8" s="203"/>
      <c r="Y8" s="203"/>
      <c r="Z8" s="203"/>
      <c r="AA8" s="203"/>
      <c r="AB8" s="203"/>
      <c r="AC8" s="203"/>
      <c r="AD8" s="203"/>
      <c r="AE8" s="203"/>
      <c r="AF8" s="203"/>
    </row>
    <row r="9" spans="1:32" ht="12" customHeight="1">
      <c r="A9" s="205"/>
      <c r="B9" s="286">
        <f t="shared" si="1"/>
        <v>5</v>
      </c>
      <c r="C9" s="397">
        <f t="shared" si="2"/>
        <v>8896692.0941657834</v>
      </c>
      <c r="D9" s="397">
        <f>C9*($N$25+3%)</f>
        <v>1601404.5769498409</v>
      </c>
      <c r="E9" s="395">
        <f>C9*($N$26-6%)</f>
        <v>5426982.1774411285</v>
      </c>
      <c r="F9" s="398">
        <f>(D9*Beta!$D$9)+(E9*Beta!$D$10)</f>
        <v>2149058.2158096172</v>
      </c>
      <c r="G9" s="290">
        <f t="shared" si="0"/>
        <v>8009.4747680012815</v>
      </c>
      <c r="H9" s="236">
        <v>0.09</v>
      </c>
      <c r="I9" s="293">
        <v>0.18</v>
      </c>
      <c r="J9" s="295">
        <f t="shared" si="3"/>
        <v>1441.7054582402307</v>
      </c>
      <c r="K9" s="295">
        <f>J9*(1-($N$29+1.25%))</f>
        <v>1095.8403188083994</v>
      </c>
      <c r="L9" s="86"/>
      <c r="M9" s="278"/>
      <c r="N9" s="277"/>
      <c r="O9" s="203"/>
      <c r="P9" s="203"/>
      <c r="Q9" s="203"/>
      <c r="R9" s="203"/>
      <c r="S9" s="203"/>
      <c r="T9" s="203"/>
      <c r="U9" s="203"/>
      <c r="V9" s="203"/>
      <c r="W9" s="203"/>
      <c r="X9" s="203"/>
      <c r="Y9" s="203"/>
      <c r="Z9" s="203"/>
      <c r="AA9" s="203"/>
      <c r="AB9" s="203"/>
      <c r="AC9" s="203"/>
      <c r="AD9" s="203"/>
      <c r="AE9" s="203"/>
      <c r="AF9" s="203"/>
    </row>
    <row r="10" spans="1:32">
      <c r="A10" s="201"/>
      <c r="B10" s="286">
        <f t="shared" si="1"/>
        <v>6</v>
      </c>
      <c r="C10" s="397">
        <f t="shared" si="2"/>
        <v>9633338.1995627098</v>
      </c>
      <c r="D10" s="397">
        <f>C10*($N$25+4%)</f>
        <v>1830334.2579169148</v>
      </c>
      <c r="E10" s="395">
        <f>C10*($N$26-7%)</f>
        <v>5780002.9197376268</v>
      </c>
      <c r="F10" s="398">
        <f>(D10*Beta!$D$9)+(E10*Beta!$D$10)</f>
        <v>2395752.2524855658</v>
      </c>
      <c r="G10" s="290">
        <f t="shared" si="0"/>
        <v>8570.1380017613719</v>
      </c>
      <c r="H10" s="236">
        <v>7.0000000000000007E-2</v>
      </c>
      <c r="I10" s="293">
        <v>0.18</v>
      </c>
      <c r="J10" s="295">
        <f t="shared" si="3"/>
        <v>1542.6248403170468</v>
      </c>
      <c r="K10" s="295">
        <f>J10*(1-($N$29+1.5%))</f>
        <v>1168.6925790241949</v>
      </c>
      <c r="L10" s="86"/>
      <c r="M10" s="278"/>
      <c r="N10" s="277"/>
      <c r="O10" s="203"/>
      <c r="P10" s="203"/>
      <c r="Q10" s="203"/>
      <c r="R10" s="203"/>
      <c r="S10" s="203"/>
      <c r="T10" s="203"/>
      <c r="U10" s="203"/>
      <c r="V10" s="203"/>
      <c r="W10" s="203"/>
      <c r="X10" s="203"/>
      <c r="Y10" s="203"/>
      <c r="Z10" s="203"/>
      <c r="AA10" s="203"/>
      <c r="AB10" s="203"/>
      <c r="AC10" s="203"/>
      <c r="AD10" s="203"/>
      <c r="AE10" s="203"/>
      <c r="AF10" s="203"/>
    </row>
    <row r="11" spans="1:32">
      <c r="A11" s="205"/>
      <c r="B11" s="286">
        <f t="shared" si="1"/>
        <v>7</v>
      </c>
      <c r="C11" s="397">
        <f t="shared" si="2"/>
        <v>10430978.602486502</v>
      </c>
      <c r="D11" s="397">
        <f>C11*($N$25+4.5%)</f>
        <v>2034040.827484868</v>
      </c>
      <c r="E11" s="395">
        <f>C11*($N$26-7.5%)</f>
        <v>6206432.2684794702</v>
      </c>
      <c r="F11" s="398">
        <f>(D11*Beta!$D$9)+(E11*Beta!$D$10)</f>
        <v>2631342.880674073</v>
      </c>
      <c r="G11" s="290">
        <f t="shared" si="0"/>
        <v>9084.3462818670541</v>
      </c>
      <c r="H11" s="236">
        <v>0.06</v>
      </c>
      <c r="I11" s="293">
        <v>0.18</v>
      </c>
      <c r="J11" s="295">
        <f t="shared" si="3"/>
        <v>1635.1823307360696</v>
      </c>
      <c r="K11" s="295">
        <f>J11*(1-($N$29+1.75%))</f>
        <v>1234.7261779388061</v>
      </c>
      <c r="L11" s="86"/>
      <c r="M11" s="278"/>
      <c r="N11" s="277"/>
      <c r="O11" s="203"/>
      <c r="P11" s="203"/>
      <c r="Q11" s="203"/>
      <c r="R11" s="203"/>
      <c r="S11" s="203"/>
      <c r="T11" s="203"/>
      <c r="U11" s="203"/>
      <c r="V11" s="203"/>
      <c r="W11" s="203"/>
      <c r="X11" s="203"/>
      <c r="Y11" s="203"/>
      <c r="Z11" s="203"/>
      <c r="AA11" s="203"/>
      <c r="AB11" s="203"/>
      <c r="AC11" s="203"/>
      <c r="AD11" s="203"/>
      <c r="AE11" s="203"/>
      <c r="AF11" s="203"/>
    </row>
    <row r="12" spans="1:32">
      <c r="B12" s="286">
        <f t="shared" si="1"/>
        <v>8</v>
      </c>
      <c r="C12" s="397">
        <f t="shared" si="2"/>
        <v>11294663.630772384</v>
      </c>
      <c r="D12" s="397">
        <f>C12*($N$25+5%)</f>
        <v>2258932.7261544769</v>
      </c>
      <c r="E12" s="395">
        <f>C12*($N$26-8%)</f>
        <v>6663851.5421557073</v>
      </c>
      <c r="F12" s="398">
        <f>(D12*Beta!$D$9)+(E12*Beta!$D$10)</f>
        <v>2889522.4227679162</v>
      </c>
      <c r="G12" s="290">
        <f t="shared" si="0"/>
        <v>9584.739999999998</v>
      </c>
      <c r="H12" s="236">
        <v>5.5083073961167822E-2</v>
      </c>
      <c r="I12" s="293">
        <v>0.18</v>
      </c>
      <c r="J12" s="295">
        <f t="shared" si="3"/>
        <v>1725.2531999999997</v>
      </c>
      <c r="K12" s="295">
        <f>J12*(1-($N$29+2.2%))</f>
        <v>1294.9750519199997</v>
      </c>
      <c r="L12" s="86"/>
      <c r="M12" s="278"/>
      <c r="N12" s="277"/>
      <c r="O12" s="203"/>
      <c r="P12" s="203"/>
      <c r="Q12" s="203"/>
      <c r="R12" s="203"/>
      <c r="S12" s="203"/>
      <c r="T12" s="203"/>
      <c r="U12" s="203"/>
      <c r="V12" s="203"/>
      <c r="W12" s="203"/>
      <c r="X12" s="203"/>
      <c r="Y12" s="203"/>
      <c r="Z12" s="203"/>
      <c r="AA12" s="203"/>
      <c r="AB12" s="203"/>
      <c r="AC12" s="203"/>
      <c r="AD12" s="203"/>
      <c r="AE12" s="203"/>
      <c r="AF12" s="203"/>
    </row>
    <row r="13" spans="1:32">
      <c r="A13" s="205"/>
      <c r="B13" s="286">
        <f t="shared" si="1"/>
        <v>9</v>
      </c>
      <c r="C13" s="397">
        <f t="shared" si="2"/>
        <v>12229861.779400337</v>
      </c>
      <c r="D13" s="397">
        <f>C13*($N$25+5%)</f>
        <v>2445972.3558800677</v>
      </c>
      <c r="E13" s="395">
        <f>C13*($N$26-8%)</f>
        <v>7215618.4498461997</v>
      </c>
      <c r="F13" s="398">
        <f>(D13*Beta!$D$9)+(E13*Beta!$D$10)</f>
        <v>3128774.8793730997</v>
      </c>
      <c r="G13" s="290">
        <f t="shared" si="0"/>
        <v>10063.976999999999</v>
      </c>
      <c r="H13" s="236">
        <v>0.05</v>
      </c>
      <c r="I13" s="293">
        <v>0.18</v>
      </c>
      <c r="J13" s="295">
        <f t="shared" si="3"/>
        <v>1811.5158599999997</v>
      </c>
      <c r="K13" s="295">
        <f>J13*(1-$N$28)</f>
        <v>1355.5573180379997</v>
      </c>
      <c r="L13" s="86"/>
      <c r="M13" s="273"/>
      <c r="N13" s="273"/>
      <c r="O13" s="203"/>
      <c r="P13" s="203"/>
      <c r="Q13" s="203"/>
      <c r="R13" s="203"/>
      <c r="S13" s="203"/>
      <c r="T13" s="203"/>
      <c r="U13" s="203"/>
      <c r="V13" s="203"/>
      <c r="W13" s="203"/>
      <c r="X13" s="203"/>
      <c r="Y13" s="203"/>
      <c r="Z13" s="203"/>
      <c r="AA13" s="203"/>
      <c r="AB13" s="203"/>
      <c r="AC13" s="203"/>
      <c r="AD13" s="203"/>
      <c r="AE13" s="203"/>
      <c r="AF13" s="203"/>
    </row>
    <row r="14" spans="1:32">
      <c r="B14" s="286">
        <f t="shared" si="1"/>
        <v>10</v>
      </c>
      <c r="C14" s="397">
        <f t="shared" si="2"/>
        <v>13242494.334734686</v>
      </c>
      <c r="D14" s="397">
        <f>C14*($N$25+5%)</f>
        <v>2648498.8669469375</v>
      </c>
      <c r="E14" s="395">
        <f>C14*($N$26-8%)</f>
        <v>7813071.6574934656</v>
      </c>
      <c r="F14" s="398">
        <f>(D14*Beta!$D$9)+(E14*Beta!$D$10)</f>
        <v>3387837.4393851929</v>
      </c>
      <c r="G14" s="290">
        <f t="shared" si="0"/>
        <v>10466.53608</v>
      </c>
      <c r="H14" s="236">
        <v>0.04</v>
      </c>
      <c r="I14" s="293">
        <v>0.18</v>
      </c>
      <c r="J14" s="295">
        <f>G14*I14</f>
        <v>1883.9764943999999</v>
      </c>
      <c r="K14" s="295">
        <f>J14*(1-$N$28)</f>
        <v>1409.7796107595198</v>
      </c>
      <c r="L14" s="86"/>
      <c r="M14" s="3"/>
      <c r="O14" s="203"/>
      <c r="P14" s="203"/>
      <c r="Q14" s="203"/>
      <c r="R14" s="203"/>
      <c r="S14" s="203"/>
      <c r="T14" s="203"/>
      <c r="U14" s="203"/>
      <c r="V14" s="203"/>
      <c r="W14" s="203"/>
      <c r="X14" s="203"/>
      <c r="Y14" s="203"/>
      <c r="Z14" s="203"/>
      <c r="AA14" s="203"/>
      <c r="AB14" s="203"/>
      <c r="AC14" s="203"/>
      <c r="AD14" s="203"/>
      <c r="AE14" s="203"/>
      <c r="AF14" s="203"/>
    </row>
    <row r="15" spans="1:32">
      <c r="C15" s="282"/>
      <c r="E15" s="208"/>
      <c r="F15" s="121"/>
      <c r="G15" s="14"/>
      <c r="H15" s="15"/>
      <c r="I15" s="403"/>
      <c r="J15" s="15"/>
      <c r="K15" s="2"/>
      <c r="L15" s="2"/>
      <c r="M15" s="2"/>
      <c r="O15" s="203"/>
      <c r="P15" s="203"/>
      <c r="Q15" s="203"/>
      <c r="R15" s="203"/>
      <c r="S15" s="203"/>
      <c r="T15" s="203"/>
      <c r="U15" s="203"/>
      <c r="V15" s="203"/>
      <c r="W15" s="203"/>
      <c r="X15" s="203"/>
      <c r="Y15" s="203"/>
      <c r="Z15" s="203"/>
      <c r="AA15" s="203"/>
      <c r="AB15" s="203"/>
      <c r="AC15" s="203"/>
      <c r="AD15" s="203"/>
      <c r="AE15" s="203"/>
      <c r="AF15" s="203"/>
    </row>
    <row r="16" spans="1:32">
      <c r="F16" s="121"/>
      <c r="G16" s="291"/>
      <c r="H16" s="184"/>
      <c r="I16" s="274"/>
      <c r="J16" s="274"/>
      <c r="K16" s="274"/>
      <c r="L16" s="274"/>
      <c r="M16" s="274"/>
      <c r="O16" s="203"/>
      <c r="P16" s="203"/>
      <c r="Q16" s="203"/>
      <c r="R16" s="203"/>
      <c r="S16" s="203"/>
      <c r="T16" s="203"/>
      <c r="U16" s="203"/>
      <c r="V16" s="203"/>
      <c r="W16" s="203"/>
      <c r="X16" s="203"/>
      <c r="Y16" s="203"/>
      <c r="Z16" s="203"/>
      <c r="AA16" s="203"/>
      <c r="AB16" s="203"/>
      <c r="AC16" s="203"/>
      <c r="AD16" s="203"/>
      <c r="AE16" s="203"/>
      <c r="AF16" s="203"/>
    </row>
    <row r="17" spans="1:34">
      <c r="B17" s="309"/>
      <c r="C17" s="102" t="s">
        <v>273</v>
      </c>
      <c r="D17" s="102" t="s">
        <v>274</v>
      </c>
      <c r="E17" s="102" t="s">
        <v>225</v>
      </c>
      <c r="F17" s="102" t="s">
        <v>275</v>
      </c>
      <c r="G17" s="102" t="s">
        <v>276</v>
      </c>
      <c r="H17" s="102" t="s">
        <v>277</v>
      </c>
      <c r="I17" s="50"/>
      <c r="J17" s="275"/>
      <c r="K17" s="69"/>
      <c r="L17" s="69"/>
      <c r="M17" s="69"/>
      <c r="N17" s="69"/>
      <c r="O17" s="203"/>
      <c r="P17" s="203"/>
      <c r="Q17" s="203"/>
      <c r="R17" s="203"/>
      <c r="S17" s="203"/>
      <c r="T17" s="203"/>
      <c r="U17" s="203"/>
      <c r="V17" s="203"/>
      <c r="W17" s="203"/>
      <c r="X17" s="203"/>
      <c r="Y17" s="203"/>
      <c r="Z17" s="203"/>
      <c r="AA17" s="203"/>
      <c r="AB17" s="203"/>
      <c r="AC17" s="203"/>
      <c r="AD17" s="203"/>
      <c r="AE17" s="203"/>
      <c r="AF17" s="203"/>
    </row>
    <row r="18" spans="1:34">
      <c r="A18" s="205"/>
      <c r="B18" s="292" t="s">
        <v>265</v>
      </c>
      <c r="C18" s="284"/>
      <c r="D18" s="297"/>
      <c r="E18" s="294"/>
      <c r="F18" s="283">
        <f>'FCFF &amp; FCFE'!C3</f>
        <v>302.51727197744844</v>
      </c>
      <c r="G18" s="298">
        <f>WACC!F9+WACC!F10-(526.33+82.16+4.21)</f>
        <v>6836.380000000001</v>
      </c>
      <c r="H18" s="299">
        <f>K4/G18</f>
        <v>8.9392126313838249E-2</v>
      </c>
      <c r="I18" s="271"/>
      <c r="J18" s="326"/>
      <c r="K18" s="278"/>
      <c r="L18" s="278"/>
      <c r="M18" s="278"/>
      <c r="N18" s="278"/>
      <c r="O18" s="203"/>
      <c r="P18" s="203"/>
      <c r="Q18" s="203"/>
      <c r="R18" s="203"/>
      <c r="S18" s="203"/>
      <c r="T18" s="203"/>
      <c r="U18" s="203"/>
      <c r="V18" s="203"/>
      <c r="W18" s="203"/>
      <c r="X18" s="203"/>
      <c r="Y18" s="203"/>
      <c r="Z18" s="203"/>
      <c r="AA18" s="203"/>
      <c r="AB18" s="203"/>
      <c r="AC18" s="203"/>
      <c r="AD18" s="203"/>
      <c r="AE18" s="203"/>
      <c r="AF18" s="203"/>
    </row>
    <row r="19" spans="1:34">
      <c r="B19" s="286">
        <v>1</v>
      </c>
      <c r="C19" s="285">
        <f>G5-G4</f>
        <v>700.98449999999957</v>
      </c>
      <c r="D19" s="262">
        <v>2.1939000000000002</v>
      </c>
      <c r="E19" s="285">
        <f>C19/D19</f>
        <v>319.51524682073</v>
      </c>
      <c r="F19" s="285">
        <f>K5-E19</f>
        <v>386.34483403826994</v>
      </c>
      <c r="G19" s="75">
        <f>G18+E19</f>
        <v>7155.8952468207308</v>
      </c>
      <c r="H19" s="77">
        <f>K5/G19</f>
        <v>9.8640359663258653E-2</v>
      </c>
      <c r="I19" s="122"/>
      <c r="J19" s="271"/>
      <c r="K19" s="278"/>
      <c r="L19" s="278"/>
      <c r="M19" s="278"/>
      <c r="N19" s="278"/>
      <c r="O19" s="203"/>
      <c r="P19" s="203"/>
      <c r="Q19" s="203"/>
      <c r="R19" s="203"/>
      <c r="S19" s="203"/>
      <c r="T19" s="203"/>
      <c r="U19" s="203"/>
      <c r="V19" s="203"/>
      <c r="W19" s="203"/>
      <c r="X19" s="203"/>
      <c r="Y19" s="203"/>
      <c r="Z19" s="203"/>
      <c r="AA19" s="203"/>
      <c r="AB19" s="203"/>
      <c r="AC19" s="203"/>
      <c r="AD19" s="203"/>
      <c r="AE19" s="203"/>
      <c r="AF19" s="203"/>
    </row>
    <row r="20" spans="1:34">
      <c r="A20" s="205"/>
      <c r="B20" s="286">
        <f t="shared" ref="B20:B28" si="4">B19+1</f>
        <v>2</v>
      </c>
      <c r="C20" s="285">
        <f t="shared" ref="C20:C28" si="5">G6-G5</f>
        <v>644.90574000000015</v>
      </c>
      <c r="D20" s="262">
        <v>2.1939000000000002</v>
      </c>
      <c r="E20" s="285">
        <f t="shared" ref="E20:E28" si="6">C20/D20</f>
        <v>293.95402707507185</v>
      </c>
      <c r="F20" s="285">
        <f t="shared" ref="F20:F28" si="7">K6-E20</f>
        <v>491.49301128300817</v>
      </c>
      <c r="G20" s="75">
        <f t="shared" ref="G20:G28" si="8">G19+E20</f>
        <v>7449.849273895803</v>
      </c>
      <c r="H20" s="77">
        <f t="shared" ref="H20:H28" si="9">K6/G20</f>
        <v>0.10543126571839226</v>
      </c>
      <c r="I20" s="122"/>
      <c r="J20" s="271"/>
      <c r="K20" s="278"/>
      <c r="L20" s="278"/>
      <c r="M20" s="278"/>
      <c r="N20" s="278"/>
      <c r="O20" s="203"/>
      <c r="P20" s="203"/>
      <c r="Q20" s="203"/>
      <c r="R20" s="203"/>
      <c r="S20" s="203"/>
      <c r="T20" s="203"/>
      <c r="U20" s="203"/>
      <c r="V20" s="203"/>
      <c r="W20" s="203"/>
      <c r="X20" s="203"/>
      <c r="Y20" s="203"/>
      <c r="Z20" s="203"/>
      <c r="AA20" s="203"/>
      <c r="AB20" s="203"/>
      <c r="AC20" s="203"/>
      <c r="AD20" s="203"/>
      <c r="AE20" s="203"/>
      <c r="AF20" s="203"/>
    </row>
    <row r="21" spans="1:34">
      <c r="B21" s="286">
        <f t="shared" si="4"/>
        <v>3</v>
      </c>
      <c r="C21" s="285">
        <f t="shared" si="5"/>
        <v>722.29442880000079</v>
      </c>
      <c r="D21" s="262">
        <v>2.1939000000000002</v>
      </c>
      <c r="E21" s="285">
        <f t="shared" si="6"/>
        <v>329.22851032408073</v>
      </c>
      <c r="F21" s="285">
        <f t="shared" si="7"/>
        <v>599.18563503371763</v>
      </c>
      <c r="G21" s="75">
        <f t="shared" si="8"/>
        <v>7779.0777842198841</v>
      </c>
      <c r="H21" s="77">
        <f t="shared" si="9"/>
        <v>0.11934758477940882</v>
      </c>
      <c r="I21" s="122"/>
      <c r="J21" s="279"/>
      <c r="K21" s="280"/>
      <c r="L21" s="280"/>
      <c r="M21" s="280"/>
      <c r="N21" s="280"/>
      <c r="O21" s="203"/>
      <c r="P21" s="203"/>
      <c r="Q21" s="203"/>
      <c r="R21" s="203"/>
      <c r="S21" s="203"/>
      <c r="T21" s="203"/>
      <c r="U21" s="203"/>
      <c r="V21" s="203"/>
      <c r="W21" s="203"/>
      <c r="X21" s="203"/>
      <c r="Y21" s="203"/>
      <c r="Z21" s="203"/>
      <c r="AA21" s="203"/>
      <c r="AB21" s="203"/>
      <c r="AC21" s="203"/>
      <c r="AD21" s="203"/>
      <c r="AE21" s="203"/>
      <c r="AF21" s="203"/>
    </row>
    <row r="22" spans="1:34">
      <c r="B22" s="286">
        <f t="shared" si="4"/>
        <v>4</v>
      </c>
      <c r="C22" s="285">
        <f t="shared" si="5"/>
        <v>606.72732019200066</v>
      </c>
      <c r="D22" s="262">
        <v>2.1939000000000002</v>
      </c>
      <c r="E22" s="285">
        <f t="shared" si="6"/>
        <v>276.55194867222781</v>
      </c>
      <c r="F22" s="285">
        <f t="shared" si="7"/>
        <v>732.11280587272597</v>
      </c>
      <c r="G22" s="75">
        <f t="shared" si="8"/>
        <v>8055.6297328921119</v>
      </c>
      <c r="H22" s="77">
        <f t="shared" si="9"/>
        <v>0.12521240275312723</v>
      </c>
      <c r="I22" s="122"/>
      <c r="J22" s="271"/>
      <c r="K22" s="272"/>
      <c r="L22" s="272"/>
      <c r="M22" s="272"/>
      <c r="N22" s="272"/>
      <c r="O22" s="203"/>
      <c r="P22" s="203"/>
      <c r="Q22" s="203"/>
      <c r="R22" s="203"/>
      <c r="S22" s="203"/>
      <c r="T22" s="203"/>
      <c r="U22" s="203"/>
      <c r="V22" s="203"/>
      <c r="W22" s="203"/>
      <c r="X22" s="203"/>
      <c r="Y22" s="203"/>
      <c r="Z22" s="203"/>
      <c r="AA22" s="203"/>
      <c r="AB22" s="203"/>
      <c r="AC22" s="203"/>
      <c r="AD22" s="203"/>
      <c r="AE22" s="203"/>
      <c r="AF22" s="203"/>
      <c r="AG22" s="203"/>
    </row>
    <row r="23" spans="1:34">
      <c r="B23" s="286">
        <f t="shared" si="4"/>
        <v>5</v>
      </c>
      <c r="C23" s="285">
        <f t="shared" si="5"/>
        <v>661.33277900928078</v>
      </c>
      <c r="D23" s="262">
        <v>2.1939000000000002</v>
      </c>
      <c r="E23" s="285">
        <f t="shared" si="6"/>
        <v>301.44162405272834</v>
      </c>
      <c r="F23" s="285">
        <f t="shared" si="7"/>
        <v>794.39869475567104</v>
      </c>
      <c r="G23" s="75">
        <f t="shared" si="8"/>
        <v>8357.0713569448399</v>
      </c>
      <c r="H23" s="77">
        <f t="shared" si="9"/>
        <v>0.13112731386429305</v>
      </c>
      <c r="I23" s="122"/>
      <c r="J23" s="121"/>
      <c r="K23" s="203"/>
      <c r="L23" s="203"/>
      <c r="M23" s="203"/>
      <c r="N23" s="203"/>
      <c r="O23" s="203"/>
      <c r="P23" s="203"/>
      <c r="Q23" s="203"/>
      <c r="R23" s="203"/>
      <c r="S23" s="203"/>
      <c r="T23" s="203"/>
      <c r="U23" s="203"/>
      <c r="V23" s="203"/>
      <c r="W23" s="203"/>
      <c r="X23" s="203"/>
      <c r="Y23" s="203"/>
      <c r="Z23" s="203"/>
      <c r="AA23" s="203"/>
      <c r="AB23" s="203"/>
      <c r="AC23" s="203"/>
      <c r="AD23" s="203"/>
      <c r="AE23" s="203"/>
      <c r="AF23" s="203"/>
      <c r="AG23" s="203"/>
      <c r="AH23" s="203"/>
    </row>
    <row r="24" spans="1:34">
      <c r="B24" s="286">
        <f t="shared" si="4"/>
        <v>6</v>
      </c>
      <c r="C24" s="285">
        <f t="shared" si="5"/>
        <v>560.66323376009041</v>
      </c>
      <c r="D24" s="262">
        <v>2.1939000000000002</v>
      </c>
      <c r="E24" s="285">
        <f t="shared" si="6"/>
        <v>255.55551016914643</v>
      </c>
      <c r="F24" s="285">
        <f t="shared" si="7"/>
        <v>913.13706885504848</v>
      </c>
      <c r="G24" s="75">
        <f t="shared" si="8"/>
        <v>8612.626867113986</v>
      </c>
      <c r="H24" s="77">
        <f t="shared" si="9"/>
        <v>0.13569525268610799</v>
      </c>
      <c r="I24" s="122"/>
      <c r="J24" s="121"/>
      <c r="K24" s="203"/>
      <c r="L24" s="203"/>
      <c r="M24" s="287" t="s">
        <v>15</v>
      </c>
      <c r="N24" s="300">
        <v>8.2799999999999999E-2</v>
      </c>
      <c r="O24" s="83"/>
      <c r="P24" s="203"/>
      <c r="Q24" s="203"/>
      <c r="R24" s="203"/>
      <c r="S24" s="203"/>
      <c r="T24" s="203"/>
      <c r="U24" s="203"/>
      <c r="V24" s="203"/>
      <c r="W24" s="203"/>
      <c r="X24" s="203"/>
      <c r="Y24" s="203"/>
      <c r="Z24" s="203"/>
      <c r="AA24" s="203"/>
      <c r="AB24" s="203"/>
      <c r="AC24" s="203"/>
      <c r="AD24" s="203"/>
      <c r="AE24" s="203"/>
      <c r="AF24" s="203"/>
      <c r="AG24" s="203"/>
      <c r="AH24" s="203"/>
    </row>
    <row r="25" spans="1:34">
      <c r="B25" s="286">
        <f t="shared" si="4"/>
        <v>7</v>
      </c>
      <c r="C25" s="285">
        <f t="shared" si="5"/>
        <v>514.20828010568221</v>
      </c>
      <c r="D25" s="262">
        <v>2.1939000000000002</v>
      </c>
      <c r="E25" s="285">
        <f t="shared" si="6"/>
        <v>234.38091075513111</v>
      </c>
      <c r="F25" s="285">
        <f t="shared" si="7"/>
        <v>1000.345267183675</v>
      </c>
      <c r="G25" s="75">
        <f t="shared" si="8"/>
        <v>8847.0077778691175</v>
      </c>
      <c r="H25" s="77">
        <f t="shared" si="9"/>
        <v>0.13956426951804954</v>
      </c>
      <c r="I25" s="122"/>
      <c r="J25" s="121"/>
      <c r="K25" s="203"/>
      <c r="L25" s="203"/>
      <c r="M25" s="287" t="s">
        <v>266</v>
      </c>
      <c r="N25" s="301">
        <v>0.15</v>
      </c>
      <c r="O25" s="208"/>
      <c r="P25" s="203"/>
      <c r="Q25" s="203"/>
      <c r="R25" s="203"/>
      <c r="S25" s="203"/>
      <c r="T25" s="203"/>
      <c r="U25" s="203"/>
      <c r="V25" s="203"/>
      <c r="W25" s="203"/>
      <c r="X25" s="203"/>
      <c r="Y25" s="203"/>
      <c r="Z25" s="203"/>
      <c r="AA25" s="203"/>
      <c r="AB25" s="203"/>
      <c r="AC25" s="203"/>
      <c r="AD25" s="203"/>
      <c r="AE25" s="203"/>
      <c r="AF25" s="203"/>
      <c r="AG25" s="203"/>
      <c r="AH25" s="203"/>
    </row>
    <row r="26" spans="1:34">
      <c r="B26" s="286">
        <f t="shared" si="4"/>
        <v>8</v>
      </c>
      <c r="C26" s="285">
        <f t="shared" si="5"/>
        <v>500.39371813294383</v>
      </c>
      <c r="D26" s="262">
        <v>2.1939000000000002</v>
      </c>
      <c r="E26" s="285">
        <f t="shared" si="6"/>
        <v>228.08410507905728</v>
      </c>
      <c r="F26" s="285">
        <f t="shared" si="7"/>
        <v>1066.8909468409424</v>
      </c>
      <c r="G26" s="75">
        <f t="shared" si="8"/>
        <v>9075.0918829481743</v>
      </c>
      <c r="H26" s="77">
        <f t="shared" si="9"/>
        <v>0.14269553064836943</v>
      </c>
      <c r="I26" s="122"/>
      <c r="J26" s="121"/>
      <c r="K26" s="203"/>
      <c r="L26" s="203"/>
      <c r="M26" s="287" t="s">
        <v>267</v>
      </c>
      <c r="N26" s="37">
        <v>0.67</v>
      </c>
      <c r="O26" s="208"/>
      <c r="P26" s="203"/>
      <c r="Q26" s="203"/>
      <c r="R26" s="203"/>
      <c r="S26" s="203"/>
      <c r="T26" s="203"/>
      <c r="U26" s="203"/>
      <c r="V26" s="203"/>
      <c r="W26" s="203"/>
      <c r="X26" s="203"/>
      <c r="Y26" s="203"/>
      <c r="Z26" s="203"/>
      <c r="AA26" s="203"/>
      <c r="AB26" s="203"/>
      <c r="AC26" s="203"/>
      <c r="AD26" s="203"/>
      <c r="AE26" s="203"/>
      <c r="AF26" s="203"/>
      <c r="AG26" s="203"/>
      <c r="AH26" s="203"/>
    </row>
    <row r="27" spans="1:34">
      <c r="B27" s="286">
        <f t="shared" si="4"/>
        <v>9</v>
      </c>
      <c r="C27" s="285">
        <f t="shared" si="5"/>
        <v>479.23700000000099</v>
      </c>
      <c r="D27" s="262">
        <v>2.1939000000000002</v>
      </c>
      <c r="E27" s="285">
        <f t="shared" si="6"/>
        <v>218.44067642098588</v>
      </c>
      <c r="F27" s="285">
        <f t="shared" si="7"/>
        <v>1137.1166416170138</v>
      </c>
      <c r="G27" s="75">
        <f t="shared" si="8"/>
        <v>9293.5325593691596</v>
      </c>
      <c r="H27" s="77">
        <f t="shared" si="9"/>
        <v>0.14586028610524546</v>
      </c>
      <c r="I27" s="122"/>
      <c r="J27" s="121"/>
      <c r="K27" s="203"/>
      <c r="L27" s="203"/>
      <c r="M27" s="287" t="s">
        <v>269</v>
      </c>
      <c r="N27" s="37">
        <v>0.01</v>
      </c>
      <c r="O27" s="203"/>
      <c r="P27" s="203"/>
      <c r="Q27" s="203"/>
      <c r="R27" s="203"/>
      <c r="S27" s="203"/>
      <c r="T27" s="203"/>
      <c r="U27" s="203"/>
      <c r="V27" s="203"/>
      <c r="W27" s="203"/>
      <c r="X27" s="203"/>
      <c r="Y27" s="203"/>
      <c r="Z27" s="203"/>
      <c r="AA27" s="203"/>
      <c r="AB27" s="203"/>
      <c r="AC27" s="203"/>
      <c r="AD27" s="203"/>
      <c r="AE27" s="203"/>
      <c r="AF27" s="203"/>
      <c r="AG27" s="203"/>
      <c r="AH27" s="203"/>
    </row>
    <row r="28" spans="1:34">
      <c r="B28" s="286">
        <f t="shared" si="4"/>
        <v>10</v>
      </c>
      <c r="C28" s="285">
        <f t="shared" si="5"/>
        <v>402.5590800000009</v>
      </c>
      <c r="D28" s="262">
        <v>2.1939000000000002</v>
      </c>
      <c r="E28" s="285">
        <f t="shared" si="6"/>
        <v>183.49016819362819</v>
      </c>
      <c r="F28" s="285">
        <f t="shared" si="7"/>
        <v>1226.2894425658915</v>
      </c>
      <c r="G28" s="75">
        <f t="shared" si="8"/>
        <v>9477.0227275627876</v>
      </c>
      <c r="H28" s="77">
        <f t="shared" si="9"/>
        <v>0.14875764797517518</v>
      </c>
      <c r="I28" s="122"/>
      <c r="J28" s="243"/>
      <c r="K28" s="203"/>
      <c r="L28" s="203"/>
      <c r="M28" s="287" t="str">
        <f>Beta!B13</f>
        <v>Marginal Corporate Tax Rate (%)</v>
      </c>
      <c r="N28" s="302">
        <f>Beta!C13</f>
        <v>0.25169999999999998</v>
      </c>
      <c r="O28" s="203"/>
      <c r="P28" s="203"/>
      <c r="Q28" s="203"/>
      <c r="R28" s="203"/>
      <c r="S28" s="203"/>
      <c r="T28" s="203"/>
      <c r="U28" s="203"/>
      <c r="V28" s="203"/>
      <c r="W28" s="203"/>
      <c r="X28" s="203"/>
      <c r="Y28" s="203"/>
      <c r="Z28" s="203"/>
      <c r="AA28" s="203"/>
      <c r="AB28" s="203"/>
      <c r="AC28" s="203"/>
      <c r="AD28" s="203"/>
      <c r="AE28" s="203"/>
      <c r="AF28" s="203"/>
      <c r="AG28" s="203"/>
      <c r="AH28" s="203"/>
    </row>
    <row r="29" spans="1:34">
      <c r="E29" s="282"/>
      <c r="K29" s="203"/>
      <c r="L29" s="203"/>
      <c r="M29" s="287" t="str">
        <f>Beta!B14</f>
        <v>Effective Tax Rate (Trent Ltd)</v>
      </c>
      <c r="N29" s="302">
        <f>Beta!C14</f>
        <v>0.22739999999999999</v>
      </c>
      <c r="O29" s="203"/>
      <c r="P29" s="203"/>
      <c r="Q29" s="203"/>
      <c r="R29" s="203"/>
      <c r="S29" s="203"/>
      <c r="T29" s="203"/>
      <c r="U29" s="203"/>
      <c r="V29" s="203"/>
      <c r="W29" s="203"/>
      <c r="X29" s="203"/>
      <c r="Y29" s="203"/>
      <c r="Z29" s="203"/>
      <c r="AA29" s="203"/>
      <c r="AB29" s="203"/>
      <c r="AC29" s="203"/>
      <c r="AD29" s="203"/>
      <c r="AE29" s="203"/>
      <c r="AF29" s="203"/>
      <c r="AG29" s="203"/>
      <c r="AH29" s="203"/>
    </row>
    <row r="30" spans="1:34" ht="14.25" customHeight="1">
      <c r="J30" s="129"/>
      <c r="K30" s="203"/>
      <c r="L30" s="203"/>
      <c r="P30" s="203"/>
      <c r="Q30" s="203"/>
      <c r="R30" s="203"/>
      <c r="S30" s="203"/>
      <c r="T30" s="203"/>
      <c r="U30" s="203"/>
      <c r="V30" s="203"/>
      <c r="W30" s="203"/>
      <c r="X30" s="203"/>
      <c r="Y30" s="203"/>
      <c r="Z30" s="203"/>
      <c r="AA30" s="203"/>
      <c r="AB30" s="203"/>
      <c r="AC30" s="203"/>
      <c r="AD30" s="203"/>
      <c r="AE30" s="203"/>
      <c r="AF30" s="203"/>
      <c r="AG30" s="203"/>
      <c r="AH30" s="203"/>
    </row>
    <row r="31" spans="1:34">
      <c r="G31" s="203"/>
      <c r="H31" s="203"/>
      <c r="I31" s="203"/>
      <c r="J31" s="203"/>
      <c r="K31" s="203"/>
      <c r="L31" s="203"/>
      <c r="P31" s="203"/>
      <c r="Q31" s="203"/>
      <c r="R31" s="203"/>
      <c r="S31" s="203"/>
      <c r="T31" s="203"/>
      <c r="U31" s="203"/>
      <c r="V31" s="203"/>
      <c r="W31" s="203"/>
      <c r="X31" s="203"/>
      <c r="Y31" s="203"/>
      <c r="Z31" s="203"/>
      <c r="AA31" s="203"/>
      <c r="AB31" s="203"/>
      <c r="AC31" s="203"/>
      <c r="AD31" s="203"/>
      <c r="AE31" s="203"/>
      <c r="AF31" s="203"/>
      <c r="AG31" s="203"/>
      <c r="AH31" s="203"/>
    </row>
    <row r="32" spans="1:34">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c r="AG32" s="203"/>
      <c r="AH32" s="203"/>
    </row>
    <row r="33" spans="7:34">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c r="AG33" s="203"/>
      <c r="AH33" s="203"/>
    </row>
    <row r="34" spans="7:34">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c r="AG34" s="203"/>
      <c r="AH34" s="203"/>
    </row>
    <row r="35" spans="7:34">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c r="AG35" s="203"/>
      <c r="AH35" s="203"/>
    </row>
    <row r="36" spans="7:34">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c r="AG36" s="203"/>
      <c r="AH36" s="203"/>
    </row>
    <row r="37" spans="7:34">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c r="AG37" s="203"/>
      <c r="AH37" s="203"/>
    </row>
    <row r="38" spans="7:34">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c r="AG38" s="203"/>
      <c r="AH38" s="203"/>
    </row>
  </sheetData>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29.28515625" style="198" customWidth="1"/>
    <col min="3" max="3" width="11.7109375" style="198" customWidth="1"/>
    <col min="4" max="4" width="4.85546875" style="198" customWidth="1"/>
    <col min="5" max="5" width="5.140625" style="198" customWidth="1"/>
    <col min="6" max="6" width="24.28515625" style="198" customWidth="1"/>
    <col min="7" max="7" width="10.14062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258</v>
      </c>
      <c r="C1" s="196"/>
      <c r="D1" s="196"/>
      <c r="E1" s="196"/>
      <c r="F1" s="196"/>
      <c r="G1" s="196"/>
      <c r="H1" s="196"/>
      <c r="I1" s="196"/>
      <c r="J1" s="196"/>
      <c r="K1" s="196"/>
      <c r="L1" s="196"/>
    </row>
    <row r="2" spans="1:32" ht="12" customHeight="1">
      <c r="C2" s="226"/>
    </row>
    <row r="3" spans="1:32" ht="12" customHeight="1">
      <c r="A3" s="200"/>
      <c r="B3" s="229" t="s">
        <v>285</v>
      </c>
      <c r="C3" s="269">
        <v>0.04</v>
      </c>
      <c r="F3" s="442" t="s">
        <v>289</v>
      </c>
      <c r="G3" s="442"/>
      <c r="H3" s="442"/>
      <c r="I3" s="442"/>
      <c r="J3" s="442"/>
      <c r="K3" s="442"/>
      <c r="L3" s="244"/>
      <c r="M3" s="244"/>
      <c r="N3" s="244"/>
      <c r="O3" s="244"/>
      <c r="P3" s="244"/>
      <c r="Q3" s="244"/>
    </row>
    <row r="4" spans="1:32" ht="12" customHeight="1">
      <c r="A4" s="205"/>
      <c r="B4" s="215" t="s">
        <v>286</v>
      </c>
      <c r="C4" s="95">
        <f>'Future Cashflows (10 Yrs)'!H28</f>
        <v>0.14875764797517518</v>
      </c>
      <c r="F4" s="113" t="s">
        <v>161</v>
      </c>
      <c r="G4" s="95">
        <f>'Risk Free Rate'!C4</f>
        <v>5.722E-2</v>
      </c>
      <c r="H4" s="211"/>
      <c r="I4" s="211"/>
      <c r="J4" s="211"/>
      <c r="K4" s="216"/>
      <c r="L4" s="328"/>
      <c r="M4" s="328"/>
      <c r="N4" s="328"/>
      <c r="O4" s="328"/>
      <c r="P4" s="328"/>
      <c r="Q4" s="199"/>
      <c r="S4" s="202"/>
      <c r="T4" s="202"/>
      <c r="U4" s="202"/>
      <c r="V4" s="202"/>
      <c r="AA4" s="202"/>
    </row>
    <row r="5" spans="1:32" ht="12" customHeight="1">
      <c r="A5" s="205"/>
      <c r="B5" s="219" t="s">
        <v>260</v>
      </c>
      <c r="C5" s="315">
        <f>C3/C4</f>
        <v>0.26889373786465914</v>
      </c>
      <c r="F5" s="113" t="s">
        <v>20</v>
      </c>
      <c r="G5" s="95">
        <f>'Equity Risk Premium'!F28</f>
        <v>3.6515277892807708E-2</v>
      </c>
      <c r="H5" s="211"/>
      <c r="I5" s="211"/>
      <c r="J5" s="211"/>
      <c r="K5" s="216"/>
      <c r="L5" s="49"/>
      <c r="M5" s="49"/>
      <c r="N5" s="49"/>
      <c r="O5" s="49"/>
      <c r="P5" s="49"/>
      <c r="Q5" s="49"/>
      <c r="S5" s="203"/>
      <c r="T5" s="203"/>
      <c r="U5" s="203"/>
      <c r="V5" s="203"/>
      <c r="W5" s="203"/>
      <c r="X5" s="203"/>
      <c r="Y5" s="203"/>
      <c r="Z5" s="203"/>
      <c r="AA5" s="203"/>
      <c r="AB5" s="203"/>
      <c r="AC5" s="203"/>
      <c r="AD5" s="203"/>
      <c r="AE5" s="203"/>
      <c r="AF5" s="203"/>
    </row>
    <row r="6" spans="1:32" ht="12" customHeight="1">
      <c r="A6" s="205"/>
      <c r="B6" s="211"/>
      <c r="C6" s="211"/>
      <c r="F6" s="113" t="s">
        <v>162</v>
      </c>
      <c r="G6" s="178">
        <v>0.91500000000000004</v>
      </c>
      <c r="H6" s="318" t="s">
        <v>291</v>
      </c>
      <c r="I6" s="211"/>
      <c r="J6" s="211"/>
      <c r="K6" s="216"/>
      <c r="L6" s="235"/>
      <c r="M6" s="235"/>
      <c r="N6" s="235"/>
      <c r="O6" s="235"/>
      <c r="P6" s="235"/>
      <c r="Q6" s="235"/>
      <c r="S6" s="203"/>
      <c r="T6" s="203"/>
      <c r="U6" s="203"/>
      <c r="V6" s="203"/>
      <c r="W6" s="203"/>
      <c r="X6" s="203"/>
      <c r="Y6" s="203"/>
      <c r="Z6" s="203"/>
      <c r="AA6" s="203"/>
      <c r="AB6" s="203"/>
      <c r="AC6" s="203"/>
      <c r="AD6" s="203"/>
      <c r="AE6" s="203"/>
      <c r="AF6" s="203"/>
    </row>
    <row r="7" spans="1:32" ht="12" customHeight="1">
      <c r="B7" s="215" t="s">
        <v>287</v>
      </c>
      <c r="C7" s="188">
        <f>('Future Cashflows (10 Yrs)'!$G$14*(1+'Future Cashflows (10 Yrs)'!$H$14))*'Future Cashflows (10 Yrs)'!$I$14</f>
        <v>1959.335554176</v>
      </c>
      <c r="F7" s="20"/>
      <c r="G7" s="20"/>
      <c r="H7" s="211"/>
      <c r="I7" s="211"/>
      <c r="J7" s="211"/>
      <c r="K7" s="211"/>
      <c r="N7" s="203"/>
      <c r="O7" s="203"/>
      <c r="P7" s="226"/>
      <c r="Q7" s="235"/>
      <c r="S7" s="203"/>
      <c r="T7" s="203"/>
      <c r="U7" s="203"/>
      <c r="V7" s="203"/>
      <c r="W7" s="203"/>
      <c r="X7" s="203"/>
      <c r="Y7" s="203"/>
      <c r="Z7" s="203"/>
      <c r="AA7" s="203"/>
      <c r="AB7" s="203"/>
      <c r="AC7" s="203"/>
      <c r="AD7" s="203"/>
      <c r="AE7" s="203"/>
      <c r="AF7" s="203"/>
    </row>
    <row r="8" spans="1:32" ht="12" customHeight="1">
      <c r="A8" s="205"/>
      <c r="B8" s="215" t="s">
        <v>288</v>
      </c>
      <c r="C8" s="95">
        <f>'Future Cashflows (10 Yrs)'!N28</f>
        <v>0.25169999999999998</v>
      </c>
      <c r="F8" s="113" t="s">
        <v>17</v>
      </c>
      <c r="G8" s="57">
        <f>G4+G6*G5</f>
        <v>9.0631479271919058E-2</v>
      </c>
      <c r="H8" s="211"/>
      <c r="I8" s="211"/>
      <c r="J8" s="211"/>
      <c r="K8" s="319"/>
      <c r="O8" s="203"/>
      <c r="P8" s="203"/>
      <c r="Q8" s="203"/>
      <c r="R8" s="203"/>
      <c r="S8" s="203"/>
      <c r="T8" s="203"/>
      <c r="U8" s="203"/>
      <c r="V8" s="203"/>
      <c r="W8" s="203"/>
      <c r="X8" s="203"/>
      <c r="Y8" s="203"/>
      <c r="Z8" s="203"/>
      <c r="AA8" s="203"/>
      <c r="AB8" s="203"/>
      <c r="AC8" s="203"/>
      <c r="AD8" s="203"/>
      <c r="AE8" s="203"/>
      <c r="AF8" s="203"/>
    </row>
    <row r="9" spans="1:32" ht="12" customHeight="1">
      <c r="A9" s="205"/>
      <c r="B9" s="219" t="s">
        <v>222</v>
      </c>
      <c r="C9" s="220">
        <f>C7*(1-C8)</f>
        <v>1466.1707951899007</v>
      </c>
      <c r="F9" s="211"/>
      <c r="G9" s="211"/>
      <c r="H9" s="211"/>
      <c r="I9" s="211"/>
      <c r="J9" s="211"/>
      <c r="K9" s="287"/>
      <c r="O9" s="203"/>
      <c r="P9" s="203"/>
      <c r="Q9" s="203"/>
      <c r="R9" s="203"/>
      <c r="S9" s="203"/>
      <c r="T9" s="203"/>
      <c r="U9" s="203"/>
      <c r="V9" s="203"/>
      <c r="W9" s="203"/>
      <c r="X9" s="203"/>
      <c r="Y9" s="203"/>
      <c r="Z9" s="203"/>
      <c r="AA9" s="203"/>
      <c r="AB9" s="203"/>
      <c r="AC9" s="203"/>
      <c r="AD9" s="203"/>
      <c r="AE9" s="203"/>
      <c r="AF9" s="203"/>
    </row>
    <row r="10" spans="1:32">
      <c r="A10" s="201"/>
      <c r="B10" s="215"/>
      <c r="C10" s="323"/>
      <c r="F10" s="113" t="s">
        <v>165</v>
      </c>
      <c r="G10" s="97">
        <v>3.2140000000000002E-2</v>
      </c>
      <c r="H10" s="211"/>
      <c r="I10" s="211"/>
      <c r="J10" s="233"/>
      <c r="K10" s="287"/>
      <c r="O10" s="203"/>
      <c r="P10" s="203"/>
      <c r="Q10" s="203"/>
      <c r="R10" s="203"/>
      <c r="S10" s="203"/>
      <c r="T10" s="203"/>
      <c r="U10" s="203"/>
      <c r="V10" s="203"/>
      <c r="W10" s="203"/>
      <c r="X10" s="203"/>
      <c r="Y10" s="203"/>
      <c r="Z10" s="203"/>
      <c r="AA10" s="203"/>
      <c r="AB10" s="203"/>
      <c r="AC10" s="203"/>
      <c r="AD10" s="203"/>
      <c r="AE10" s="203"/>
      <c r="AF10" s="203"/>
    </row>
    <row r="11" spans="1:32" ht="12.75" customHeight="1">
      <c r="A11" s="205"/>
      <c r="B11" s="215" t="s">
        <v>290</v>
      </c>
      <c r="C11" s="324">
        <f>C9*(1-C5)</f>
        <v>1071.9266497232886</v>
      </c>
      <c r="F11" s="113" t="s">
        <v>164</v>
      </c>
      <c r="G11" s="178">
        <f>17.31/10.75</f>
        <v>1.6102325581395347</v>
      </c>
      <c r="H11" s="211"/>
      <c r="I11" s="211"/>
      <c r="J11" s="236"/>
      <c r="K11" s="287"/>
      <c r="O11" s="203"/>
      <c r="P11" s="203"/>
      <c r="Q11" s="203"/>
      <c r="R11" s="203"/>
      <c r="S11" s="203"/>
      <c r="T11" s="203"/>
      <c r="U11" s="203"/>
      <c r="V11" s="203"/>
      <c r="W11" s="203"/>
      <c r="X11" s="203"/>
      <c r="Y11" s="203"/>
      <c r="Z11" s="203"/>
      <c r="AA11" s="203"/>
      <c r="AB11" s="203"/>
      <c r="AC11" s="203"/>
      <c r="AD11" s="203"/>
      <c r="AE11" s="203"/>
      <c r="AF11" s="203"/>
    </row>
    <row r="12" spans="1:32">
      <c r="B12" s="287"/>
      <c r="C12" s="211"/>
      <c r="F12" s="113" t="s">
        <v>23</v>
      </c>
      <c r="G12" s="95">
        <f>'Risk Free Rate'!C8</f>
        <v>1.8700000000000001E-2</v>
      </c>
      <c r="H12" s="318"/>
      <c r="I12" s="211"/>
      <c r="J12" s="236"/>
      <c r="K12" s="287"/>
      <c r="L12" s="244"/>
      <c r="M12" s="244"/>
      <c r="N12" s="244"/>
      <c r="O12" s="244"/>
      <c r="P12" s="244"/>
      <c r="Q12" s="244"/>
      <c r="R12" s="203"/>
      <c r="S12" s="203"/>
      <c r="T12" s="203"/>
      <c r="U12" s="203"/>
      <c r="V12" s="203"/>
      <c r="W12" s="203"/>
      <c r="X12" s="203"/>
      <c r="Y12" s="203"/>
      <c r="Z12" s="203"/>
      <c r="AA12" s="203"/>
      <c r="AB12" s="203"/>
      <c r="AC12" s="203"/>
      <c r="AD12" s="203"/>
      <c r="AE12" s="203"/>
      <c r="AF12" s="203"/>
    </row>
    <row r="13" spans="1:32" ht="12" customHeight="1">
      <c r="A13" s="205"/>
      <c r="B13" s="53" t="s">
        <v>258</v>
      </c>
      <c r="C13" s="325">
        <f>C11/(G19-C3)</f>
        <v>23141.23712291315</v>
      </c>
      <c r="D13" s="2"/>
      <c r="E13" s="6"/>
      <c r="F13" s="53" t="s">
        <v>166</v>
      </c>
      <c r="G13" s="95">
        <v>6.7000000000000002E-3</v>
      </c>
      <c r="H13" s="318" t="s">
        <v>296</v>
      </c>
      <c r="I13" s="211"/>
      <c r="J13" s="236"/>
      <c r="K13" s="287"/>
      <c r="O13" s="203"/>
      <c r="P13" s="203"/>
      <c r="Q13" s="203"/>
      <c r="R13" s="203"/>
      <c r="S13" s="203"/>
      <c r="T13" s="203"/>
      <c r="U13" s="203"/>
      <c r="V13" s="203"/>
      <c r="W13" s="203"/>
      <c r="X13" s="203"/>
      <c r="Y13" s="203"/>
      <c r="Z13" s="203"/>
      <c r="AA13" s="203"/>
      <c r="AB13" s="203"/>
      <c r="AC13" s="203"/>
      <c r="AD13" s="203"/>
      <c r="AE13" s="203"/>
      <c r="AF13" s="203"/>
    </row>
    <row r="14" spans="1:32">
      <c r="D14" s="2"/>
      <c r="E14" s="6"/>
      <c r="F14" s="32"/>
      <c r="G14" s="20"/>
      <c r="H14" s="211"/>
      <c r="I14" s="211"/>
      <c r="J14" s="236"/>
      <c r="K14" s="287"/>
      <c r="O14" s="203"/>
      <c r="P14" s="203"/>
      <c r="Q14" s="203"/>
      <c r="R14" s="203"/>
      <c r="S14" s="203"/>
      <c r="T14" s="203"/>
      <c r="U14" s="203"/>
      <c r="V14" s="203"/>
      <c r="W14" s="203"/>
      <c r="X14" s="203"/>
      <c r="Y14" s="203"/>
      <c r="Z14" s="203"/>
      <c r="AA14" s="203"/>
      <c r="AB14" s="203"/>
      <c r="AC14" s="203"/>
      <c r="AD14" s="203"/>
      <c r="AE14" s="203"/>
      <c r="AF14" s="203"/>
    </row>
    <row r="15" spans="1:32">
      <c r="D15" s="6"/>
      <c r="E15" s="6"/>
      <c r="F15" s="113" t="s">
        <v>18</v>
      </c>
      <c r="G15" s="57">
        <f>G10+(G11*G12)+G13</f>
        <v>6.8951348837209298E-2</v>
      </c>
      <c r="H15" s="211"/>
      <c r="I15" s="211"/>
      <c r="J15" s="236"/>
      <c r="K15" s="287"/>
      <c r="O15" s="203"/>
      <c r="P15" s="203"/>
      <c r="Q15" s="203"/>
      <c r="R15" s="203"/>
      <c r="S15" s="203"/>
      <c r="T15" s="203"/>
      <c r="U15" s="203"/>
      <c r="V15" s="203"/>
      <c r="W15" s="203"/>
      <c r="X15" s="203"/>
      <c r="Y15" s="203"/>
      <c r="Z15" s="203"/>
      <c r="AA15" s="203"/>
      <c r="AB15" s="203"/>
      <c r="AC15" s="203"/>
      <c r="AD15" s="203"/>
      <c r="AE15" s="203"/>
      <c r="AF15" s="203"/>
    </row>
    <row r="16" spans="1:32">
      <c r="B16" s="25"/>
      <c r="C16" s="79"/>
      <c r="D16" s="26"/>
      <c r="E16" s="6"/>
      <c r="F16" s="211"/>
      <c r="G16" s="211"/>
      <c r="H16" s="211"/>
      <c r="I16" s="211"/>
      <c r="J16" s="236"/>
      <c r="K16" s="287"/>
      <c r="O16" s="203"/>
      <c r="P16" s="203"/>
      <c r="Q16" s="203"/>
      <c r="R16" s="203"/>
      <c r="S16" s="203"/>
      <c r="T16" s="203"/>
      <c r="U16" s="203"/>
      <c r="V16" s="203"/>
      <c r="W16" s="203"/>
      <c r="X16" s="203"/>
      <c r="Y16" s="203"/>
      <c r="Z16" s="203"/>
      <c r="AA16" s="203"/>
      <c r="AB16" s="203"/>
      <c r="AC16" s="203"/>
      <c r="AD16" s="203"/>
      <c r="AE16" s="203"/>
      <c r="AF16" s="203"/>
    </row>
    <row r="17" spans="1:32">
      <c r="B17" s="25"/>
      <c r="C17" s="316"/>
      <c r="D17" s="6"/>
      <c r="E17" s="26"/>
      <c r="F17" s="215" t="s">
        <v>292</v>
      </c>
      <c r="G17" s="22">
        <f>WACC!$C$9/(WACC!$C$6+WACC!$C$9)</f>
        <v>0.11042393078920196</v>
      </c>
      <c r="H17" s="211"/>
      <c r="I17" s="211"/>
      <c r="J17" s="236"/>
      <c r="K17" s="287"/>
      <c r="L17" s="203"/>
      <c r="O17" s="203"/>
      <c r="P17" s="203"/>
      <c r="Q17" s="203"/>
      <c r="R17" s="203"/>
      <c r="S17" s="203"/>
      <c r="T17" s="203"/>
      <c r="U17" s="203"/>
      <c r="V17" s="203"/>
      <c r="W17" s="203"/>
      <c r="X17" s="203"/>
      <c r="Y17" s="203"/>
      <c r="Z17" s="203"/>
      <c r="AA17" s="203"/>
      <c r="AB17" s="203"/>
      <c r="AC17" s="203"/>
      <c r="AD17" s="203"/>
      <c r="AE17" s="203"/>
      <c r="AF17" s="203"/>
    </row>
    <row r="18" spans="1:32">
      <c r="A18" s="205"/>
      <c r="B18" s="3"/>
      <c r="C18" s="3"/>
      <c r="D18" s="6"/>
      <c r="E18" s="6"/>
      <c r="F18" s="215" t="s">
        <v>293</v>
      </c>
      <c r="G18" s="320">
        <f>1-G17</f>
        <v>0.88957606921079801</v>
      </c>
      <c r="H18" s="211"/>
      <c r="I18" s="211"/>
      <c r="J18" s="236"/>
      <c r="K18" s="287"/>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B19" s="25"/>
      <c r="C19" s="60"/>
      <c r="D19" s="6"/>
      <c r="E19" s="6"/>
      <c r="F19" s="322" t="s">
        <v>294</v>
      </c>
      <c r="G19" s="321">
        <f>(G8*G18)+(G15*(1-C8)*G17)</f>
        <v>8.6321060712088171E-2</v>
      </c>
      <c r="J19" s="242"/>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B20" s="3"/>
      <c r="C20" s="3"/>
      <c r="D20" s="6"/>
      <c r="E20" s="6"/>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B21" s="55"/>
      <c r="C21" s="3"/>
      <c r="D21" s="6"/>
      <c r="E21" s="26"/>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B22" s="2"/>
      <c r="C22" s="2"/>
      <c r="D22" s="2"/>
      <c r="E22" s="2"/>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ht="12" customHeight="1">
      <c r="B23" s="18"/>
      <c r="C23" s="3"/>
      <c r="D23" s="6"/>
      <c r="E23" s="6"/>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B24" s="3"/>
      <c r="C24" s="3"/>
      <c r="D24" s="6"/>
      <c r="E24" s="6"/>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D25" s="6"/>
      <c r="E25" s="6"/>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D26" s="6"/>
      <c r="E26" s="6"/>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D27" s="26"/>
      <c r="E27" s="26"/>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D28" s="6"/>
      <c r="E28" s="6"/>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D29" s="6"/>
      <c r="E29" s="6"/>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D30" s="6"/>
      <c r="E30" s="6"/>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B31" s="113"/>
      <c r="C31" s="113"/>
      <c r="D31" s="26"/>
      <c r="E31" s="26"/>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B32" s="180"/>
      <c r="C32" s="20"/>
      <c r="D32" s="3"/>
      <c r="E32" s="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7: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7:32">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7: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7: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7: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7: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mergeCells count="1">
    <mergeCell ref="F3:K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1"/>
  </sheetPr>
  <dimension ref="B1"/>
  <sheetViews>
    <sheetView workbookViewId="0"/>
  </sheetViews>
  <sheetFormatPr defaultRowHeight="12"/>
  <cols>
    <col min="1" max="1" width="2" style="1" customWidth="1"/>
    <col min="2" max="2" width="36" style="1" customWidth="1"/>
    <col min="3" max="16384" width="9.140625" style="1"/>
  </cols>
  <sheetData>
    <row r="1" spans="2:2" ht="41.25">
      <c r="B1" s="38" t="s">
        <v>367</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38.42578125" style="198" customWidth="1"/>
    <col min="3" max="3" width="13" style="198" customWidth="1"/>
    <col min="4" max="4" width="4.28515625" style="198" customWidth="1"/>
    <col min="5" max="5" width="10.7109375" style="198" customWidth="1"/>
    <col min="6" max="6" width="16.85546875" style="198" customWidth="1"/>
    <col min="7" max="7" width="10.14062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316</v>
      </c>
      <c r="C1" s="196"/>
      <c r="D1" s="196"/>
      <c r="E1" s="196"/>
      <c r="F1" s="196"/>
      <c r="G1" s="196"/>
      <c r="H1" s="196"/>
      <c r="I1" s="196"/>
      <c r="J1" s="196"/>
      <c r="K1" s="196"/>
      <c r="L1" s="196"/>
    </row>
    <row r="2" spans="1:32" ht="12" customHeight="1">
      <c r="C2" s="226"/>
    </row>
    <row r="3" spans="1:32" ht="12" customHeight="1">
      <c r="A3" s="200"/>
      <c r="B3" s="211"/>
      <c r="C3" s="339" t="s">
        <v>180</v>
      </c>
      <c r="D3" s="327"/>
      <c r="E3" s="207"/>
      <c r="F3" s="199"/>
      <c r="G3" s="244"/>
      <c r="H3" s="244"/>
      <c r="I3" s="244"/>
      <c r="J3" s="244"/>
      <c r="K3" s="244"/>
      <c r="L3" s="244"/>
      <c r="M3" s="244"/>
      <c r="N3" s="244"/>
      <c r="O3" s="244"/>
      <c r="P3" s="244"/>
      <c r="Q3" s="244"/>
    </row>
    <row r="4" spans="1:32" ht="12" customHeight="1">
      <c r="A4" s="205"/>
      <c r="B4" s="215" t="s">
        <v>320</v>
      </c>
      <c r="C4" s="337">
        <v>82.16</v>
      </c>
      <c r="D4" s="332"/>
      <c r="E4" s="334"/>
      <c r="F4" s="333"/>
      <c r="G4" s="328"/>
      <c r="H4" s="328"/>
      <c r="I4" s="328"/>
      <c r="J4" s="328"/>
      <c r="K4" s="328"/>
      <c r="L4" s="328"/>
      <c r="M4" s="328"/>
      <c r="N4" s="328"/>
      <c r="O4" s="328"/>
      <c r="P4" s="328"/>
      <c r="Q4" s="199"/>
      <c r="S4" s="202"/>
      <c r="T4" s="202"/>
      <c r="U4" s="202"/>
      <c r="V4" s="202"/>
      <c r="AA4" s="202"/>
    </row>
    <row r="5" spans="1:32" ht="12" customHeight="1">
      <c r="A5" s="205"/>
      <c r="B5" s="215" t="s">
        <v>321</v>
      </c>
      <c r="C5" s="337">
        <f>4.21</f>
        <v>4.21</v>
      </c>
      <c r="D5" s="332"/>
      <c r="E5" s="332"/>
      <c r="F5" s="332"/>
      <c r="G5" s="49"/>
      <c r="H5" s="49"/>
      <c r="I5" s="49"/>
      <c r="J5" s="235"/>
      <c r="K5" s="49"/>
      <c r="L5" s="49"/>
      <c r="M5" s="49"/>
      <c r="N5" s="49"/>
      <c r="O5" s="49"/>
      <c r="P5" s="49"/>
      <c r="Q5" s="49"/>
      <c r="S5" s="203"/>
      <c r="T5" s="203"/>
      <c r="U5" s="203"/>
      <c r="V5" s="203"/>
      <c r="W5" s="203"/>
      <c r="X5" s="203"/>
      <c r="Y5" s="203"/>
      <c r="Z5" s="203"/>
      <c r="AA5" s="203"/>
      <c r="AB5" s="203"/>
      <c r="AC5" s="203"/>
      <c r="AD5" s="203"/>
      <c r="AE5" s="203"/>
      <c r="AF5" s="203"/>
    </row>
    <row r="6" spans="1:32" ht="12" customHeight="1">
      <c r="A6" s="205"/>
      <c r="B6" s="219" t="s">
        <v>322</v>
      </c>
      <c r="C6" s="220">
        <f>C4+C5</f>
        <v>86.36999999999999</v>
      </c>
      <c r="D6" s="332"/>
      <c r="E6" s="332"/>
      <c r="F6" s="332"/>
      <c r="G6" s="235"/>
      <c r="H6" s="235"/>
      <c r="I6" s="235"/>
      <c r="J6" s="235"/>
      <c r="K6" s="235"/>
      <c r="L6" s="235"/>
      <c r="M6" s="235"/>
      <c r="N6" s="235"/>
      <c r="O6" s="235"/>
      <c r="P6" s="235"/>
      <c r="Q6" s="235"/>
      <c r="S6" s="203"/>
      <c r="T6" s="203"/>
      <c r="U6" s="203"/>
      <c r="V6" s="203"/>
      <c r="W6" s="203"/>
      <c r="X6" s="203"/>
      <c r="Y6" s="203"/>
      <c r="Z6" s="203"/>
      <c r="AA6" s="203"/>
      <c r="AB6" s="203"/>
      <c r="AC6" s="203"/>
      <c r="AD6" s="203"/>
      <c r="AE6" s="203"/>
      <c r="AF6" s="203"/>
    </row>
    <row r="7" spans="1:32" ht="12" customHeight="1">
      <c r="B7" s="215"/>
      <c r="C7" s="335"/>
      <c r="D7" s="332"/>
      <c r="E7" s="332"/>
      <c r="F7" s="332"/>
      <c r="G7" s="235"/>
      <c r="I7" s="201"/>
      <c r="J7" s="227"/>
      <c r="N7" s="203"/>
      <c r="O7" s="203"/>
      <c r="P7" s="226"/>
      <c r="Q7" s="235"/>
      <c r="S7" s="203"/>
      <c r="T7" s="203"/>
      <c r="U7" s="203"/>
      <c r="V7" s="203"/>
      <c r="W7" s="203"/>
      <c r="X7" s="203"/>
      <c r="Y7" s="203"/>
      <c r="Z7" s="203"/>
      <c r="AA7" s="203"/>
      <c r="AB7" s="203"/>
      <c r="AC7" s="203"/>
      <c r="AD7" s="203"/>
      <c r="AE7" s="203"/>
      <c r="AF7" s="203"/>
    </row>
    <row r="8" spans="1:32" ht="12" customHeight="1">
      <c r="A8" s="205"/>
      <c r="B8" s="314" t="s">
        <v>318</v>
      </c>
      <c r="C8" s="337">
        <v>478.09</v>
      </c>
      <c r="D8" s="332"/>
      <c r="E8" s="332"/>
      <c r="F8" s="332"/>
      <c r="G8" s="312"/>
      <c r="H8" s="235"/>
      <c r="J8" s="306"/>
      <c r="K8" s="307"/>
      <c r="O8" s="203"/>
      <c r="P8" s="203"/>
      <c r="Q8" s="203"/>
      <c r="R8" s="203"/>
      <c r="S8" s="203"/>
      <c r="T8" s="203"/>
      <c r="U8" s="203"/>
      <c r="V8" s="203"/>
      <c r="W8" s="203"/>
      <c r="X8" s="203"/>
      <c r="Y8" s="203"/>
      <c r="Z8" s="203"/>
      <c r="AA8" s="203"/>
      <c r="AB8" s="203"/>
      <c r="AC8" s="203"/>
      <c r="AD8" s="203"/>
      <c r="AE8" s="203"/>
      <c r="AF8" s="203"/>
    </row>
    <row r="9" spans="1:32" ht="12" customHeight="1">
      <c r="A9" s="205"/>
      <c r="B9" s="215" t="s">
        <v>319</v>
      </c>
      <c r="C9" s="337">
        <v>48.24</v>
      </c>
      <c r="D9" s="332"/>
      <c r="E9" s="332"/>
      <c r="F9" s="332"/>
      <c r="G9" s="312"/>
      <c r="H9" s="235"/>
      <c r="J9" s="201"/>
      <c r="K9" s="227"/>
      <c r="O9" s="203"/>
      <c r="P9" s="203"/>
      <c r="Q9" s="203"/>
      <c r="R9" s="203"/>
      <c r="S9" s="203"/>
      <c r="T9" s="203"/>
      <c r="U9" s="203"/>
      <c r="V9" s="203"/>
      <c r="W9" s="203"/>
      <c r="X9" s="203"/>
      <c r="Y9" s="203"/>
      <c r="Z9" s="203"/>
      <c r="AA9" s="203"/>
      <c r="AB9" s="203"/>
      <c r="AC9" s="203"/>
      <c r="AD9" s="203"/>
      <c r="AE9" s="203"/>
      <c r="AF9" s="203"/>
    </row>
    <row r="10" spans="1:32">
      <c r="A10" s="201"/>
      <c r="B10" s="336" t="s">
        <v>317</v>
      </c>
      <c r="C10" s="338">
        <f>C8+C9</f>
        <v>526.32999999999993</v>
      </c>
      <c r="D10" s="332"/>
      <c r="E10" s="332"/>
      <c r="F10" s="332"/>
      <c r="G10" s="244"/>
      <c r="H10" s="244"/>
      <c r="I10" s="244"/>
      <c r="J10" s="244"/>
      <c r="K10" s="244"/>
      <c r="O10" s="203"/>
      <c r="P10" s="203"/>
      <c r="Q10" s="203"/>
      <c r="R10" s="203"/>
      <c r="S10" s="203"/>
      <c r="T10" s="203"/>
      <c r="U10" s="203"/>
      <c r="V10" s="203"/>
      <c r="W10" s="203"/>
      <c r="X10" s="203"/>
      <c r="Y10" s="203"/>
      <c r="Z10" s="203"/>
      <c r="AA10" s="203"/>
      <c r="AB10" s="203"/>
      <c r="AC10" s="203"/>
      <c r="AD10" s="203"/>
      <c r="AE10" s="203"/>
      <c r="AF10" s="203"/>
    </row>
    <row r="11" spans="1:32" ht="12.75" customHeight="1">
      <c r="A11" s="205"/>
      <c r="D11" s="332"/>
      <c r="E11" s="332"/>
      <c r="F11" s="332"/>
      <c r="G11" s="79"/>
      <c r="K11" s="227"/>
      <c r="O11" s="203"/>
      <c r="P11" s="203"/>
      <c r="Q11" s="203"/>
      <c r="R11" s="203"/>
      <c r="S11" s="203"/>
      <c r="T11" s="203"/>
      <c r="U11" s="203"/>
      <c r="V11" s="203"/>
      <c r="W11" s="203"/>
      <c r="X11" s="203"/>
      <c r="Y11" s="203"/>
      <c r="Z11" s="203"/>
      <c r="AA11" s="203"/>
      <c r="AB11" s="203"/>
      <c r="AC11" s="203"/>
      <c r="AD11" s="203"/>
      <c r="AE11" s="203"/>
      <c r="AF11" s="203"/>
    </row>
    <row r="12" spans="1:32">
      <c r="B12" s="215" t="s">
        <v>323</v>
      </c>
      <c r="C12" s="264">
        <f>'Expected Growth Rate'!C4</f>
        <v>8.9392126313838249E-2</v>
      </c>
      <c r="D12" s="332"/>
      <c r="E12" s="332"/>
      <c r="F12" s="332"/>
      <c r="G12" s="79"/>
      <c r="K12" s="227"/>
      <c r="L12" s="244"/>
      <c r="M12" s="244"/>
      <c r="N12" s="244"/>
      <c r="O12" s="244"/>
      <c r="P12" s="244"/>
      <c r="Q12" s="244"/>
      <c r="R12" s="203"/>
      <c r="S12" s="203"/>
      <c r="T12" s="203"/>
      <c r="U12" s="203"/>
      <c r="V12" s="203"/>
      <c r="W12" s="203"/>
      <c r="X12" s="203"/>
      <c r="Y12" s="203"/>
      <c r="Z12" s="203"/>
      <c r="AA12" s="203"/>
      <c r="AB12" s="203"/>
      <c r="AC12" s="203"/>
      <c r="AD12" s="203"/>
      <c r="AE12" s="203"/>
      <c r="AF12" s="203"/>
    </row>
    <row r="13" spans="1:32" ht="12" customHeight="1">
      <c r="A13" s="205"/>
      <c r="B13" s="215" t="s">
        <v>16</v>
      </c>
      <c r="C13" s="264">
        <f>WACC!C14</f>
        <v>0.11076149116410908</v>
      </c>
      <c r="D13" s="332"/>
      <c r="E13" s="332"/>
      <c r="F13" s="332"/>
      <c r="G13" s="316"/>
      <c r="H13" s="206"/>
      <c r="K13" s="227"/>
      <c r="O13" s="203"/>
      <c r="P13" s="203"/>
      <c r="Q13" s="203"/>
      <c r="R13" s="203"/>
      <c r="S13" s="203"/>
      <c r="T13" s="203"/>
      <c r="U13" s="203"/>
      <c r="V13" s="203"/>
      <c r="W13" s="203"/>
      <c r="X13" s="203"/>
      <c r="Y13" s="203"/>
      <c r="Z13" s="203"/>
      <c r="AA13" s="203"/>
      <c r="AB13" s="203"/>
      <c r="AC13" s="203"/>
      <c r="AD13" s="203"/>
      <c r="AE13" s="203"/>
      <c r="AF13" s="203"/>
    </row>
    <row r="14" spans="1:32">
      <c r="B14" s="219" t="s">
        <v>325</v>
      </c>
      <c r="C14" s="340">
        <f>C13-C12</f>
        <v>2.1369364850270828E-2</v>
      </c>
      <c r="D14" s="332"/>
      <c r="E14" s="332"/>
      <c r="F14" s="332"/>
      <c r="G14" s="3"/>
      <c r="O14" s="203"/>
      <c r="P14" s="203"/>
      <c r="Q14" s="203"/>
      <c r="R14" s="203"/>
      <c r="S14" s="203"/>
      <c r="T14" s="203"/>
      <c r="U14" s="203"/>
      <c r="V14" s="203"/>
      <c r="W14" s="203"/>
      <c r="X14" s="203"/>
      <c r="Y14" s="203"/>
      <c r="Z14" s="203"/>
      <c r="AA14" s="203"/>
      <c r="AB14" s="203"/>
      <c r="AC14" s="203"/>
      <c r="AD14" s="203"/>
      <c r="AE14" s="203"/>
      <c r="AF14" s="203"/>
    </row>
    <row r="15" spans="1:32">
      <c r="D15" s="332"/>
      <c r="E15" s="332"/>
      <c r="F15" s="332"/>
      <c r="G15" s="60"/>
      <c r="K15" s="308"/>
      <c r="O15" s="203"/>
      <c r="P15" s="203"/>
      <c r="Q15" s="203"/>
      <c r="R15" s="203"/>
      <c r="S15" s="203"/>
      <c r="T15" s="203"/>
      <c r="U15" s="203"/>
      <c r="V15" s="203"/>
      <c r="W15" s="203"/>
      <c r="X15" s="203"/>
      <c r="Y15" s="203"/>
      <c r="Z15" s="203"/>
      <c r="AA15" s="203"/>
      <c r="AB15" s="203"/>
      <c r="AC15" s="203"/>
      <c r="AD15" s="203"/>
      <c r="AE15" s="203"/>
      <c r="AF15" s="203"/>
    </row>
    <row r="16" spans="1:32">
      <c r="B16" s="215" t="s">
        <v>324</v>
      </c>
      <c r="C16" s="224">
        <f>(C6+C10)*(1-C14)</f>
        <v>599.60699015623902</v>
      </c>
      <c r="D16" s="332"/>
      <c r="E16" s="332"/>
      <c r="F16" s="332"/>
      <c r="K16" s="203"/>
      <c r="O16" s="203"/>
      <c r="P16" s="203"/>
      <c r="Q16" s="203"/>
      <c r="R16" s="203"/>
      <c r="S16" s="203"/>
      <c r="T16" s="203"/>
      <c r="U16" s="203"/>
      <c r="V16" s="203"/>
      <c r="W16" s="203"/>
      <c r="X16" s="203"/>
      <c r="Y16" s="203"/>
      <c r="Z16" s="203"/>
      <c r="AA16" s="203"/>
      <c r="AB16" s="203"/>
      <c r="AC16" s="203"/>
      <c r="AD16" s="203"/>
      <c r="AE16" s="203"/>
      <c r="AF16" s="203"/>
    </row>
    <row r="17" spans="1:32">
      <c r="D17" s="332"/>
      <c r="E17" s="332"/>
      <c r="F17" s="332"/>
      <c r="G17" s="86"/>
      <c r="J17" s="207"/>
      <c r="K17" s="203"/>
      <c r="L17" s="203"/>
      <c r="O17" s="203"/>
      <c r="P17" s="203"/>
      <c r="Q17" s="203"/>
      <c r="R17" s="203"/>
      <c r="S17" s="203"/>
      <c r="T17" s="203"/>
      <c r="U17" s="203"/>
      <c r="V17" s="203"/>
      <c r="W17" s="203"/>
      <c r="X17" s="203"/>
      <c r="Y17" s="203"/>
      <c r="Z17" s="203"/>
      <c r="AA17" s="203"/>
      <c r="AB17" s="203"/>
      <c r="AC17" s="203"/>
      <c r="AD17" s="203"/>
      <c r="AE17" s="203"/>
      <c r="AF17" s="203"/>
    </row>
    <row r="18" spans="1:32">
      <c r="A18" s="205"/>
      <c r="B18" s="201"/>
      <c r="C18" s="332"/>
      <c r="D18" s="332"/>
      <c r="E18" s="332"/>
      <c r="F18" s="332"/>
      <c r="G18" s="316"/>
      <c r="J18" s="23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C19" s="332"/>
      <c r="D19" s="332"/>
      <c r="E19" s="332"/>
      <c r="F19" s="332"/>
      <c r="G19" s="79"/>
      <c r="H19" s="206"/>
      <c r="J19" s="235"/>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C20" s="332"/>
      <c r="D20" s="332"/>
      <c r="E20" s="332"/>
      <c r="F20" s="332"/>
      <c r="G20" s="79"/>
      <c r="H20" s="206"/>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C21" s="332"/>
      <c r="D21" s="332"/>
      <c r="E21" s="332"/>
      <c r="F21" s="332"/>
      <c r="G21" s="3"/>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3"/>
      <c r="F22" s="25"/>
      <c r="G22" s="60"/>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ht="12" customHeight="1">
      <c r="E23" s="6"/>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E24" s="6"/>
      <c r="F24" s="201"/>
      <c r="G24" s="21"/>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E25" s="6"/>
      <c r="F25" s="201"/>
      <c r="G25" s="329"/>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D26" s="6"/>
      <c r="E26" s="6"/>
      <c r="F26" s="201"/>
      <c r="G26" s="79"/>
      <c r="J26" s="242"/>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D27" s="26"/>
      <c r="E27" s="26"/>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D28" s="6"/>
      <c r="E28" s="6"/>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D29" s="6"/>
      <c r="E29" s="6"/>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D30" s="6"/>
      <c r="E30" s="6"/>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D31" s="26"/>
      <c r="E31" s="26"/>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D32" s="3"/>
      <c r="E32" s="3"/>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4:32">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4:32">
      <c r="D34" s="25"/>
      <c r="E34" s="25"/>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4:32">
      <c r="D35" s="55"/>
      <c r="E35" s="3"/>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4: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4: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4: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38"/>
  <sheetViews>
    <sheetView workbookViewId="0"/>
  </sheetViews>
  <sheetFormatPr defaultRowHeight="12"/>
  <cols>
    <col min="1" max="1" width="2" style="198" customWidth="1"/>
    <col min="2" max="2" width="36.85546875" style="198" customWidth="1"/>
    <col min="3" max="3" width="14.28515625" style="198" customWidth="1"/>
    <col min="4" max="4" width="12.140625" style="198" customWidth="1"/>
    <col min="5" max="5" width="24.85546875" style="198" customWidth="1"/>
    <col min="6" max="6" width="13.7109375" style="198" customWidth="1"/>
    <col min="7" max="7" width="10.140625" style="198" customWidth="1" collapsed="1"/>
    <col min="8" max="9" width="10.42578125" style="198" customWidth="1"/>
    <col min="10" max="10" width="9.140625" style="198" customWidth="1"/>
    <col min="11" max="11" width="9" style="198" customWidth="1"/>
    <col min="12" max="12" width="9.85546875" style="198" customWidth="1"/>
    <col min="13" max="26" width="9.140625" style="198" customWidth="1"/>
    <col min="27" max="27" width="9.28515625" style="198" customWidth="1"/>
    <col min="28" max="28" width="9.42578125" style="198" customWidth="1"/>
    <col min="29" max="29" width="10" style="198" customWidth="1"/>
    <col min="30" max="30" width="11.42578125" style="198" customWidth="1"/>
    <col min="31" max="31" width="9.42578125" style="198" bestFit="1" customWidth="1" collapsed="1"/>
    <col min="32" max="16384" width="9.140625" style="198"/>
  </cols>
  <sheetData>
    <row r="1" spans="1:32" s="197" customFormat="1" ht="15" customHeight="1">
      <c r="B1" s="18" t="s">
        <v>347</v>
      </c>
      <c r="C1" s="196"/>
      <c r="D1" s="196"/>
      <c r="E1" s="196"/>
      <c r="F1" s="196"/>
      <c r="G1" s="196"/>
      <c r="H1" s="196"/>
      <c r="I1" s="196"/>
      <c r="J1" s="196"/>
      <c r="K1" s="196"/>
      <c r="L1" s="196"/>
    </row>
    <row r="2" spans="1:32" ht="12" customHeight="1">
      <c r="C2" s="226"/>
    </row>
    <row r="3" spans="1:32" ht="12" customHeight="1">
      <c r="A3" s="200"/>
      <c r="B3" s="306"/>
      <c r="C3" s="327"/>
      <c r="F3" s="244"/>
      <c r="G3" s="244"/>
      <c r="H3" s="244"/>
      <c r="I3" s="244"/>
      <c r="J3" s="244"/>
      <c r="K3" s="244"/>
      <c r="L3" s="244"/>
      <c r="M3" s="244"/>
      <c r="N3" s="244"/>
      <c r="O3" s="244"/>
      <c r="P3" s="244"/>
      <c r="Q3" s="244"/>
    </row>
    <row r="4" spans="1:32" ht="12" customHeight="1">
      <c r="A4" s="205"/>
      <c r="B4" s="261" t="s">
        <v>305</v>
      </c>
      <c r="C4" s="331" t="s">
        <v>306</v>
      </c>
      <c r="D4" s="260" t="s">
        <v>307</v>
      </c>
      <c r="E4" s="260" t="s">
        <v>313</v>
      </c>
      <c r="F4" s="260" t="s">
        <v>345</v>
      </c>
      <c r="G4" s="328"/>
      <c r="H4" s="328"/>
      <c r="I4" s="328"/>
      <c r="J4" s="328"/>
      <c r="K4" s="328"/>
      <c r="L4" s="328"/>
      <c r="M4" s="328"/>
      <c r="N4" s="328"/>
      <c r="O4" s="328"/>
      <c r="P4" s="328"/>
      <c r="Q4" s="199"/>
      <c r="S4" s="202"/>
      <c r="T4" s="202"/>
      <c r="U4" s="202"/>
      <c r="V4" s="202"/>
      <c r="AA4" s="202"/>
    </row>
    <row r="5" spans="1:32" ht="12" customHeight="1">
      <c r="A5" s="205"/>
      <c r="B5" s="215" t="s">
        <v>299</v>
      </c>
      <c r="C5" s="97" t="s">
        <v>311</v>
      </c>
      <c r="D5" s="330">
        <v>1</v>
      </c>
      <c r="E5" s="212"/>
      <c r="F5" s="360">
        <v>0</v>
      </c>
      <c r="G5" s="49"/>
      <c r="H5" s="49"/>
      <c r="I5" s="49"/>
      <c r="J5" s="235"/>
      <c r="K5" s="49"/>
      <c r="L5" s="49"/>
      <c r="M5" s="49"/>
      <c r="N5" s="49"/>
      <c r="O5" s="49"/>
      <c r="P5" s="49"/>
      <c r="Q5" s="49"/>
      <c r="S5" s="203"/>
      <c r="T5" s="203"/>
      <c r="U5" s="203"/>
      <c r="V5" s="203"/>
      <c r="W5" s="203"/>
      <c r="X5" s="203"/>
      <c r="Y5" s="203"/>
      <c r="Z5" s="203"/>
      <c r="AA5" s="203"/>
      <c r="AB5" s="203"/>
      <c r="AC5" s="203"/>
      <c r="AD5" s="203"/>
      <c r="AE5" s="203"/>
      <c r="AF5" s="203"/>
    </row>
    <row r="6" spans="1:32" ht="12" customHeight="1">
      <c r="A6" s="205"/>
      <c r="B6" s="215" t="s">
        <v>302</v>
      </c>
      <c r="C6" s="97" t="s">
        <v>311</v>
      </c>
      <c r="D6" s="330">
        <v>1</v>
      </c>
      <c r="E6" s="212"/>
      <c r="F6" s="360">
        <v>0</v>
      </c>
      <c r="G6" s="235"/>
      <c r="H6" s="235"/>
      <c r="I6" s="235"/>
      <c r="J6" s="235"/>
      <c r="K6" s="235"/>
      <c r="L6" s="235"/>
      <c r="M6" s="235"/>
      <c r="N6" s="235"/>
      <c r="O6" s="235"/>
      <c r="P6" s="235"/>
      <c r="Q6" s="235"/>
      <c r="S6" s="203"/>
      <c r="T6" s="203"/>
      <c r="U6" s="203"/>
      <c r="V6" s="203"/>
      <c r="W6" s="203"/>
      <c r="X6" s="203"/>
      <c r="Y6" s="203"/>
      <c r="Z6" s="203"/>
      <c r="AA6" s="203"/>
      <c r="AB6" s="203"/>
      <c r="AC6" s="203"/>
      <c r="AD6" s="203"/>
      <c r="AE6" s="203"/>
      <c r="AF6" s="203"/>
    </row>
    <row r="7" spans="1:32" ht="12" customHeight="1">
      <c r="B7" s="215" t="s">
        <v>310</v>
      </c>
      <c r="C7" s="97" t="s">
        <v>311</v>
      </c>
      <c r="D7" s="330">
        <v>1</v>
      </c>
      <c r="E7" s="212"/>
      <c r="F7" s="360">
        <v>0</v>
      </c>
      <c r="G7" s="235"/>
      <c r="I7" s="201"/>
      <c r="J7" s="227"/>
      <c r="N7" s="203"/>
      <c r="O7" s="203"/>
      <c r="P7" s="226"/>
      <c r="Q7" s="235"/>
      <c r="S7" s="203"/>
      <c r="T7" s="203"/>
      <c r="U7" s="203"/>
      <c r="V7" s="203"/>
      <c r="W7" s="203"/>
      <c r="X7" s="203"/>
      <c r="Y7" s="203"/>
      <c r="Z7" s="203"/>
      <c r="AA7" s="203"/>
      <c r="AB7" s="203"/>
      <c r="AC7" s="203"/>
      <c r="AD7" s="203"/>
      <c r="AE7" s="203"/>
      <c r="AF7" s="203"/>
    </row>
    <row r="8" spans="1:32" ht="12" customHeight="1">
      <c r="A8" s="205"/>
      <c r="B8" s="215" t="s">
        <v>304</v>
      </c>
      <c r="C8" s="97" t="s">
        <v>311</v>
      </c>
      <c r="D8" s="330">
        <v>1</v>
      </c>
      <c r="E8" s="212"/>
      <c r="F8" s="360">
        <v>0</v>
      </c>
      <c r="G8" s="312"/>
      <c r="H8" s="235"/>
      <c r="J8" s="306"/>
      <c r="K8" s="307"/>
      <c r="O8" s="203"/>
      <c r="P8" s="203"/>
      <c r="Q8" s="203"/>
      <c r="R8" s="203"/>
      <c r="S8" s="203"/>
      <c r="T8" s="203"/>
      <c r="U8" s="203"/>
      <c r="V8" s="203"/>
      <c r="W8" s="203"/>
      <c r="X8" s="203"/>
      <c r="Y8" s="203"/>
      <c r="Z8" s="203"/>
      <c r="AA8" s="203"/>
      <c r="AB8" s="203"/>
      <c r="AC8" s="203"/>
      <c r="AD8" s="203"/>
      <c r="AE8" s="203"/>
      <c r="AF8" s="203"/>
    </row>
    <row r="9" spans="1:32" ht="12" customHeight="1">
      <c r="A9" s="205"/>
      <c r="B9" s="211"/>
      <c r="C9" s="211"/>
      <c r="D9" s="211"/>
      <c r="E9" s="211"/>
      <c r="F9" s="360"/>
      <c r="G9" s="312"/>
      <c r="H9" s="235"/>
      <c r="J9" s="201"/>
      <c r="K9" s="227"/>
      <c r="O9" s="203"/>
      <c r="P9" s="203"/>
      <c r="Q9" s="203"/>
      <c r="R9" s="203"/>
      <c r="S9" s="203"/>
      <c r="T9" s="203"/>
      <c r="U9" s="203"/>
      <c r="V9" s="203"/>
      <c r="W9" s="203"/>
      <c r="X9" s="203"/>
      <c r="Y9" s="203"/>
      <c r="Z9" s="203"/>
      <c r="AA9" s="203"/>
      <c r="AB9" s="203"/>
      <c r="AC9" s="203"/>
      <c r="AD9" s="203"/>
      <c r="AE9" s="203"/>
      <c r="AF9" s="203"/>
    </row>
    <row r="10" spans="1:32">
      <c r="A10" s="201"/>
      <c r="B10" s="387" t="s">
        <v>297</v>
      </c>
      <c r="C10" s="388" t="s">
        <v>308</v>
      </c>
      <c r="D10" s="389">
        <v>0.5</v>
      </c>
      <c r="E10" s="390"/>
      <c r="F10" s="391">
        <f>-'Trent HyperMarket Pvt Ltd'!C30*(1-'Value of Cross Holdings'!D10)</f>
        <v>-324.12955797819023</v>
      </c>
      <c r="G10" s="244"/>
      <c r="H10" s="244"/>
      <c r="I10" s="244"/>
      <c r="J10" s="244"/>
      <c r="K10" s="244"/>
      <c r="O10" s="203"/>
      <c r="P10" s="203"/>
      <c r="Q10" s="203"/>
      <c r="R10" s="203"/>
      <c r="S10" s="203"/>
      <c r="T10" s="203"/>
      <c r="U10" s="203"/>
      <c r="V10" s="203"/>
      <c r="W10" s="203"/>
      <c r="X10" s="203"/>
      <c r="Y10" s="203"/>
      <c r="Z10" s="203"/>
      <c r="AA10" s="203"/>
      <c r="AB10" s="203"/>
      <c r="AC10" s="203"/>
      <c r="AD10" s="203"/>
      <c r="AE10" s="203"/>
      <c r="AF10" s="203"/>
    </row>
    <row r="11" spans="1:32" ht="12.75" customHeight="1">
      <c r="A11" s="205"/>
      <c r="B11" s="392"/>
      <c r="C11" s="392"/>
      <c r="D11" s="392"/>
      <c r="E11" s="390"/>
      <c r="F11" s="392"/>
      <c r="G11" s="79"/>
      <c r="H11" s="361"/>
      <c r="K11" s="227"/>
      <c r="O11" s="203"/>
      <c r="P11" s="203"/>
      <c r="Q11" s="203"/>
      <c r="R11" s="203"/>
      <c r="S11" s="203"/>
      <c r="T11" s="203"/>
      <c r="U11" s="203"/>
      <c r="V11" s="203"/>
      <c r="W11" s="203"/>
      <c r="X11" s="203"/>
      <c r="Y11" s="203"/>
      <c r="Z11" s="203"/>
      <c r="AA11" s="203"/>
      <c r="AB11" s="203"/>
      <c r="AC11" s="203"/>
      <c r="AD11" s="203"/>
      <c r="AE11" s="203"/>
      <c r="AF11" s="203"/>
    </row>
    <row r="12" spans="1:32">
      <c r="B12" s="392"/>
      <c r="C12" s="392"/>
      <c r="D12" s="392"/>
      <c r="E12" s="390"/>
      <c r="F12" s="392"/>
      <c r="G12" s="79"/>
      <c r="K12" s="227"/>
      <c r="L12" s="244"/>
      <c r="M12" s="244"/>
      <c r="N12" s="244"/>
      <c r="O12" s="244"/>
      <c r="P12" s="244"/>
      <c r="Q12" s="244"/>
      <c r="R12" s="203"/>
      <c r="S12" s="203"/>
      <c r="T12" s="203"/>
      <c r="U12" s="203"/>
      <c r="V12" s="203"/>
      <c r="W12" s="203"/>
      <c r="X12" s="203"/>
      <c r="Y12" s="203"/>
      <c r="Z12" s="203"/>
      <c r="AA12" s="203"/>
      <c r="AB12" s="203"/>
      <c r="AC12" s="203"/>
      <c r="AD12" s="203"/>
      <c r="AE12" s="203"/>
      <c r="AF12" s="203"/>
    </row>
    <row r="13" spans="1:32" ht="12" customHeight="1">
      <c r="A13" s="205"/>
      <c r="B13" s="211"/>
      <c r="C13" s="211"/>
      <c r="D13" s="211"/>
      <c r="E13" s="19"/>
      <c r="F13" s="360"/>
      <c r="G13" s="316"/>
      <c r="H13" s="206"/>
      <c r="K13" s="227"/>
      <c r="O13" s="203"/>
      <c r="P13" s="203"/>
      <c r="Q13" s="203"/>
      <c r="R13" s="203"/>
      <c r="S13" s="203"/>
      <c r="T13" s="203"/>
      <c r="U13" s="203"/>
      <c r="V13" s="203"/>
      <c r="W13" s="203"/>
      <c r="X13" s="203"/>
      <c r="Y13" s="203"/>
      <c r="Z13" s="203"/>
      <c r="AA13" s="203"/>
      <c r="AB13" s="203"/>
      <c r="AC13" s="203"/>
      <c r="AD13" s="203"/>
      <c r="AE13" s="203"/>
      <c r="AF13" s="203"/>
    </row>
    <row r="14" spans="1:32">
      <c r="B14" s="215" t="s">
        <v>309</v>
      </c>
      <c r="C14" s="97" t="s">
        <v>312</v>
      </c>
      <c r="D14" s="330">
        <v>0.49</v>
      </c>
      <c r="E14" s="19"/>
      <c r="F14" s="360">
        <f>'Massimo Dutti Pvt Ltd'!C30*'Value of Cross Holdings'!D14</f>
        <v>162.48642551217603</v>
      </c>
      <c r="G14" s="3"/>
      <c r="O14" s="203"/>
      <c r="P14" s="203"/>
      <c r="Q14" s="203"/>
      <c r="R14" s="203"/>
      <c r="S14" s="203"/>
      <c r="T14" s="203"/>
      <c r="U14" s="203"/>
      <c r="V14" s="203"/>
      <c r="W14" s="203"/>
      <c r="X14" s="203"/>
      <c r="Y14" s="203"/>
      <c r="Z14" s="203"/>
      <c r="AA14" s="203"/>
      <c r="AB14" s="203"/>
      <c r="AC14" s="203"/>
      <c r="AD14" s="203"/>
      <c r="AE14" s="203"/>
      <c r="AF14" s="203"/>
    </row>
    <row r="15" spans="1:32">
      <c r="B15" s="215" t="s">
        <v>303</v>
      </c>
      <c r="C15" s="97" t="s">
        <v>312</v>
      </c>
      <c r="D15" s="330">
        <v>0.49</v>
      </c>
      <c r="E15" s="19"/>
      <c r="F15" s="360">
        <f ca="1">'Inditex Retail Pvt Ltd'!C30*'Value of Cross Holdings'!D15</f>
        <v>9045.9683283484828</v>
      </c>
      <c r="G15" s="60"/>
      <c r="K15" s="308"/>
      <c r="O15" s="203"/>
      <c r="P15" s="203"/>
      <c r="Q15" s="203"/>
      <c r="R15" s="203"/>
      <c r="S15" s="203"/>
      <c r="T15" s="203"/>
      <c r="U15" s="203"/>
      <c r="V15" s="203"/>
      <c r="W15" s="203"/>
      <c r="X15" s="203"/>
      <c r="Y15" s="203"/>
      <c r="Z15" s="203"/>
      <c r="AA15" s="203"/>
      <c r="AB15" s="203"/>
      <c r="AC15" s="203"/>
      <c r="AD15" s="203"/>
      <c r="AE15" s="203"/>
      <c r="AF15" s="203"/>
    </row>
    <row r="16" spans="1:32">
      <c r="B16" s="215" t="s">
        <v>298</v>
      </c>
      <c r="C16" s="97" t="s">
        <v>312</v>
      </c>
      <c r="D16" s="330">
        <v>0.49</v>
      </c>
      <c r="E16" s="45"/>
      <c r="F16" s="360">
        <f>186.43*10.1</f>
        <v>1882.943</v>
      </c>
      <c r="K16" s="203"/>
      <c r="O16" s="203"/>
      <c r="P16" s="203"/>
      <c r="Q16" s="203"/>
      <c r="R16" s="203"/>
      <c r="S16" s="203"/>
      <c r="T16" s="203"/>
      <c r="U16" s="203"/>
      <c r="V16" s="203"/>
      <c r="W16" s="203"/>
      <c r="X16" s="203"/>
      <c r="Y16" s="203"/>
      <c r="Z16" s="203"/>
      <c r="AA16" s="203"/>
      <c r="AB16" s="203"/>
      <c r="AC16" s="203"/>
      <c r="AD16" s="203"/>
      <c r="AE16" s="203"/>
      <c r="AF16" s="203"/>
    </row>
    <row r="17" spans="1:32">
      <c r="B17" s="215" t="s">
        <v>300</v>
      </c>
      <c r="C17" s="97" t="s">
        <v>314</v>
      </c>
      <c r="D17" s="293">
        <v>0.49</v>
      </c>
      <c r="E17" s="19"/>
      <c r="F17" s="360">
        <v>0</v>
      </c>
      <c r="G17" s="86"/>
      <c r="J17" s="207"/>
      <c r="K17" s="203"/>
      <c r="L17" s="203"/>
      <c r="O17" s="203"/>
      <c r="P17" s="203"/>
      <c r="Q17" s="203"/>
      <c r="R17" s="203"/>
      <c r="S17" s="203"/>
      <c r="T17" s="203"/>
      <c r="U17" s="203"/>
      <c r="V17" s="203"/>
      <c r="W17" s="203"/>
      <c r="X17" s="203"/>
      <c r="Y17" s="203"/>
      <c r="Z17" s="203"/>
      <c r="AA17" s="203"/>
      <c r="AB17" s="203"/>
      <c r="AC17" s="203"/>
      <c r="AD17" s="203"/>
      <c r="AE17" s="203"/>
      <c r="AF17" s="203"/>
    </row>
    <row r="18" spans="1:32">
      <c r="A18" s="205"/>
      <c r="B18" s="215" t="s">
        <v>301</v>
      </c>
      <c r="C18" s="97" t="s">
        <v>314</v>
      </c>
      <c r="D18" s="293">
        <v>0.57999999999999996</v>
      </c>
      <c r="E18" s="19"/>
      <c r="F18" s="360">
        <v>0</v>
      </c>
      <c r="G18" s="316"/>
      <c r="J18" s="235"/>
      <c r="K18" s="203"/>
      <c r="L18" s="203"/>
      <c r="M18" s="203"/>
      <c r="N18" s="203"/>
      <c r="O18" s="203"/>
      <c r="P18" s="203"/>
      <c r="Q18" s="203"/>
      <c r="R18" s="203"/>
      <c r="S18" s="203"/>
      <c r="T18" s="203"/>
      <c r="U18" s="203"/>
      <c r="V18" s="203"/>
      <c r="W18" s="203"/>
      <c r="X18" s="203"/>
      <c r="Y18" s="203"/>
      <c r="Z18" s="203"/>
      <c r="AA18" s="203"/>
      <c r="AB18" s="203"/>
      <c r="AC18" s="203"/>
      <c r="AD18" s="203"/>
      <c r="AE18" s="203"/>
      <c r="AF18" s="203"/>
    </row>
    <row r="19" spans="1:32">
      <c r="B19" s="215" t="s">
        <v>315</v>
      </c>
      <c r="C19" s="97" t="s">
        <v>314</v>
      </c>
      <c r="D19" s="293">
        <v>0.49</v>
      </c>
      <c r="E19" s="19"/>
      <c r="F19" s="393">
        <f ca="1">SUM(F5:F18)</f>
        <v>10767.268195882469</v>
      </c>
      <c r="G19" s="79"/>
      <c r="H19" s="206"/>
      <c r="J19" s="235"/>
      <c r="K19" s="203"/>
      <c r="L19" s="203"/>
      <c r="M19" s="203"/>
      <c r="N19" s="203"/>
      <c r="O19" s="203"/>
      <c r="P19" s="203"/>
      <c r="Q19" s="203"/>
      <c r="R19" s="203"/>
      <c r="S19" s="203"/>
      <c r="T19" s="203"/>
      <c r="U19" s="203"/>
      <c r="V19" s="203"/>
      <c r="W19" s="203"/>
      <c r="X19" s="203"/>
      <c r="Y19" s="203"/>
      <c r="Z19" s="203"/>
      <c r="AA19" s="203"/>
      <c r="AB19" s="203"/>
      <c r="AC19" s="203"/>
      <c r="AD19" s="203"/>
      <c r="AE19" s="203"/>
      <c r="AF19" s="203"/>
    </row>
    <row r="20" spans="1:32">
      <c r="A20" s="205"/>
      <c r="E20" s="26"/>
      <c r="F20" s="3"/>
      <c r="G20" s="79"/>
      <c r="H20" s="206"/>
      <c r="J20" s="235"/>
      <c r="K20" s="203"/>
      <c r="L20" s="203"/>
      <c r="M20" s="203"/>
      <c r="N20" s="203"/>
      <c r="O20" s="203"/>
      <c r="P20" s="203"/>
      <c r="Q20" s="203"/>
      <c r="R20" s="203"/>
      <c r="S20" s="203"/>
      <c r="T20" s="203"/>
      <c r="U20" s="203"/>
      <c r="V20" s="203"/>
      <c r="W20" s="203"/>
      <c r="X20" s="203"/>
      <c r="Y20" s="203"/>
      <c r="Z20" s="203"/>
      <c r="AA20" s="203"/>
      <c r="AB20" s="203"/>
      <c r="AC20" s="203"/>
      <c r="AD20" s="203"/>
      <c r="AE20" s="203"/>
      <c r="AF20" s="203"/>
    </row>
    <row r="21" spans="1:32">
      <c r="E21" s="3"/>
      <c r="F21" s="25"/>
      <c r="G21" s="3"/>
      <c r="H21" s="386"/>
      <c r="J21" s="235"/>
      <c r="K21" s="203"/>
      <c r="L21" s="203"/>
      <c r="M21" s="203"/>
      <c r="N21" s="203"/>
      <c r="O21" s="203"/>
      <c r="P21" s="203"/>
      <c r="Q21" s="203"/>
      <c r="R21" s="203"/>
      <c r="S21" s="203"/>
      <c r="T21" s="203"/>
      <c r="U21" s="203"/>
      <c r="V21" s="203"/>
      <c r="W21" s="203"/>
      <c r="X21" s="203"/>
      <c r="Y21" s="203"/>
      <c r="Z21" s="203"/>
      <c r="AA21" s="203"/>
      <c r="AB21" s="203"/>
      <c r="AC21" s="203"/>
      <c r="AD21" s="203"/>
      <c r="AE21" s="203"/>
      <c r="AF21" s="203"/>
    </row>
    <row r="22" spans="1:32">
      <c r="E22" s="6"/>
      <c r="G22" s="60"/>
      <c r="J22" s="235"/>
      <c r="K22" s="203"/>
      <c r="L22" s="203"/>
      <c r="M22" s="203"/>
      <c r="N22" s="203"/>
      <c r="O22" s="203"/>
      <c r="P22" s="203"/>
      <c r="Q22" s="203"/>
      <c r="R22" s="203"/>
      <c r="S22" s="203"/>
      <c r="T22" s="203"/>
      <c r="U22" s="203"/>
      <c r="V22" s="203"/>
      <c r="W22" s="203"/>
      <c r="X22" s="203"/>
      <c r="Y22" s="203"/>
      <c r="Z22" s="203"/>
      <c r="AA22" s="203"/>
      <c r="AB22" s="203"/>
      <c r="AC22" s="203"/>
      <c r="AD22" s="203"/>
      <c r="AE22" s="203"/>
      <c r="AF22" s="203"/>
    </row>
    <row r="23" spans="1:32" ht="12" customHeight="1">
      <c r="E23" s="6"/>
      <c r="F23" s="201"/>
      <c r="J23" s="235"/>
      <c r="K23" s="203"/>
      <c r="L23" s="203"/>
      <c r="M23" s="203"/>
      <c r="N23" s="203"/>
      <c r="O23" s="203"/>
      <c r="P23" s="203"/>
      <c r="Q23" s="203"/>
      <c r="R23" s="203"/>
      <c r="S23" s="203"/>
      <c r="T23" s="203"/>
      <c r="U23" s="203"/>
      <c r="V23" s="203"/>
      <c r="W23" s="203"/>
      <c r="X23" s="203"/>
      <c r="Y23" s="203"/>
      <c r="Z23" s="203"/>
      <c r="AA23" s="203"/>
      <c r="AB23" s="203"/>
      <c r="AC23" s="203"/>
      <c r="AD23" s="203"/>
      <c r="AE23" s="203"/>
      <c r="AF23" s="203"/>
    </row>
    <row r="24" spans="1:32">
      <c r="E24" s="6"/>
      <c r="F24" s="201"/>
      <c r="G24" s="21"/>
      <c r="J24" s="235"/>
      <c r="K24" s="203"/>
      <c r="L24" s="203"/>
      <c r="M24" s="203"/>
      <c r="N24" s="203"/>
      <c r="O24" s="203"/>
      <c r="P24" s="203"/>
      <c r="Q24" s="203"/>
      <c r="R24" s="203"/>
      <c r="S24" s="203"/>
      <c r="T24" s="203"/>
      <c r="U24" s="203"/>
      <c r="V24" s="203"/>
      <c r="W24" s="203"/>
      <c r="X24" s="203"/>
      <c r="Y24" s="203"/>
      <c r="Z24" s="203"/>
      <c r="AA24" s="203"/>
      <c r="AB24" s="203"/>
      <c r="AC24" s="203"/>
      <c r="AD24" s="203"/>
      <c r="AE24" s="203"/>
      <c r="AF24" s="203"/>
    </row>
    <row r="25" spans="1:32">
      <c r="D25" s="6"/>
      <c r="E25" s="6"/>
      <c r="F25" s="201"/>
      <c r="G25" s="329"/>
      <c r="J25" s="235"/>
      <c r="K25" s="203"/>
      <c r="L25" s="203"/>
      <c r="M25" s="203"/>
      <c r="N25" s="203"/>
      <c r="O25" s="203"/>
      <c r="P25" s="203"/>
      <c r="Q25" s="203"/>
      <c r="R25" s="203"/>
      <c r="S25" s="203"/>
      <c r="T25" s="203"/>
      <c r="U25" s="203"/>
      <c r="V25" s="203"/>
      <c r="W25" s="203"/>
      <c r="X25" s="203"/>
      <c r="Y25" s="203"/>
      <c r="Z25" s="203"/>
      <c r="AA25" s="203"/>
      <c r="AB25" s="203"/>
      <c r="AC25" s="203"/>
      <c r="AD25" s="203"/>
      <c r="AE25" s="203"/>
      <c r="AF25" s="203"/>
    </row>
    <row r="26" spans="1:32">
      <c r="D26" s="26"/>
      <c r="E26" s="26"/>
      <c r="G26" s="79"/>
      <c r="J26" s="242"/>
      <c r="K26" s="203"/>
      <c r="L26" s="203"/>
      <c r="M26" s="203"/>
      <c r="N26" s="203"/>
      <c r="O26" s="203"/>
      <c r="P26" s="203"/>
      <c r="Q26" s="203"/>
      <c r="R26" s="203"/>
      <c r="S26" s="203"/>
      <c r="T26" s="203"/>
      <c r="U26" s="203"/>
      <c r="V26" s="203"/>
      <c r="W26" s="203"/>
      <c r="X26" s="203"/>
      <c r="Y26" s="203"/>
      <c r="Z26" s="203"/>
      <c r="AA26" s="203"/>
      <c r="AB26" s="203"/>
      <c r="AC26" s="203"/>
      <c r="AD26" s="203"/>
      <c r="AE26" s="203"/>
      <c r="AF26" s="203"/>
    </row>
    <row r="27" spans="1:32">
      <c r="D27" s="6"/>
      <c r="E27" s="6"/>
      <c r="L27" s="203"/>
      <c r="M27" s="203"/>
      <c r="N27" s="203"/>
      <c r="O27" s="203"/>
      <c r="P27" s="203"/>
      <c r="Q27" s="203"/>
      <c r="R27" s="203"/>
      <c r="S27" s="203"/>
      <c r="T27" s="203"/>
      <c r="U27" s="203"/>
      <c r="V27" s="203"/>
      <c r="W27" s="203"/>
      <c r="X27" s="203"/>
      <c r="Y27" s="203"/>
      <c r="Z27" s="203"/>
      <c r="AA27" s="203"/>
      <c r="AB27" s="203"/>
      <c r="AC27" s="203"/>
      <c r="AD27" s="203"/>
      <c r="AE27" s="203"/>
      <c r="AF27" s="203"/>
    </row>
    <row r="28" spans="1:32">
      <c r="D28" s="6"/>
      <c r="E28" s="6"/>
      <c r="L28" s="203"/>
      <c r="M28" s="203"/>
      <c r="N28" s="203"/>
      <c r="O28" s="203"/>
      <c r="P28" s="203"/>
      <c r="Q28" s="203"/>
      <c r="R28" s="203"/>
      <c r="S28" s="203"/>
      <c r="T28" s="203"/>
      <c r="U28" s="203"/>
      <c r="V28" s="203"/>
      <c r="W28" s="203"/>
      <c r="X28" s="203"/>
      <c r="Y28" s="203"/>
      <c r="Z28" s="203"/>
      <c r="AA28" s="203"/>
      <c r="AB28" s="203"/>
      <c r="AC28" s="203"/>
      <c r="AD28" s="203"/>
      <c r="AE28" s="203"/>
      <c r="AF28" s="203"/>
    </row>
    <row r="29" spans="1:32">
      <c r="D29" s="6"/>
      <c r="E29" s="6"/>
      <c r="K29" s="203"/>
      <c r="L29" s="203"/>
      <c r="M29" s="203"/>
      <c r="N29" s="203"/>
      <c r="O29" s="203"/>
      <c r="P29" s="203"/>
      <c r="Q29" s="203"/>
      <c r="R29" s="203"/>
      <c r="S29" s="203"/>
      <c r="T29" s="203"/>
      <c r="U29" s="203"/>
      <c r="V29" s="203"/>
      <c r="W29" s="203"/>
      <c r="X29" s="203"/>
      <c r="Y29" s="203"/>
      <c r="Z29" s="203"/>
      <c r="AA29" s="203"/>
      <c r="AB29" s="203"/>
      <c r="AC29" s="203"/>
      <c r="AD29" s="203"/>
      <c r="AE29" s="203"/>
      <c r="AF29" s="203"/>
    </row>
    <row r="30" spans="1:32" ht="14.25" customHeight="1">
      <c r="D30" s="26"/>
      <c r="E30" s="26"/>
      <c r="K30" s="203"/>
      <c r="L30" s="203"/>
      <c r="M30" s="203"/>
      <c r="N30" s="203"/>
      <c r="O30" s="203"/>
      <c r="P30" s="203"/>
      <c r="Q30" s="203"/>
      <c r="R30" s="203"/>
      <c r="S30" s="203"/>
      <c r="T30" s="203"/>
      <c r="U30" s="203"/>
      <c r="V30" s="203"/>
      <c r="W30" s="203"/>
      <c r="X30" s="203"/>
      <c r="Y30" s="203"/>
      <c r="Z30" s="203"/>
      <c r="AA30" s="203"/>
      <c r="AB30" s="203"/>
      <c r="AC30" s="203"/>
      <c r="AD30" s="203"/>
      <c r="AE30" s="203"/>
      <c r="AF30" s="203"/>
    </row>
    <row r="31" spans="1:32">
      <c r="D31" s="3"/>
      <c r="E31" s="3"/>
      <c r="G31" s="203"/>
      <c r="H31" s="203"/>
      <c r="I31" s="203"/>
      <c r="J31" s="203"/>
      <c r="K31" s="203"/>
      <c r="L31" s="203"/>
      <c r="M31" s="203"/>
      <c r="N31" s="203"/>
      <c r="O31" s="203"/>
      <c r="P31" s="203"/>
      <c r="Q31" s="203"/>
      <c r="R31" s="203"/>
      <c r="S31" s="203"/>
      <c r="T31" s="203"/>
      <c r="U31" s="203"/>
      <c r="V31" s="203"/>
      <c r="W31" s="203"/>
      <c r="X31" s="203"/>
      <c r="Y31" s="203"/>
      <c r="Z31" s="203"/>
      <c r="AA31" s="203"/>
      <c r="AB31" s="203"/>
      <c r="AC31" s="203"/>
      <c r="AD31" s="203"/>
      <c r="AE31" s="203"/>
      <c r="AF31" s="203"/>
    </row>
    <row r="32" spans="1:32">
      <c r="G32" s="203"/>
      <c r="H32" s="203"/>
      <c r="I32" s="203"/>
      <c r="J32" s="203"/>
      <c r="K32" s="203"/>
      <c r="L32" s="203"/>
      <c r="M32" s="203"/>
      <c r="N32" s="203"/>
      <c r="O32" s="203"/>
      <c r="P32" s="203"/>
      <c r="Q32" s="203"/>
      <c r="R32" s="203"/>
      <c r="S32" s="203"/>
      <c r="T32" s="203"/>
      <c r="U32" s="203"/>
      <c r="V32" s="203"/>
      <c r="W32" s="203"/>
      <c r="X32" s="203"/>
      <c r="Y32" s="203"/>
      <c r="Z32" s="203"/>
      <c r="AA32" s="203"/>
      <c r="AB32" s="203"/>
      <c r="AC32" s="203"/>
      <c r="AD32" s="203"/>
      <c r="AE32" s="203"/>
      <c r="AF32" s="203"/>
    </row>
    <row r="33" spans="4:32">
      <c r="D33" s="25"/>
      <c r="E33" s="25"/>
      <c r="G33" s="203"/>
      <c r="H33" s="203"/>
      <c r="I33" s="203"/>
      <c r="J33" s="203"/>
      <c r="K33" s="203"/>
      <c r="L33" s="203"/>
      <c r="M33" s="203"/>
      <c r="N33" s="203"/>
      <c r="O33" s="203"/>
      <c r="P33" s="203"/>
      <c r="Q33" s="203"/>
      <c r="R33" s="203"/>
      <c r="S33" s="203"/>
      <c r="T33" s="203"/>
      <c r="U33" s="203"/>
      <c r="V33" s="203"/>
      <c r="W33" s="203"/>
      <c r="X33" s="203"/>
      <c r="Y33" s="203"/>
      <c r="Z33" s="203"/>
      <c r="AA33" s="203"/>
      <c r="AB33" s="203"/>
      <c r="AC33" s="203"/>
      <c r="AD33" s="203"/>
      <c r="AE33" s="203"/>
      <c r="AF33" s="203"/>
    </row>
    <row r="34" spans="4:32">
      <c r="D34" s="55"/>
      <c r="E34" s="3"/>
      <c r="G34" s="203"/>
      <c r="H34" s="203"/>
      <c r="I34" s="203"/>
      <c r="J34" s="203"/>
      <c r="K34" s="203"/>
      <c r="L34" s="203"/>
      <c r="M34" s="203"/>
      <c r="N34" s="203"/>
      <c r="O34" s="203"/>
      <c r="P34" s="203"/>
      <c r="Q34" s="203"/>
      <c r="R34" s="203"/>
      <c r="S34" s="203"/>
      <c r="T34" s="203"/>
      <c r="U34" s="203"/>
      <c r="V34" s="203"/>
      <c r="W34" s="203"/>
      <c r="X34" s="203"/>
      <c r="Y34" s="203"/>
      <c r="Z34" s="203"/>
      <c r="AA34" s="203"/>
      <c r="AB34" s="203"/>
      <c r="AC34" s="203"/>
      <c r="AD34" s="203"/>
      <c r="AE34" s="203"/>
      <c r="AF34" s="203"/>
    </row>
    <row r="35" spans="4:32">
      <c r="G35" s="203"/>
      <c r="H35" s="203"/>
      <c r="I35" s="203"/>
      <c r="J35" s="203"/>
      <c r="K35" s="203"/>
      <c r="L35" s="203"/>
      <c r="M35" s="203"/>
      <c r="N35" s="203"/>
      <c r="O35" s="203"/>
      <c r="P35" s="203"/>
      <c r="Q35" s="203"/>
      <c r="R35" s="203"/>
      <c r="S35" s="203"/>
      <c r="T35" s="203"/>
      <c r="U35" s="203"/>
      <c r="V35" s="203"/>
      <c r="W35" s="203"/>
      <c r="X35" s="203"/>
      <c r="Y35" s="203"/>
      <c r="Z35" s="203"/>
      <c r="AA35" s="203"/>
      <c r="AB35" s="203"/>
      <c r="AC35" s="203"/>
      <c r="AD35" s="203"/>
      <c r="AE35" s="203"/>
      <c r="AF35" s="203"/>
    </row>
    <row r="36" spans="4:32">
      <c r="G36" s="203"/>
      <c r="H36" s="203"/>
      <c r="I36" s="203"/>
      <c r="J36" s="203"/>
      <c r="K36" s="203"/>
      <c r="L36" s="203"/>
      <c r="M36" s="203"/>
      <c r="N36" s="203"/>
      <c r="O36" s="203"/>
      <c r="P36" s="203"/>
      <c r="Q36" s="203"/>
      <c r="R36" s="203"/>
      <c r="S36" s="203"/>
      <c r="T36" s="203"/>
      <c r="U36" s="203"/>
      <c r="V36" s="203"/>
      <c r="W36" s="203"/>
      <c r="X36" s="203"/>
      <c r="Y36" s="203"/>
      <c r="Z36" s="203"/>
      <c r="AA36" s="203"/>
      <c r="AB36" s="203"/>
      <c r="AC36" s="203"/>
      <c r="AD36" s="203"/>
      <c r="AE36" s="203"/>
      <c r="AF36" s="203"/>
    </row>
    <row r="37" spans="4:32">
      <c r="G37" s="203"/>
      <c r="H37" s="203"/>
      <c r="I37" s="203"/>
      <c r="J37" s="203"/>
      <c r="K37" s="203"/>
      <c r="L37" s="203"/>
      <c r="M37" s="203"/>
      <c r="N37" s="203"/>
      <c r="O37" s="203"/>
      <c r="P37" s="203"/>
      <c r="Q37" s="203"/>
      <c r="R37" s="203"/>
      <c r="S37" s="203"/>
      <c r="T37" s="203"/>
      <c r="U37" s="203"/>
      <c r="V37" s="203"/>
      <c r="W37" s="203"/>
      <c r="X37" s="203"/>
      <c r="Y37" s="203"/>
      <c r="Z37" s="203"/>
      <c r="AA37" s="203"/>
      <c r="AB37" s="203"/>
      <c r="AC37" s="203"/>
      <c r="AD37" s="203"/>
      <c r="AE37" s="203"/>
      <c r="AF37" s="203"/>
    </row>
    <row r="38" spans="4:32">
      <c r="G38" s="203"/>
      <c r="H38" s="203"/>
      <c r="I38" s="203"/>
      <c r="J38" s="203"/>
      <c r="K38" s="203"/>
      <c r="L38" s="203"/>
      <c r="M38" s="203"/>
      <c r="N38" s="203"/>
      <c r="O38" s="203"/>
      <c r="P38" s="203"/>
      <c r="Q38" s="203"/>
      <c r="R38" s="203"/>
      <c r="S38" s="203"/>
      <c r="T38" s="203"/>
      <c r="U38" s="203"/>
      <c r="V38" s="203"/>
      <c r="W38" s="203"/>
      <c r="X38" s="203"/>
      <c r="Y38" s="203"/>
      <c r="Z38" s="203"/>
      <c r="AA38" s="203"/>
      <c r="AB38" s="203"/>
      <c r="AC38" s="203"/>
      <c r="AD38" s="203"/>
      <c r="AE38" s="203"/>
      <c r="AF38" s="203"/>
    </row>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39"/>
  <sheetViews>
    <sheetView workbookViewId="0"/>
  </sheetViews>
  <sheetFormatPr defaultRowHeight="12"/>
  <cols>
    <col min="1" max="1" width="2" style="198" customWidth="1"/>
    <col min="2" max="2" width="31.42578125" style="198" customWidth="1"/>
    <col min="3" max="3" width="14.28515625" style="198" customWidth="1"/>
    <col min="4" max="4" width="12.85546875" style="198" customWidth="1"/>
    <col min="5" max="5" width="8.42578125" style="198" bestFit="1" customWidth="1"/>
    <col min="6" max="6" width="12.85546875" style="198" customWidth="1" collapsed="1"/>
    <col min="7" max="7" width="12.42578125" style="198" customWidth="1"/>
    <col min="8" max="8" width="11.7109375" style="198" customWidth="1"/>
    <col min="9" max="9" width="12.42578125" style="198" customWidth="1"/>
    <col min="10" max="10" width="9.140625" style="198" customWidth="1"/>
    <col min="11" max="11" width="10.85546875" style="198" customWidth="1"/>
    <col min="12" max="12" width="15.85546875" style="198" customWidth="1"/>
    <col min="13" max="13" width="12.5703125" style="198" customWidth="1"/>
    <col min="14" max="14" width="13.28515625" style="198" customWidth="1"/>
    <col min="15" max="25" width="9.140625" style="198" customWidth="1"/>
    <col min="26" max="26" width="9.28515625" style="198" customWidth="1"/>
    <col min="27" max="27" width="9.42578125" style="198" customWidth="1"/>
    <col min="28" max="28" width="10" style="198" customWidth="1"/>
    <col min="29" max="29" width="11.42578125" style="198" customWidth="1"/>
    <col min="30" max="30" width="9.42578125" style="198" bestFit="1" customWidth="1" collapsed="1"/>
    <col min="31" max="16384" width="9.140625" style="198"/>
  </cols>
  <sheetData>
    <row r="1" spans="1:31" s="197" customFormat="1" ht="15" customHeight="1">
      <c r="B1" s="18" t="s">
        <v>346</v>
      </c>
      <c r="C1" s="196"/>
      <c r="D1" s="196"/>
      <c r="E1" s="196"/>
      <c r="F1" s="196"/>
      <c r="G1" s="196"/>
      <c r="H1" s="196"/>
      <c r="I1" s="196"/>
      <c r="J1" s="196"/>
      <c r="K1" s="196"/>
    </row>
    <row r="2" spans="1:31" ht="12" customHeight="1">
      <c r="C2" s="226"/>
    </row>
    <row r="3" spans="1:31" ht="12" customHeight="1">
      <c r="A3" s="200"/>
      <c r="B3" s="215" t="s">
        <v>19</v>
      </c>
      <c r="C3" s="97">
        <f>'Risk Free Rate'!C4</f>
        <v>5.722E-2</v>
      </c>
      <c r="D3" s="341"/>
      <c r="E3" s="102"/>
      <c r="F3" s="102" t="s">
        <v>281</v>
      </c>
      <c r="G3" s="102" t="s">
        <v>7</v>
      </c>
      <c r="H3" s="102" t="s">
        <v>270</v>
      </c>
      <c r="I3" s="260" t="s">
        <v>271</v>
      </c>
      <c r="J3" s="260" t="s">
        <v>3</v>
      </c>
      <c r="K3" s="260" t="s">
        <v>272</v>
      </c>
      <c r="L3" s="260" t="s">
        <v>330</v>
      </c>
      <c r="M3" s="260" t="s">
        <v>225</v>
      </c>
      <c r="N3" s="102" t="s">
        <v>275</v>
      </c>
      <c r="O3" s="244"/>
    </row>
    <row r="4" spans="1:31" ht="12" customHeight="1">
      <c r="A4" s="205"/>
      <c r="B4" s="215" t="s">
        <v>20</v>
      </c>
      <c r="C4" s="344">
        <f>'Equity Risk Premium'!F28</f>
        <v>3.6515277892807708E-2</v>
      </c>
      <c r="D4" s="341"/>
      <c r="E4" s="292" t="s">
        <v>265</v>
      </c>
      <c r="F4" s="288">
        <v>50390.700000000004</v>
      </c>
      <c r="G4" s="288">
        <v>1338.44</v>
      </c>
      <c r="H4" s="288"/>
      <c r="I4" s="347">
        <f>C17/G4</f>
        <v>-7.2689100744149859E-2</v>
      </c>
      <c r="J4" s="288">
        <f>G4*I4</f>
        <v>-97.289999999999935</v>
      </c>
      <c r="K4" s="288">
        <f>J4</f>
        <v>-97.289999999999935</v>
      </c>
      <c r="L4" s="297">
        <f>$G$4/$F$17</f>
        <v>1.4579003550966172</v>
      </c>
      <c r="M4" s="288"/>
      <c r="N4" s="288"/>
      <c r="O4" s="199"/>
      <c r="Q4" s="202"/>
      <c r="R4" s="202"/>
      <c r="S4" s="202"/>
      <c r="T4" s="202"/>
      <c r="Y4" s="202"/>
    </row>
    <row r="5" spans="1:31" ht="12" customHeight="1">
      <c r="A5" s="205"/>
      <c r="B5" s="215" t="s">
        <v>14</v>
      </c>
      <c r="C5" s="265">
        <f>Beta!C17*(1+(1-Beta!C13)*((396.63+32.69)/(186.7+345.88)))</f>
        <v>0.9388985980383574</v>
      </c>
      <c r="D5" s="341"/>
      <c r="E5" s="286">
        <v>1</v>
      </c>
      <c r="F5" s="290">
        <v>53901.12675000001</v>
      </c>
      <c r="G5" s="290">
        <f>G4*(1+H5)</f>
        <v>1873.816</v>
      </c>
      <c r="H5" s="236">
        <v>0.4</v>
      </c>
      <c r="I5" s="95">
        <v>-0.05</v>
      </c>
      <c r="J5" s="290">
        <f>G5*I5</f>
        <v>-93.69080000000001</v>
      </c>
      <c r="K5" s="289">
        <f t="shared" ref="K5:K9" si="0">J5</f>
        <v>-93.69080000000001</v>
      </c>
      <c r="L5" s="265">
        <f t="shared" ref="L5:L13" si="1">$G$4/$F$17</f>
        <v>1.4579003550966172</v>
      </c>
      <c r="M5" s="348">
        <f t="shared" ref="M5:M14" si="2">(G5-G4)/L5</f>
        <v>367.22399999999988</v>
      </c>
      <c r="N5" s="348">
        <f t="shared" ref="N5:N14" si="3">K5-M5</f>
        <v>-460.9147999999999</v>
      </c>
      <c r="O5" s="49"/>
      <c r="Q5" s="203"/>
      <c r="R5" s="203"/>
      <c r="S5" s="203"/>
      <c r="T5" s="203"/>
      <c r="U5" s="203"/>
      <c r="V5" s="203"/>
      <c r="W5" s="203"/>
      <c r="X5" s="203"/>
      <c r="Y5" s="203"/>
      <c r="Z5" s="203"/>
      <c r="AA5" s="203"/>
      <c r="AB5" s="203"/>
      <c r="AC5" s="203"/>
      <c r="AD5" s="203"/>
    </row>
    <row r="6" spans="1:31" ht="12" customHeight="1">
      <c r="A6" s="205"/>
      <c r="B6" s="219" t="s">
        <v>17</v>
      </c>
      <c r="C6" s="356">
        <f>C3+(C5*C4)</f>
        <v>9.1504143220538181E-2</v>
      </c>
      <c r="D6" s="341"/>
      <c r="E6" s="286">
        <v>2</v>
      </c>
      <c r="F6" s="290">
        <v>57635.265645000014</v>
      </c>
      <c r="G6" s="290">
        <f t="shared" ref="G6:G13" si="4">G5*(1+H6)</f>
        <v>2435.9608000000003</v>
      </c>
      <c r="H6" s="236">
        <v>0.3</v>
      </c>
      <c r="I6" s="95">
        <v>-0.03</v>
      </c>
      <c r="J6" s="290">
        <f t="shared" ref="J6:J13" si="5">G6*I6</f>
        <v>-73.078824000000012</v>
      </c>
      <c r="K6" s="289">
        <f t="shared" si="0"/>
        <v>-73.078824000000012</v>
      </c>
      <c r="L6" s="265">
        <f t="shared" si="1"/>
        <v>1.4579003550966172</v>
      </c>
      <c r="M6" s="348">
        <f t="shared" si="2"/>
        <v>385.58520000000004</v>
      </c>
      <c r="N6" s="348">
        <f t="shared" si="3"/>
        <v>-458.66402400000004</v>
      </c>
      <c r="O6" s="235"/>
      <c r="Q6" s="203"/>
      <c r="R6" s="203"/>
      <c r="S6" s="203"/>
      <c r="T6" s="203"/>
      <c r="U6" s="203"/>
      <c r="V6" s="203"/>
      <c r="W6" s="203"/>
      <c r="X6" s="203"/>
      <c r="Y6" s="203"/>
      <c r="Z6" s="203"/>
      <c r="AA6" s="203"/>
      <c r="AB6" s="203"/>
      <c r="AC6" s="203"/>
      <c r="AD6" s="203"/>
    </row>
    <row r="7" spans="1:31" ht="12" customHeight="1">
      <c r="B7" s="113" t="s">
        <v>165</v>
      </c>
      <c r="C7" s="344">
        <f>'Cost of Equity &amp; Debt'!C15</f>
        <v>3.2140000000000002E-2</v>
      </c>
      <c r="D7" s="341"/>
      <c r="E7" s="286">
        <v>3</v>
      </c>
      <c r="F7" s="290">
        <v>61604.950414425024</v>
      </c>
      <c r="G7" s="290">
        <f t="shared" si="4"/>
        <v>3044.9510000000005</v>
      </c>
      <c r="H7" s="236">
        <v>0.25</v>
      </c>
      <c r="I7" s="95">
        <v>-0.01</v>
      </c>
      <c r="J7" s="290">
        <f t="shared" si="5"/>
        <v>-30.449510000000004</v>
      </c>
      <c r="K7" s="289">
        <f t="shared" si="0"/>
        <v>-30.449510000000004</v>
      </c>
      <c r="L7" s="265">
        <f t="shared" si="1"/>
        <v>1.4579003550966172</v>
      </c>
      <c r="M7" s="348">
        <f t="shared" si="2"/>
        <v>417.71730000000002</v>
      </c>
      <c r="N7" s="348">
        <f t="shared" si="3"/>
        <v>-448.16681000000005</v>
      </c>
      <c r="O7" s="235"/>
      <c r="Q7" s="203"/>
      <c r="R7" s="203"/>
      <c r="S7" s="203"/>
      <c r="T7" s="203"/>
      <c r="U7" s="203"/>
      <c r="V7" s="203"/>
      <c r="W7" s="203"/>
      <c r="X7" s="203"/>
      <c r="Y7" s="203"/>
      <c r="Z7" s="203"/>
      <c r="AA7" s="203"/>
      <c r="AB7" s="203"/>
      <c r="AC7" s="203"/>
      <c r="AD7" s="203"/>
    </row>
    <row r="8" spans="1:31" ht="12" customHeight="1">
      <c r="A8" s="205"/>
      <c r="B8" s="113" t="s">
        <v>164</v>
      </c>
      <c r="C8" s="345">
        <f>'Cost of Equity &amp; Debt'!C16</f>
        <v>1.6102325581395347</v>
      </c>
      <c r="E8" s="286">
        <v>4</v>
      </c>
      <c r="F8" s="290">
        <v>65822.332790622022</v>
      </c>
      <c r="G8" s="290">
        <f t="shared" si="4"/>
        <v>3806.1887500000007</v>
      </c>
      <c r="H8" s="236">
        <v>0.25</v>
      </c>
      <c r="I8" s="95">
        <v>0.02</v>
      </c>
      <c r="J8" s="290">
        <f t="shared" si="5"/>
        <v>76.123775000000009</v>
      </c>
      <c r="K8" s="289">
        <f>J8</f>
        <v>76.123775000000009</v>
      </c>
      <c r="L8" s="265">
        <f t="shared" si="1"/>
        <v>1.4579003550966172</v>
      </c>
      <c r="M8" s="348">
        <f t="shared" si="2"/>
        <v>522.14662499999997</v>
      </c>
      <c r="N8" s="348">
        <f t="shared" si="3"/>
        <v>-446.02284999999995</v>
      </c>
      <c r="O8" s="203"/>
      <c r="P8" s="203"/>
      <c r="Q8" s="203"/>
      <c r="R8" s="203"/>
      <c r="S8" s="203"/>
      <c r="T8" s="203"/>
      <c r="U8" s="203"/>
      <c r="V8" s="203"/>
      <c r="W8" s="203"/>
      <c r="X8" s="203"/>
      <c r="Y8" s="203"/>
      <c r="Z8" s="203"/>
      <c r="AA8" s="203"/>
      <c r="AB8" s="203"/>
      <c r="AC8" s="203"/>
      <c r="AD8" s="203"/>
    </row>
    <row r="9" spans="1:31" ht="12" customHeight="1">
      <c r="A9" s="205"/>
      <c r="B9" s="113" t="s">
        <v>23</v>
      </c>
      <c r="C9" s="344">
        <f>'Cost of Equity &amp; Debt'!C17</f>
        <v>1.8700000000000001E-2</v>
      </c>
      <c r="E9" s="286">
        <v>5</v>
      </c>
      <c r="F9" s="290">
        <v>70589.143665297728</v>
      </c>
      <c r="G9" s="290">
        <f t="shared" si="4"/>
        <v>4567.4265000000005</v>
      </c>
      <c r="H9" s="236">
        <v>0.2</v>
      </c>
      <c r="I9" s="95">
        <v>0.03</v>
      </c>
      <c r="J9" s="290">
        <f t="shared" si="5"/>
        <v>137.022795</v>
      </c>
      <c r="K9" s="289">
        <f t="shared" si="0"/>
        <v>137.022795</v>
      </c>
      <c r="L9" s="265">
        <f t="shared" si="1"/>
        <v>1.4579003550966172</v>
      </c>
      <c r="M9" s="348">
        <f t="shared" si="2"/>
        <v>522.14662499999974</v>
      </c>
      <c r="N9" s="348">
        <f t="shared" si="3"/>
        <v>-385.12382999999977</v>
      </c>
      <c r="O9" s="203"/>
      <c r="P9" s="203"/>
      <c r="Q9" s="203"/>
      <c r="R9" s="203"/>
      <c r="S9" s="203"/>
      <c r="T9" s="203"/>
      <c r="U9" s="203"/>
      <c r="V9" s="203"/>
      <c r="W9" s="203"/>
      <c r="X9" s="203"/>
      <c r="Y9" s="203"/>
      <c r="Z9" s="203"/>
      <c r="AA9" s="203"/>
      <c r="AB9" s="203"/>
      <c r="AC9" s="203"/>
      <c r="AD9" s="203"/>
    </row>
    <row r="10" spans="1:31">
      <c r="A10" s="201"/>
      <c r="B10" s="53" t="s">
        <v>326</v>
      </c>
      <c r="C10" s="97">
        <v>0.1434</v>
      </c>
      <c r="D10" s="341"/>
      <c r="E10" s="286">
        <v>6</v>
      </c>
      <c r="F10" s="290">
        <v>75680.819601811017</v>
      </c>
      <c r="G10" s="290">
        <f t="shared" si="4"/>
        <v>5480.9118000000008</v>
      </c>
      <c r="H10" s="236">
        <v>0.2</v>
      </c>
      <c r="I10" s="95">
        <v>0.05</v>
      </c>
      <c r="J10" s="290">
        <f>G10*I10</f>
        <v>274.04559000000006</v>
      </c>
      <c r="K10" s="289">
        <f>J10</f>
        <v>274.04559000000006</v>
      </c>
      <c r="L10" s="265">
        <f t="shared" si="1"/>
        <v>1.4579003550966172</v>
      </c>
      <c r="M10" s="348">
        <f t="shared" si="2"/>
        <v>626.57595000000003</v>
      </c>
      <c r="N10" s="348">
        <f t="shared" si="3"/>
        <v>-352.53035999999997</v>
      </c>
      <c r="O10" s="203"/>
      <c r="P10" s="203"/>
      <c r="Q10" s="203"/>
      <c r="R10" s="203"/>
      <c r="S10" s="203"/>
      <c r="T10" s="203"/>
      <c r="U10" s="203"/>
      <c r="V10" s="203"/>
      <c r="W10" s="203"/>
      <c r="X10" s="203"/>
      <c r="Y10" s="203"/>
      <c r="Z10" s="203"/>
      <c r="AA10" s="203"/>
      <c r="AB10" s="203"/>
      <c r="AC10" s="203"/>
      <c r="AD10" s="203"/>
    </row>
    <row r="11" spans="1:31" ht="12.75" customHeight="1">
      <c r="A11" s="205"/>
      <c r="B11" s="315" t="s">
        <v>18</v>
      </c>
      <c r="C11" s="315">
        <f>C7+(C8*C9)+C10</f>
        <v>0.20565134883720931</v>
      </c>
      <c r="D11" s="341"/>
      <c r="E11" s="286">
        <v>7</v>
      </c>
      <c r="F11" s="290">
        <v>81804.659254590893</v>
      </c>
      <c r="G11" s="290">
        <f t="shared" si="4"/>
        <v>6303.0485700000008</v>
      </c>
      <c r="H11" s="236">
        <v>0.15</v>
      </c>
      <c r="I11" s="95">
        <v>0.05</v>
      </c>
      <c r="J11" s="290">
        <f t="shared" si="5"/>
        <v>315.15242850000004</v>
      </c>
      <c r="K11" s="289">
        <f>J11-(81.31*(1-WACC!$C$11))</f>
        <v>254.30815550000005</v>
      </c>
      <c r="L11" s="265">
        <f t="shared" si="1"/>
        <v>1.4579003550966172</v>
      </c>
      <c r="M11" s="348">
        <f t="shared" si="2"/>
        <v>563.91835499999991</v>
      </c>
      <c r="N11" s="348">
        <f t="shared" si="3"/>
        <v>-309.61019949999985</v>
      </c>
      <c r="O11" s="203"/>
      <c r="P11" s="203"/>
      <c r="Q11" s="203"/>
      <c r="R11" s="203"/>
      <c r="S11" s="203"/>
      <c r="T11" s="203"/>
      <c r="U11" s="203"/>
      <c r="V11" s="203"/>
      <c r="W11" s="203"/>
      <c r="X11" s="203"/>
      <c r="Y11" s="203"/>
      <c r="Z11" s="203"/>
      <c r="AA11" s="203"/>
      <c r="AB11" s="203"/>
      <c r="AC11" s="203"/>
      <c r="AD11" s="203"/>
    </row>
    <row r="12" spans="1:31">
      <c r="B12" s="113" t="s">
        <v>178</v>
      </c>
      <c r="C12" s="188">
        <f>396.63+32.69</f>
        <v>429.32</v>
      </c>
      <c r="E12" s="286">
        <v>8</v>
      </c>
      <c r="F12" s="290">
        <v>88417.775406096494</v>
      </c>
      <c r="G12" s="290">
        <f t="shared" si="4"/>
        <v>7059.414398400002</v>
      </c>
      <c r="H12" s="236">
        <v>0.12</v>
      </c>
      <c r="I12" s="95">
        <v>7.0000000000000007E-2</v>
      </c>
      <c r="J12" s="290">
        <f t="shared" si="5"/>
        <v>494.15900788800019</v>
      </c>
      <c r="K12" s="289">
        <f>J12*(1-$M$22)</f>
        <v>369.77918560259053</v>
      </c>
      <c r="L12" s="265">
        <f t="shared" si="1"/>
        <v>1.4579003550966172</v>
      </c>
      <c r="M12" s="348">
        <f t="shared" si="2"/>
        <v>518.80488660000071</v>
      </c>
      <c r="N12" s="348">
        <f t="shared" si="3"/>
        <v>-149.02570099741018</v>
      </c>
      <c r="O12" s="244"/>
      <c r="P12" s="203"/>
      <c r="Q12" s="203"/>
      <c r="R12" s="203"/>
      <c r="S12" s="203"/>
      <c r="T12" s="203"/>
      <c r="U12" s="203"/>
      <c r="V12" s="203"/>
      <c r="W12" s="203"/>
      <c r="X12" s="203"/>
      <c r="Y12" s="203"/>
      <c r="Z12" s="203"/>
      <c r="AA12" s="203"/>
      <c r="AB12" s="203"/>
      <c r="AC12" s="203"/>
      <c r="AD12" s="203"/>
    </row>
    <row r="13" spans="1:31" ht="12" customHeight="1">
      <c r="A13" s="205"/>
      <c r="B13" s="113" t="s">
        <v>328</v>
      </c>
      <c r="C13" s="188">
        <f>186.7+345.88</f>
        <v>532.57999999999993</v>
      </c>
      <c r="D13" s="341"/>
      <c r="E13" s="286">
        <v>9</v>
      </c>
      <c r="F13" s="290">
        <v>96375.375192645181</v>
      </c>
      <c r="G13" s="290">
        <f t="shared" si="4"/>
        <v>7553.5734062880028</v>
      </c>
      <c r="H13" s="236">
        <v>7.0000000000000007E-2</v>
      </c>
      <c r="I13" s="95">
        <v>0.08</v>
      </c>
      <c r="J13" s="290">
        <f t="shared" si="5"/>
        <v>604.2858725030402</v>
      </c>
      <c r="K13" s="289">
        <f>J13*(1-$M$22)</f>
        <v>452.18711839402494</v>
      </c>
      <c r="L13" s="265">
        <f t="shared" si="1"/>
        <v>1.4579003550966172</v>
      </c>
      <c r="M13" s="348">
        <f t="shared" si="2"/>
        <v>338.95252591200045</v>
      </c>
      <c r="N13" s="348">
        <f t="shared" si="3"/>
        <v>113.23459248202448</v>
      </c>
      <c r="O13" s="203"/>
      <c r="P13" s="203"/>
      <c r="Q13" s="203"/>
      <c r="R13" s="203"/>
      <c r="S13" s="203"/>
      <c r="T13" s="203"/>
      <c r="U13" s="203"/>
      <c r="V13" s="203"/>
      <c r="W13" s="203"/>
      <c r="X13" s="203"/>
      <c r="Y13" s="203"/>
      <c r="Z13" s="203"/>
      <c r="AA13" s="203"/>
      <c r="AB13" s="203"/>
      <c r="AC13" s="203"/>
      <c r="AD13" s="203"/>
    </row>
    <row r="14" spans="1:31">
      <c r="B14" s="113" t="s">
        <v>8</v>
      </c>
      <c r="C14" s="94">
        <f>(C6*(C13/(C12+C13))+(C11*(C12/(C12+C13)*(1-WACC!C11))))</f>
        <v>0.11934802058992255</v>
      </c>
      <c r="E14" s="286">
        <v>10</v>
      </c>
      <c r="F14" s="290">
        <v>105049.15895998327</v>
      </c>
      <c r="G14" s="290">
        <f>F14*7.5%</f>
        <v>7878.6869219987448</v>
      </c>
      <c r="H14" s="236">
        <v>4.3041429032960203E-2</v>
      </c>
      <c r="I14" s="95">
        <v>0.08</v>
      </c>
      <c r="J14" s="290">
        <f>G14*I14</f>
        <v>630.29495375989961</v>
      </c>
      <c r="K14" s="289">
        <f>J14*(1-$M$22)</f>
        <v>471.64971389853287</v>
      </c>
      <c r="L14" s="265">
        <f>$G$4/$F$17</f>
        <v>1.4579003550966172</v>
      </c>
      <c r="M14" s="348">
        <f t="shared" si="2"/>
        <v>223.00119111308959</v>
      </c>
      <c r="N14" s="348">
        <f t="shared" si="3"/>
        <v>248.64852278544328</v>
      </c>
      <c r="O14" s="203"/>
      <c r="P14" s="203"/>
      <c r="Q14" s="203"/>
      <c r="R14" s="203"/>
      <c r="S14" s="203"/>
      <c r="T14" s="203"/>
      <c r="U14" s="203"/>
      <c r="V14" s="203"/>
      <c r="W14" s="203"/>
      <c r="X14" s="203"/>
      <c r="Y14" s="203"/>
      <c r="Z14" s="203"/>
      <c r="AA14" s="203"/>
      <c r="AB14" s="203"/>
      <c r="AC14" s="203"/>
      <c r="AD14" s="203"/>
    </row>
    <row r="15" spans="1:31">
      <c r="B15" s="53" t="s">
        <v>329</v>
      </c>
      <c r="C15" s="216">
        <f>SUM(J4:J7)+(-91.46+0.12+0.4)+(-66.32-0.08+1.9)+(-155.14+0.08+1+41)+(-91.83+1.56+42.03)</f>
        <v>-611.24913399999991</v>
      </c>
      <c r="D15" s="342"/>
      <c r="J15" s="203"/>
      <c r="N15" s="203"/>
      <c r="O15" s="203"/>
      <c r="P15" s="203"/>
      <c r="Q15" s="203"/>
      <c r="R15" s="203"/>
      <c r="S15" s="203"/>
      <c r="T15" s="203"/>
      <c r="U15" s="203"/>
      <c r="V15" s="203"/>
      <c r="W15" s="203"/>
      <c r="X15" s="203"/>
      <c r="Y15" s="203"/>
      <c r="Z15" s="203"/>
      <c r="AA15" s="203"/>
      <c r="AB15" s="203"/>
      <c r="AC15" s="203"/>
      <c r="AD15" s="203"/>
      <c r="AE15" s="203"/>
    </row>
    <row r="16" spans="1:31">
      <c r="B16" s="215" t="s">
        <v>167</v>
      </c>
      <c r="C16" s="358">
        <f>AVERAGE(40.35, 42.03)</f>
        <v>41.19</v>
      </c>
      <c r="E16" s="102"/>
      <c r="F16" s="102" t="s">
        <v>331</v>
      </c>
      <c r="G16" s="102" t="s">
        <v>277</v>
      </c>
      <c r="I16" s="442" t="s">
        <v>294</v>
      </c>
      <c r="J16" s="442"/>
      <c r="L16" s="442" t="s">
        <v>332</v>
      </c>
      <c r="M16" s="442"/>
      <c r="O16" s="203"/>
      <c r="P16" s="203"/>
      <c r="Q16" s="203"/>
      <c r="R16" s="203"/>
      <c r="S16" s="203"/>
      <c r="T16" s="203"/>
      <c r="U16" s="203"/>
      <c r="V16" s="203"/>
      <c r="W16" s="203"/>
      <c r="X16" s="203"/>
      <c r="Y16" s="203"/>
      <c r="Z16" s="203"/>
      <c r="AA16" s="203"/>
      <c r="AB16" s="203"/>
      <c r="AC16" s="203"/>
      <c r="AD16" s="203"/>
      <c r="AE16" s="203"/>
    </row>
    <row r="17" spans="1:31">
      <c r="B17" s="215" t="s">
        <v>3</v>
      </c>
      <c r="C17" s="358">
        <f>1338.44+25.02-1122.06+14-94.04-189.02-69.63</f>
        <v>-97.289999999999935</v>
      </c>
      <c r="E17" s="292" t="s">
        <v>265</v>
      </c>
      <c r="F17" s="288">
        <f>C12+C13-(8.09+0.33+35.42)</f>
        <v>918.05999999999983</v>
      </c>
      <c r="G17" s="347">
        <f t="shared" ref="G17:G27" si="6">K4/F17</f>
        <v>-0.10597346578654984</v>
      </c>
      <c r="I17" s="287" t="s">
        <v>17</v>
      </c>
      <c r="J17" s="236">
        <f>C3 + (0.73*C4)</f>
        <v>8.3876152861749625E-2</v>
      </c>
      <c r="K17" s="353"/>
      <c r="L17" s="229" t="s">
        <v>15</v>
      </c>
      <c r="M17" s="269">
        <v>0.04</v>
      </c>
      <c r="O17" s="203"/>
      <c r="P17" s="203"/>
      <c r="Q17" s="203"/>
      <c r="R17" s="203"/>
      <c r="S17" s="203"/>
      <c r="T17" s="203"/>
      <c r="U17" s="203"/>
      <c r="V17" s="203"/>
      <c r="W17" s="203"/>
      <c r="X17" s="203"/>
      <c r="Y17" s="203"/>
      <c r="Z17" s="203"/>
      <c r="AA17" s="203"/>
      <c r="AB17" s="203"/>
      <c r="AC17" s="203"/>
      <c r="AD17" s="203"/>
      <c r="AE17" s="203"/>
    </row>
    <row r="18" spans="1:31">
      <c r="A18" s="205"/>
      <c r="B18" s="219" t="s">
        <v>327</v>
      </c>
      <c r="C18" s="349">
        <f>C17/C16</f>
        <v>-2.361981063364893</v>
      </c>
      <c r="E18" s="286">
        <v>1</v>
      </c>
      <c r="F18" s="348">
        <f t="shared" ref="F18:F27" si="7">F17+M5</f>
        <v>1285.2839999999997</v>
      </c>
      <c r="G18" s="95">
        <f t="shared" si="6"/>
        <v>-7.2895017754830871E-2</v>
      </c>
      <c r="I18" s="287" t="s">
        <v>18</v>
      </c>
      <c r="J18" s="236">
        <f>C7+(C8*C9)+3.15%</f>
        <v>9.37513488372093E-2</v>
      </c>
      <c r="K18" s="353"/>
      <c r="L18" s="215" t="s">
        <v>277</v>
      </c>
      <c r="M18" s="95">
        <f>G27</f>
        <v>8.7275746857503902E-2</v>
      </c>
      <c r="O18" s="203"/>
      <c r="P18" s="203"/>
      <c r="Q18" s="203"/>
      <c r="R18" s="203"/>
      <c r="S18" s="203"/>
      <c r="T18" s="203"/>
      <c r="U18" s="203"/>
      <c r="V18" s="203"/>
      <c r="W18" s="203"/>
      <c r="X18" s="203"/>
      <c r="Y18" s="203"/>
      <c r="Z18" s="203"/>
      <c r="AA18" s="203"/>
      <c r="AB18" s="203"/>
      <c r="AC18" s="203"/>
      <c r="AD18" s="203"/>
      <c r="AE18" s="203"/>
    </row>
    <row r="19" spans="1:31">
      <c r="B19" s="113" t="s">
        <v>178</v>
      </c>
      <c r="C19" s="188">
        <f>C12</f>
        <v>429.32</v>
      </c>
      <c r="E19" s="286">
        <v>2</v>
      </c>
      <c r="F19" s="348">
        <f t="shared" si="7"/>
        <v>1670.8691999999996</v>
      </c>
      <c r="G19" s="95">
        <f t="shared" si="6"/>
        <v>-4.373701065289852E-2</v>
      </c>
      <c r="I19" s="287"/>
      <c r="J19" s="287"/>
      <c r="K19" s="353"/>
      <c r="L19" s="219" t="s">
        <v>335</v>
      </c>
      <c r="M19" s="315">
        <f>M17/M18</f>
        <v>0.45831747581958193</v>
      </c>
      <c r="O19" s="203"/>
      <c r="P19" s="203"/>
      <c r="Q19" s="203"/>
      <c r="R19" s="203"/>
      <c r="S19" s="203"/>
      <c r="T19" s="203"/>
      <c r="U19" s="203"/>
      <c r="V19" s="203"/>
      <c r="W19" s="203"/>
      <c r="X19" s="203"/>
      <c r="Y19" s="203"/>
      <c r="Z19" s="203"/>
      <c r="AA19" s="203"/>
      <c r="AB19" s="203"/>
      <c r="AC19" s="203"/>
      <c r="AD19" s="203"/>
      <c r="AE19" s="203"/>
    </row>
    <row r="20" spans="1:31">
      <c r="A20" s="205"/>
      <c r="B20" s="113" t="s">
        <v>182</v>
      </c>
      <c r="C20" s="188">
        <f>C16</f>
        <v>41.19</v>
      </c>
      <c r="E20" s="286">
        <v>3</v>
      </c>
      <c r="F20" s="348">
        <f t="shared" si="7"/>
        <v>2088.5864999999994</v>
      </c>
      <c r="G20" s="95">
        <f t="shared" si="6"/>
        <v>-1.4579003550966174E-2</v>
      </c>
      <c r="I20" s="287" t="s">
        <v>337</v>
      </c>
      <c r="J20" s="350">
        <v>0.1</v>
      </c>
      <c r="K20" s="353"/>
      <c r="L20" s="211"/>
      <c r="M20" s="211"/>
      <c r="O20" s="203"/>
      <c r="P20" s="203"/>
      <c r="Q20" s="203"/>
      <c r="R20" s="203"/>
      <c r="S20" s="203"/>
      <c r="T20" s="203"/>
      <c r="U20" s="203"/>
      <c r="V20" s="203"/>
      <c r="W20" s="203"/>
      <c r="X20" s="203"/>
      <c r="Y20" s="203"/>
      <c r="Z20" s="203"/>
      <c r="AA20" s="203"/>
      <c r="AB20" s="203"/>
      <c r="AC20" s="203"/>
      <c r="AD20" s="203"/>
      <c r="AE20" s="203"/>
    </row>
    <row r="21" spans="1:31">
      <c r="B21" s="113" t="s">
        <v>18</v>
      </c>
      <c r="C21" s="95">
        <f>C11</f>
        <v>0.20565134883720931</v>
      </c>
      <c r="E21" s="286">
        <v>4</v>
      </c>
      <c r="F21" s="348">
        <f t="shared" si="7"/>
        <v>2610.7331249999993</v>
      </c>
      <c r="G21" s="95">
        <f t="shared" si="6"/>
        <v>2.9158007101932348E-2</v>
      </c>
      <c r="I21" s="287" t="s">
        <v>338</v>
      </c>
      <c r="J21" s="330">
        <v>0.9</v>
      </c>
      <c r="K21" s="353"/>
      <c r="L21" s="215" t="s">
        <v>287</v>
      </c>
      <c r="M21" s="188">
        <f>($G$14*(1+$M$17))*$I$14</f>
        <v>655.50675191029563</v>
      </c>
      <c r="O21" s="203"/>
      <c r="P21" s="203"/>
      <c r="Q21" s="203"/>
      <c r="R21" s="203"/>
      <c r="S21" s="203"/>
      <c r="T21" s="203"/>
      <c r="U21" s="203"/>
      <c r="V21" s="203"/>
      <c r="W21" s="203"/>
      <c r="X21" s="203"/>
      <c r="Y21" s="203"/>
      <c r="Z21" s="203"/>
      <c r="AA21" s="203"/>
      <c r="AB21" s="203"/>
      <c r="AC21" s="203"/>
      <c r="AD21" s="203"/>
      <c r="AE21" s="203"/>
    </row>
    <row r="22" spans="1:31">
      <c r="B22" s="53" t="s">
        <v>185</v>
      </c>
      <c r="C22" s="191">
        <v>5</v>
      </c>
      <c r="E22" s="286">
        <v>5</v>
      </c>
      <c r="F22" s="348">
        <f t="shared" si="7"/>
        <v>3132.8797499999991</v>
      </c>
      <c r="G22" s="95">
        <f t="shared" si="6"/>
        <v>4.3737010652898513E-2</v>
      </c>
      <c r="I22" s="287"/>
      <c r="J22" s="287"/>
      <c r="K22" s="353"/>
      <c r="L22" s="215" t="s">
        <v>333</v>
      </c>
      <c r="M22" s="95">
        <f>WACC!$C$11</f>
        <v>0.25169999999999998</v>
      </c>
      <c r="O22" s="203"/>
      <c r="P22" s="203"/>
      <c r="Q22" s="203"/>
      <c r="R22" s="203"/>
      <c r="S22" s="203"/>
      <c r="T22" s="203"/>
      <c r="U22" s="203"/>
      <c r="V22" s="203"/>
      <c r="W22" s="203"/>
      <c r="X22" s="203"/>
      <c r="Y22" s="203"/>
      <c r="Z22" s="203"/>
      <c r="AA22" s="203"/>
      <c r="AB22" s="203"/>
      <c r="AC22" s="203"/>
      <c r="AD22" s="203"/>
      <c r="AE22" s="203"/>
    </row>
    <row r="23" spans="1:31" ht="12" customHeight="1">
      <c r="B23" s="113" t="s">
        <v>184</v>
      </c>
      <c r="C23" s="337">
        <f>C20*((1-(1+C21)^(-C22))/C21)+C19/(1+C21)^5</f>
        <v>290.19523791191779</v>
      </c>
      <c r="E23" s="286">
        <v>6</v>
      </c>
      <c r="F23" s="348">
        <f t="shared" si="7"/>
        <v>3759.4556999999991</v>
      </c>
      <c r="G23" s="95">
        <f t="shared" si="6"/>
        <v>7.2895017754830871E-2</v>
      </c>
      <c r="I23" s="287" t="s">
        <v>336</v>
      </c>
      <c r="J23" s="215">
        <f>0.73</f>
        <v>0.73</v>
      </c>
      <c r="K23" s="353"/>
      <c r="L23" s="219" t="s">
        <v>334</v>
      </c>
      <c r="M23" s="220">
        <f>M21*(1-M22)</f>
        <v>490.51570245447419</v>
      </c>
      <c r="O23" s="203"/>
      <c r="P23" s="203"/>
      <c r="Q23" s="203"/>
      <c r="R23" s="203"/>
      <c r="S23" s="203"/>
      <c r="T23" s="203"/>
      <c r="U23" s="203"/>
      <c r="V23" s="203"/>
      <c r="W23" s="203"/>
      <c r="X23" s="203"/>
      <c r="Y23" s="203"/>
      <c r="Z23" s="203"/>
      <c r="AA23" s="203"/>
      <c r="AB23" s="203"/>
      <c r="AC23" s="203"/>
      <c r="AD23" s="203"/>
      <c r="AE23" s="203"/>
    </row>
    <row r="24" spans="1:31">
      <c r="A24" s="205"/>
      <c r="B24" s="215" t="s">
        <v>340</v>
      </c>
      <c r="C24" s="216">
        <f>(N5/(1+$C$14)^E5)+(N6/(1+($C$14-0.2%))^E6)+(N7/(1+($C$14-0.5%))^E7)+(N8/(1+($C$14-0.5%))^E8)+(N9/(1+($C$14-1%))^E9)+(N10/(1+($C$14-1.5%))^E10)+(N11/(1+($C$14-2%))^E11)+(N12/(1+($C$14-2.5%))^E12)+(N13/(1+($C$14-3%))^E13)+(N14/(1+($C$14-3.68%))^E14)</f>
        <v>-1882.9200485988808</v>
      </c>
      <c r="E24" s="286">
        <v>7</v>
      </c>
      <c r="F24" s="348">
        <f t="shared" si="7"/>
        <v>4323.3740549999993</v>
      </c>
      <c r="G24" s="95">
        <f t="shared" si="6"/>
        <v>5.8821687012228716E-2</v>
      </c>
      <c r="I24" s="287" t="s">
        <v>339</v>
      </c>
      <c r="J24" s="95">
        <v>3.15E-2</v>
      </c>
      <c r="K24" s="353"/>
      <c r="L24" s="215"/>
      <c r="M24" s="323"/>
      <c r="O24" s="203"/>
      <c r="P24" s="203"/>
      <c r="Q24" s="203"/>
      <c r="R24" s="203"/>
      <c r="S24" s="203"/>
      <c r="T24" s="203"/>
      <c r="U24" s="203"/>
      <c r="V24" s="203"/>
      <c r="W24" s="203"/>
      <c r="X24" s="203"/>
      <c r="Y24" s="203"/>
      <c r="Z24" s="203"/>
      <c r="AA24" s="203"/>
      <c r="AB24" s="203"/>
      <c r="AC24" s="203"/>
      <c r="AD24" s="203"/>
      <c r="AE24" s="203"/>
    </row>
    <row r="25" spans="1:31">
      <c r="A25" s="205" t="s">
        <v>199</v>
      </c>
      <c r="B25" s="215" t="s">
        <v>341</v>
      </c>
      <c r="C25" s="216">
        <f>M27/(1+$J$26)^10</f>
        <v>2829.264402467179</v>
      </c>
      <c r="E25" s="286">
        <v>8</v>
      </c>
      <c r="F25" s="348">
        <f t="shared" si="7"/>
        <v>4842.1789416000001</v>
      </c>
      <c r="G25" s="95">
        <f t="shared" si="6"/>
        <v>7.6366278500315909E-2</v>
      </c>
      <c r="I25" s="211"/>
      <c r="J25" s="211"/>
      <c r="K25" s="353"/>
      <c r="L25" s="215" t="s">
        <v>290</v>
      </c>
      <c r="M25" s="324">
        <f>M23*(1-M19)</f>
        <v>265.70378385567045</v>
      </c>
      <c r="O25" s="203"/>
      <c r="P25" s="203"/>
      <c r="Q25" s="203"/>
      <c r="R25" s="203"/>
      <c r="S25" s="203"/>
      <c r="T25" s="203"/>
      <c r="U25" s="203"/>
      <c r="V25" s="203"/>
      <c r="W25" s="203"/>
      <c r="X25" s="203"/>
      <c r="Y25" s="203"/>
      <c r="Z25" s="203"/>
      <c r="AA25" s="203"/>
      <c r="AB25" s="203"/>
      <c r="AC25" s="203"/>
      <c r="AD25" s="203"/>
      <c r="AE25" s="203"/>
    </row>
    <row r="26" spans="1:31">
      <c r="A26" s="205" t="s">
        <v>199</v>
      </c>
      <c r="B26" s="215" t="s">
        <v>316</v>
      </c>
      <c r="C26" s="216">
        <f>8.09+0.33+35.42</f>
        <v>43.84</v>
      </c>
      <c r="E26" s="286">
        <v>9</v>
      </c>
      <c r="F26" s="348">
        <f t="shared" si="7"/>
        <v>5181.1314675120002</v>
      </c>
      <c r="G26" s="95">
        <f t="shared" si="6"/>
        <v>8.7275746857503889E-2</v>
      </c>
      <c r="I26" s="351" t="s">
        <v>294</v>
      </c>
      <c r="J26" s="352">
        <f>(J17*J21)+(J18*J20*(1-M22))</f>
        <v>8.2503951009063034E-2</v>
      </c>
      <c r="K26" s="353"/>
      <c r="L26" s="287"/>
      <c r="M26" s="211"/>
      <c r="O26" s="203"/>
      <c r="P26" s="203"/>
      <c r="Q26" s="203"/>
      <c r="R26" s="203"/>
      <c r="S26" s="203"/>
      <c r="T26" s="203"/>
      <c r="U26" s="203"/>
      <c r="V26" s="203"/>
      <c r="W26" s="203"/>
      <c r="X26" s="203"/>
      <c r="Y26" s="203"/>
      <c r="Z26" s="203"/>
      <c r="AA26" s="203"/>
      <c r="AB26" s="203"/>
      <c r="AC26" s="203"/>
      <c r="AD26" s="203"/>
      <c r="AE26" s="203"/>
    </row>
    <row r="27" spans="1:31">
      <c r="A27" s="205" t="s">
        <v>199</v>
      </c>
      <c r="B27" s="215" t="s">
        <v>10</v>
      </c>
      <c r="C27" s="216">
        <v>0</v>
      </c>
      <c r="E27" s="286">
        <v>10</v>
      </c>
      <c r="F27" s="348">
        <f t="shared" si="7"/>
        <v>5404.1326586250898</v>
      </c>
      <c r="G27" s="95">
        <f t="shared" si="6"/>
        <v>8.7275746857503902E-2</v>
      </c>
      <c r="K27" s="353"/>
      <c r="L27" s="53" t="s">
        <v>258</v>
      </c>
      <c r="M27" s="325">
        <f>M25/(J26-M17)</f>
        <v>6251.2725887298093</v>
      </c>
      <c r="O27" s="203"/>
      <c r="P27" s="203"/>
      <c r="Q27" s="203"/>
      <c r="R27" s="203"/>
      <c r="S27" s="203"/>
      <c r="T27" s="203"/>
      <c r="U27" s="203"/>
      <c r="V27" s="203"/>
      <c r="W27" s="203"/>
      <c r="X27" s="203"/>
      <c r="Y27" s="203"/>
      <c r="Z27" s="203"/>
      <c r="AA27" s="203"/>
      <c r="AB27" s="203"/>
      <c r="AC27" s="203"/>
      <c r="AD27" s="203"/>
      <c r="AE27" s="203"/>
    </row>
    <row r="28" spans="1:31">
      <c r="B28" s="217" t="s">
        <v>344</v>
      </c>
      <c r="C28" s="218">
        <f>SUM(C24:C27)</f>
        <v>990.18435386829822</v>
      </c>
      <c r="O28" s="203"/>
      <c r="P28" s="203"/>
      <c r="Q28" s="203"/>
      <c r="R28" s="203"/>
      <c r="S28" s="203"/>
      <c r="T28" s="203"/>
      <c r="U28" s="203"/>
      <c r="V28" s="203"/>
      <c r="W28" s="203"/>
      <c r="X28" s="203"/>
      <c r="Y28" s="203"/>
      <c r="Z28" s="203"/>
      <c r="AA28" s="203"/>
      <c r="AB28" s="203"/>
      <c r="AC28" s="203"/>
      <c r="AD28" s="203"/>
      <c r="AE28" s="203"/>
    </row>
    <row r="29" spans="1:31">
      <c r="A29" s="205" t="s">
        <v>98</v>
      </c>
      <c r="B29" s="215" t="s">
        <v>13</v>
      </c>
      <c r="C29" s="216">
        <f>C23+1.89+3.03+46.81</f>
        <v>341.92523791191775</v>
      </c>
      <c r="E29" s="355"/>
      <c r="O29" s="203"/>
      <c r="P29" s="203"/>
      <c r="Q29" s="203"/>
      <c r="R29" s="203"/>
      <c r="S29" s="203"/>
      <c r="T29" s="203"/>
      <c r="U29" s="203"/>
      <c r="V29" s="203"/>
      <c r="W29" s="203"/>
      <c r="X29" s="203"/>
      <c r="Y29" s="203"/>
      <c r="Z29" s="203"/>
      <c r="AA29" s="203"/>
      <c r="AB29" s="203"/>
      <c r="AC29" s="203"/>
      <c r="AD29" s="203"/>
      <c r="AE29" s="203"/>
    </row>
    <row r="30" spans="1:31" ht="12" customHeight="1">
      <c r="B30" s="215" t="s">
        <v>345</v>
      </c>
      <c r="C30" s="359">
        <f>C28-C29</f>
        <v>648.25911595638047</v>
      </c>
      <c r="E30" s="355"/>
      <c r="F30" s="354"/>
      <c r="G30" s="354"/>
      <c r="H30" s="354"/>
      <c r="I30" s="354"/>
      <c r="J30" s="354"/>
      <c r="K30" s="354"/>
      <c r="L30" s="354"/>
      <c r="M30" s="354"/>
      <c r="N30" s="354"/>
      <c r="P30" s="203"/>
      <c r="Q30" s="203"/>
      <c r="R30" s="203"/>
      <c r="S30" s="203"/>
      <c r="T30" s="203"/>
      <c r="U30" s="203"/>
      <c r="V30" s="203"/>
      <c r="W30" s="203"/>
      <c r="X30" s="203"/>
      <c r="Y30" s="203"/>
      <c r="Z30" s="203"/>
      <c r="AA30" s="203"/>
      <c r="AB30" s="203"/>
      <c r="AC30" s="203"/>
      <c r="AD30" s="203"/>
      <c r="AE30" s="203"/>
    </row>
    <row r="31" spans="1:31">
      <c r="E31" s="355"/>
      <c r="F31" s="346"/>
      <c r="G31" s="346"/>
      <c r="H31" s="346"/>
      <c r="I31" s="353"/>
      <c r="J31" s="353"/>
      <c r="K31" s="346"/>
      <c r="L31" s="346"/>
      <c r="M31" s="346"/>
      <c r="N31" s="346"/>
      <c r="P31" s="203"/>
      <c r="Q31" s="203"/>
      <c r="R31" s="203"/>
      <c r="S31" s="203"/>
      <c r="T31" s="203"/>
      <c r="U31" s="203"/>
      <c r="V31" s="203"/>
      <c r="W31" s="203"/>
      <c r="X31" s="203"/>
      <c r="Y31" s="203"/>
      <c r="Z31" s="203"/>
      <c r="AA31" s="203"/>
      <c r="AB31" s="203"/>
      <c r="AC31" s="203"/>
      <c r="AD31" s="203"/>
      <c r="AE31" s="203"/>
    </row>
    <row r="32" spans="1:31">
      <c r="E32" s="355"/>
      <c r="F32" s="203"/>
      <c r="G32" s="203"/>
      <c r="H32" s="203"/>
      <c r="I32" s="203"/>
      <c r="L32" s="203"/>
      <c r="M32" s="203"/>
      <c r="N32" s="203"/>
      <c r="O32" s="203"/>
      <c r="P32" s="203"/>
      <c r="Q32" s="203"/>
      <c r="R32" s="203"/>
      <c r="S32" s="203"/>
      <c r="T32" s="203"/>
      <c r="U32" s="203"/>
      <c r="V32" s="203"/>
      <c r="W32" s="203"/>
      <c r="X32" s="203"/>
      <c r="Y32" s="203"/>
      <c r="Z32" s="203"/>
      <c r="AA32" s="203"/>
      <c r="AB32" s="203"/>
      <c r="AC32" s="203"/>
      <c r="AD32" s="203"/>
      <c r="AE32" s="203"/>
    </row>
    <row r="33" spans="5:31">
      <c r="E33" s="355"/>
      <c r="F33" s="203"/>
      <c r="G33" s="203"/>
      <c r="H33" s="203"/>
      <c r="I33" s="203"/>
      <c r="L33" s="203"/>
      <c r="M33" s="203"/>
      <c r="N33" s="203"/>
      <c r="O33" s="203"/>
      <c r="P33" s="203"/>
      <c r="Q33" s="203"/>
      <c r="R33" s="203"/>
      <c r="S33" s="203"/>
      <c r="T33" s="203"/>
      <c r="U33" s="203"/>
      <c r="V33" s="203"/>
      <c r="W33" s="203"/>
      <c r="X33" s="203"/>
      <c r="Y33" s="203"/>
      <c r="Z33" s="203"/>
      <c r="AA33" s="203"/>
      <c r="AB33" s="203"/>
      <c r="AC33" s="203"/>
      <c r="AD33" s="203"/>
      <c r="AE33" s="203"/>
    </row>
    <row r="34" spans="5:31">
      <c r="E34" s="355"/>
      <c r="F34" s="203"/>
      <c r="G34" s="203"/>
      <c r="H34" s="203"/>
      <c r="I34" s="203"/>
      <c r="L34" s="203"/>
      <c r="M34" s="203"/>
      <c r="N34" s="203"/>
      <c r="O34" s="203"/>
      <c r="P34" s="203"/>
      <c r="Q34" s="203"/>
      <c r="R34" s="203"/>
      <c r="S34" s="203"/>
      <c r="T34" s="203"/>
      <c r="U34" s="203"/>
      <c r="V34" s="203"/>
      <c r="W34" s="203"/>
      <c r="X34" s="203"/>
      <c r="Y34" s="203"/>
      <c r="Z34" s="203"/>
      <c r="AA34" s="203"/>
      <c r="AB34" s="203"/>
      <c r="AC34" s="203"/>
      <c r="AD34" s="203"/>
      <c r="AE34" s="203"/>
    </row>
    <row r="35" spans="5:31">
      <c r="E35" s="355"/>
      <c r="F35" s="203"/>
      <c r="G35" s="203"/>
      <c r="H35" s="203"/>
      <c r="I35" s="203"/>
      <c r="L35" s="203"/>
      <c r="M35" s="203"/>
      <c r="N35" s="203"/>
      <c r="O35" s="203"/>
      <c r="P35" s="203"/>
      <c r="Q35" s="203"/>
      <c r="R35" s="203"/>
      <c r="S35" s="203"/>
      <c r="T35" s="203"/>
      <c r="U35" s="203"/>
      <c r="V35" s="203"/>
      <c r="W35" s="203"/>
      <c r="X35" s="203"/>
      <c r="Y35" s="203"/>
      <c r="Z35" s="203"/>
      <c r="AA35" s="203"/>
      <c r="AB35" s="203"/>
      <c r="AC35" s="203"/>
      <c r="AD35" s="203"/>
      <c r="AE35" s="203"/>
    </row>
    <row r="36" spans="5:31">
      <c r="E36" s="355"/>
      <c r="F36" s="203"/>
      <c r="G36" s="203"/>
      <c r="H36" s="203"/>
      <c r="I36" s="203"/>
      <c r="L36" s="203"/>
      <c r="M36" s="203"/>
      <c r="N36" s="203"/>
      <c r="O36" s="203"/>
      <c r="P36" s="203"/>
      <c r="Q36" s="203"/>
      <c r="R36" s="203"/>
      <c r="S36" s="203"/>
      <c r="T36" s="203"/>
      <c r="U36" s="203"/>
      <c r="V36" s="203"/>
      <c r="W36" s="203"/>
      <c r="X36" s="203"/>
      <c r="Y36" s="203"/>
      <c r="Z36" s="203"/>
      <c r="AA36" s="203"/>
      <c r="AB36" s="203"/>
      <c r="AC36" s="203"/>
      <c r="AD36" s="203"/>
      <c r="AE36" s="203"/>
    </row>
    <row r="37" spans="5:31">
      <c r="E37" s="355"/>
      <c r="F37" s="203"/>
      <c r="G37" s="203"/>
      <c r="H37" s="203"/>
      <c r="I37" s="203"/>
      <c r="L37" s="203"/>
      <c r="M37" s="203"/>
      <c r="N37" s="203"/>
      <c r="O37" s="203"/>
      <c r="P37" s="203"/>
      <c r="Q37" s="203"/>
      <c r="R37" s="203"/>
      <c r="S37" s="203"/>
      <c r="T37" s="203"/>
      <c r="U37" s="203"/>
      <c r="V37" s="203"/>
      <c r="W37" s="203"/>
      <c r="X37" s="203"/>
      <c r="Y37" s="203"/>
      <c r="Z37" s="203"/>
      <c r="AA37" s="203"/>
      <c r="AB37" s="203"/>
      <c r="AC37" s="203"/>
      <c r="AD37" s="203"/>
      <c r="AE37" s="203"/>
    </row>
    <row r="38" spans="5:31">
      <c r="E38" s="355"/>
      <c r="F38" s="203"/>
      <c r="G38" s="203"/>
      <c r="H38" s="203"/>
      <c r="I38" s="203"/>
      <c r="L38" s="203"/>
      <c r="M38" s="203"/>
      <c r="N38" s="203"/>
      <c r="O38" s="203"/>
      <c r="P38" s="203"/>
      <c r="Q38" s="203"/>
      <c r="R38" s="203"/>
      <c r="S38" s="203"/>
      <c r="T38" s="203"/>
      <c r="U38" s="203"/>
      <c r="V38" s="203"/>
      <c r="W38" s="203"/>
      <c r="X38" s="203"/>
      <c r="Y38" s="203"/>
      <c r="Z38" s="203"/>
      <c r="AA38" s="203"/>
      <c r="AB38" s="203"/>
      <c r="AC38" s="203"/>
      <c r="AD38" s="203"/>
      <c r="AE38" s="203"/>
    </row>
    <row r="39" spans="5:31">
      <c r="E39" s="343"/>
    </row>
  </sheetData>
  <mergeCells count="2">
    <mergeCell ref="I16:J16"/>
    <mergeCell ref="L16:M16"/>
  </mergeCell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5"/>
  <sheetViews>
    <sheetView workbookViewId="0"/>
  </sheetViews>
  <sheetFormatPr defaultRowHeight="12"/>
  <cols>
    <col min="1" max="1" width="2" style="198" customWidth="1"/>
    <col min="2" max="2" width="31.42578125" style="198" customWidth="1"/>
    <col min="3" max="3" width="14.28515625" style="198" customWidth="1"/>
    <col min="4" max="4" width="12.85546875" style="198" customWidth="1"/>
    <col min="5" max="5" width="8.42578125" style="198" bestFit="1" customWidth="1"/>
    <col min="6" max="6" width="12.85546875" style="198" customWidth="1" collapsed="1"/>
    <col min="7" max="7" width="12.42578125" style="198" customWidth="1"/>
    <col min="8" max="8" width="11.7109375" style="198" customWidth="1"/>
    <col min="9" max="9" width="12.42578125" style="198" customWidth="1"/>
    <col min="10" max="10" width="9.140625" style="198" customWidth="1"/>
    <col min="11" max="11" width="10.85546875" style="198" customWidth="1"/>
    <col min="12" max="12" width="15.85546875" style="198" customWidth="1"/>
    <col min="13" max="13" width="12.5703125" style="198" customWidth="1"/>
    <col min="14" max="14" width="13.28515625" style="198" customWidth="1"/>
    <col min="15" max="25" width="9.140625" style="198" customWidth="1"/>
    <col min="26" max="26" width="9.28515625" style="198" customWidth="1"/>
    <col min="27" max="27" width="9.42578125" style="198" customWidth="1"/>
    <col min="28" max="28" width="10" style="198" customWidth="1"/>
    <col min="29" max="29" width="11.42578125" style="198" customWidth="1"/>
    <col min="30" max="30" width="9.42578125" style="198" bestFit="1" customWidth="1" collapsed="1"/>
    <col min="31" max="16384" width="9.140625" style="198"/>
  </cols>
  <sheetData>
    <row r="1" spans="1:31" s="197" customFormat="1" ht="15" customHeight="1">
      <c r="B1" s="18" t="s">
        <v>348</v>
      </c>
      <c r="C1" s="196"/>
      <c r="D1" s="196"/>
      <c r="E1" s="196"/>
      <c r="F1" s="196"/>
      <c r="G1" s="196"/>
      <c r="H1" s="196"/>
      <c r="I1" s="196"/>
      <c r="J1" s="196"/>
      <c r="K1" s="196"/>
    </row>
    <row r="2" spans="1:31" ht="12" customHeight="1">
      <c r="C2" s="226"/>
    </row>
    <row r="3" spans="1:31" ht="12" customHeight="1">
      <c r="A3" s="200"/>
      <c r="B3" s="215" t="s">
        <v>19</v>
      </c>
      <c r="C3" s="97">
        <f>'Risk Free Rate'!C4</f>
        <v>5.722E-2</v>
      </c>
      <c r="D3" s="341"/>
      <c r="E3" s="102"/>
      <c r="F3" s="102" t="s">
        <v>7</v>
      </c>
      <c r="G3" s="102" t="s">
        <v>270</v>
      </c>
      <c r="H3" s="260" t="s">
        <v>271</v>
      </c>
      <c r="I3" s="260" t="s">
        <v>3</v>
      </c>
      <c r="J3" s="260" t="s">
        <v>272</v>
      </c>
      <c r="K3" s="260" t="s">
        <v>330</v>
      </c>
      <c r="L3" s="260" t="s">
        <v>225</v>
      </c>
      <c r="M3" s="102" t="s">
        <v>275</v>
      </c>
      <c r="N3" s="244"/>
    </row>
    <row r="4" spans="1:31" ht="12" customHeight="1">
      <c r="A4" s="205"/>
      <c r="B4" s="215" t="s">
        <v>20</v>
      </c>
      <c r="C4" s="344">
        <f>'Equity Risk Premium'!F28</f>
        <v>3.6515277892807708E-2</v>
      </c>
      <c r="D4" s="341"/>
      <c r="E4" s="292" t="s">
        <v>265</v>
      </c>
      <c r="F4" s="288">
        <v>58.96</v>
      </c>
      <c r="G4" s="288"/>
      <c r="H4" s="347">
        <f>C17/F4</f>
        <v>7.6831750339212954E-2</v>
      </c>
      <c r="I4" s="288">
        <f>F4*H4</f>
        <v>4.5299999999999958</v>
      </c>
      <c r="J4" s="288">
        <f>I4</f>
        <v>4.5299999999999958</v>
      </c>
      <c r="K4" s="297">
        <f>$F$4/$F$17</f>
        <v>0.85514340621487361</v>
      </c>
      <c r="L4" s="288"/>
      <c r="M4" s="288"/>
      <c r="N4" s="199"/>
      <c r="P4" s="202"/>
      <c r="Q4" s="202"/>
      <c r="R4" s="202"/>
      <c r="S4" s="202"/>
      <c r="X4" s="202"/>
    </row>
    <row r="5" spans="1:31" ht="12" customHeight="1">
      <c r="A5" s="205"/>
      <c r="B5" s="215" t="s">
        <v>14</v>
      </c>
      <c r="C5" s="265">
        <f>Beta!$C$17*(1+(1-Beta!$C$13)*((26+6.79)/(60.5-20.77)))</f>
        <v>0.94731581644232365</v>
      </c>
      <c r="D5" s="341"/>
      <c r="E5" s="286">
        <v>1</v>
      </c>
      <c r="F5" s="290">
        <f>F4*(1+G5)</f>
        <v>100.232</v>
      </c>
      <c r="G5" s="236">
        <v>0.7</v>
      </c>
      <c r="H5" s="95">
        <v>0.08</v>
      </c>
      <c r="I5" s="290">
        <f>F5*H5</f>
        <v>8.0185600000000008</v>
      </c>
      <c r="J5" s="289">
        <f>I5-(2.6*(1-WACC!$C$11))</f>
        <v>6.0729800000000012</v>
      </c>
      <c r="K5" s="265">
        <f>$F$4/$F$17</f>
        <v>0.85514340621487361</v>
      </c>
      <c r="L5" s="348">
        <f t="shared" ref="L5:L14" si="0">(F5-F4)/K5</f>
        <v>48.263249999999999</v>
      </c>
      <c r="M5" s="348">
        <f t="shared" ref="M5:M14" si="1">J5-L5</f>
        <v>-42.190269999999998</v>
      </c>
      <c r="N5" s="49"/>
      <c r="P5" s="203"/>
      <c r="Q5" s="203"/>
      <c r="R5" s="203"/>
      <c r="S5" s="203"/>
      <c r="T5" s="203"/>
      <c r="U5" s="203"/>
      <c r="V5" s="203"/>
      <c r="W5" s="203"/>
      <c r="X5" s="203"/>
      <c r="Y5" s="203"/>
      <c r="Z5" s="203"/>
      <c r="AA5" s="203"/>
      <c r="AB5" s="203"/>
      <c r="AC5" s="203"/>
    </row>
    <row r="6" spans="1:31" ht="12" customHeight="1">
      <c r="A6" s="205"/>
      <c r="B6" s="219" t="s">
        <v>17</v>
      </c>
      <c r="C6" s="356">
        <f>C3+(C5*C4)</f>
        <v>9.1811500289643466E-2</v>
      </c>
      <c r="D6" s="341"/>
      <c r="E6" s="286">
        <v>2</v>
      </c>
      <c r="F6" s="290">
        <f t="shared" ref="F6:F14" si="2">F5*(1+G6)</f>
        <v>150.34800000000001</v>
      </c>
      <c r="G6" s="236">
        <v>0.5</v>
      </c>
      <c r="H6" s="95">
        <v>0.08</v>
      </c>
      <c r="I6" s="290">
        <f t="shared" ref="I6:I13" si="3">F6*H6</f>
        <v>12.027840000000001</v>
      </c>
      <c r="J6" s="289">
        <f>I6*(1-$M$22)</f>
        <v>9.0004326720000005</v>
      </c>
      <c r="K6" s="265">
        <f t="shared" ref="K6:K14" si="4">$F$4/$F$17</f>
        <v>0.85514340621487361</v>
      </c>
      <c r="L6" s="348">
        <f t="shared" si="0"/>
        <v>58.605375000000016</v>
      </c>
      <c r="M6" s="348">
        <f t="shared" si="1"/>
        <v>-49.604942328000014</v>
      </c>
      <c r="N6" s="235"/>
      <c r="P6" s="203"/>
      <c r="Q6" s="203"/>
      <c r="R6" s="203"/>
      <c r="S6" s="203"/>
      <c r="T6" s="203"/>
      <c r="U6" s="203"/>
      <c r="V6" s="203"/>
      <c r="W6" s="203"/>
      <c r="X6" s="203"/>
      <c r="Y6" s="203"/>
      <c r="Z6" s="203"/>
      <c r="AA6" s="203"/>
      <c r="AB6" s="203"/>
      <c r="AC6" s="203"/>
    </row>
    <row r="7" spans="1:31" ht="12" customHeight="1">
      <c r="B7" s="113" t="s">
        <v>165</v>
      </c>
      <c r="C7" s="344">
        <f>'Cost of Equity &amp; Debt'!C15</f>
        <v>3.2140000000000002E-2</v>
      </c>
      <c r="D7" s="341"/>
      <c r="E7" s="286">
        <v>3</v>
      </c>
      <c r="F7" s="290">
        <f t="shared" si="2"/>
        <v>225.52200000000002</v>
      </c>
      <c r="G7" s="236">
        <v>0.5</v>
      </c>
      <c r="H7" s="95">
        <v>0.09</v>
      </c>
      <c r="I7" s="290">
        <f t="shared" si="3"/>
        <v>20.296980000000001</v>
      </c>
      <c r="J7" s="289">
        <f t="shared" ref="J7:J11" si="5">I7*(1-$M$22)</f>
        <v>15.188230133999999</v>
      </c>
      <c r="K7" s="265">
        <f t="shared" si="4"/>
        <v>0.85514340621487361</v>
      </c>
      <c r="L7" s="348">
        <f t="shared" si="0"/>
        <v>87.908062500000014</v>
      </c>
      <c r="M7" s="348">
        <f t="shared" si="1"/>
        <v>-72.71983236600002</v>
      </c>
      <c r="N7" s="235"/>
      <c r="P7" s="203"/>
      <c r="Q7" s="203"/>
      <c r="R7" s="203"/>
      <c r="S7" s="203"/>
      <c r="T7" s="203"/>
      <c r="U7" s="203"/>
      <c r="V7" s="203"/>
      <c r="W7" s="203"/>
      <c r="X7" s="203"/>
      <c r="Y7" s="203"/>
      <c r="Z7" s="203"/>
      <c r="AA7" s="203"/>
      <c r="AB7" s="203"/>
      <c r="AC7" s="203"/>
    </row>
    <row r="8" spans="1:31" ht="12" customHeight="1">
      <c r="A8" s="205"/>
      <c r="B8" s="113" t="s">
        <v>164</v>
      </c>
      <c r="C8" s="345">
        <f>'Cost of Equity &amp; Debt'!C16</f>
        <v>1.6102325581395347</v>
      </c>
      <c r="E8" s="286">
        <v>4</v>
      </c>
      <c r="F8" s="290">
        <f t="shared" si="2"/>
        <v>315.73079999999999</v>
      </c>
      <c r="G8" s="236">
        <v>0.4</v>
      </c>
      <c r="H8" s="95">
        <v>0.1</v>
      </c>
      <c r="I8" s="290">
        <f t="shared" si="3"/>
        <v>31.573080000000001</v>
      </c>
      <c r="J8" s="289">
        <f t="shared" si="5"/>
        <v>23.626135764000001</v>
      </c>
      <c r="K8" s="265">
        <f t="shared" si="4"/>
        <v>0.85514340621487361</v>
      </c>
      <c r="L8" s="348">
        <f t="shared" si="0"/>
        <v>105.48967499999996</v>
      </c>
      <c r="M8" s="348">
        <f t="shared" si="1"/>
        <v>-81.863539235999966</v>
      </c>
      <c r="N8" s="203"/>
      <c r="O8" s="203"/>
      <c r="P8" s="203"/>
      <c r="Q8" s="203"/>
      <c r="R8" s="203"/>
      <c r="S8" s="203"/>
      <c r="T8" s="203"/>
      <c r="U8" s="203"/>
      <c r="V8" s="203"/>
      <c r="W8" s="203"/>
      <c r="X8" s="203"/>
      <c r="Y8" s="203"/>
      <c r="Z8" s="203"/>
      <c r="AA8" s="203"/>
      <c r="AB8" s="203"/>
      <c r="AC8" s="203"/>
    </row>
    <row r="9" spans="1:31" ht="12" customHeight="1">
      <c r="A9" s="205"/>
      <c r="B9" s="113" t="s">
        <v>23</v>
      </c>
      <c r="C9" s="344">
        <f>'Cost of Equity &amp; Debt'!C17</f>
        <v>1.8700000000000001E-2</v>
      </c>
      <c r="E9" s="286">
        <v>5</v>
      </c>
      <c r="F9" s="290">
        <f t="shared" si="2"/>
        <v>410.45004</v>
      </c>
      <c r="G9" s="236">
        <v>0.3</v>
      </c>
      <c r="H9" s="95">
        <v>0.1</v>
      </c>
      <c r="I9" s="290">
        <f t="shared" si="3"/>
        <v>41.045004000000006</v>
      </c>
      <c r="J9" s="289">
        <f t="shared" si="5"/>
        <v>30.713976493200004</v>
      </c>
      <c r="K9" s="265">
        <f t="shared" si="4"/>
        <v>0.85514340621487361</v>
      </c>
      <c r="L9" s="348">
        <f t="shared" si="0"/>
        <v>110.76415875000002</v>
      </c>
      <c r="M9" s="348">
        <f t="shared" si="1"/>
        <v>-80.050182256800014</v>
      </c>
      <c r="N9" s="203"/>
      <c r="O9" s="203"/>
      <c r="P9" s="203"/>
      <c r="Q9" s="203"/>
      <c r="R9" s="203"/>
      <c r="S9" s="203"/>
      <c r="T9" s="203"/>
      <c r="U9" s="203"/>
      <c r="V9" s="203"/>
      <c r="W9" s="203"/>
      <c r="X9" s="203"/>
      <c r="Y9" s="203"/>
      <c r="Z9" s="203"/>
      <c r="AA9" s="203"/>
      <c r="AB9" s="203"/>
      <c r="AC9" s="203"/>
    </row>
    <row r="10" spans="1:31">
      <c r="A10" s="201"/>
      <c r="B10" s="53" t="s">
        <v>350</v>
      </c>
      <c r="C10" s="97">
        <v>8.7999999999999995E-2</v>
      </c>
      <c r="D10" s="341"/>
      <c r="E10" s="286">
        <v>6</v>
      </c>
      <c r="F10" s="290">
        <f t="shared" si="2"/>
        <v>492.54004799999996</v>
      </c>
      <c r="G10" s="236">
        <v>0.2</v>
      </c>
      <c r="H10" s="95">
        <v>0.12</v>
      </c>
      <c r="I10" s="290">
        <f>F10*H10</f>
        <v>59.104805759999991</v>
      </c>
      <c r="J10" s="289">
        <f t="shared" si="5"/>
        <v>44.228126150207991</v>
      </c>
      <c r="K10" s="265">
        <f t="shared" si="4"/>
        <v>0.85514340621487361</v>
      </c>
      <c r="L10" s="348">
        <f t="shared" si="0"/>
        <v>95.995604249999943</v>
      </c>
      <c r="M10" s="348">
        <f t="shared" si="1"/>
        <v>-51.767478099791951</v>
      </c>
      <c r="N10" s="203"/>
      <c r="O10" s="203"/>
      <c r="P10" s="203"/>
      <c r="Q10" s="203"/>
      <c r="R10" s="203"/>
      <c r="S10" s="203"/>
      <c r="T10" s="203"/>
      <c r="U10" s="203"/>
      <c r="V10" s="203"/>
      <c r="W10" s="203"/>
      <c r="X10" s="203"/>
      <c r="Y10" s="203"/>
      <c r="Z10" s="203"/>
      <c r="AA10" s="203"/>
      <c r="AB10" s="203"/>
      <c r="AC10" s="203"/>
    </row>
    <row r="11" spans="1:31" ht="12.75" customHeight="1">
      <c r="A11" s="205"/>
      <c r="B11" s="315" t="s">
        <v>18</v>
      </c>
      <c r="C11" s="315">
        <f>C7+(C8*C9)+C10</f>
        <v>0.15025134883720931</v>
      </c>
      <c r="D11" s="341"/>
      <c r="E11" s="286">
        <v>7</v>
      </c>
      <c r="F11" s="290">
        <f t="shared" si="2"/>
        <v>566.42105519999996</v>
      </c>
      <c r="G11" s="236">
        <v>0.15</v>
      </c>
      <c r="H11" s="95">
        <v>0.12</v>
      </c>
      <c r="I11" s="290">
        <f t="shared" si="3"/>
        <v>67.970526623999987</v>
      </c>
      <c r="J11" s="289">
        <f t="shared" si="5"/>
        <v>50.862345072739188</v>
      </c>
      <c r="K11" s="265">
        <f t="shared" si="4"/>
        <v>0.85514340621487361</v>
      </c>
      <c r="L11" s="348">
        <f t="shared" si="0"/>
        <v>86.396043825000007</v>
      </c>
      <c r="M11" s="348">
        <f t="shared" si="1"/>
        <v>-35.533698752260818</v>
      </c>
      <c r="N11" s="203"/>
      <c r="O11" s="203"/>
      <c r="P11" s="203"/>
      <c r="Q11" s="203"/>
      <c r="R11" s="203"/>
      <c r="S11" s="203"/>
      <c r="T11" s="203"/>
      <c r="U11" s="203"/>
      <c r="V11" s="203"/>
      <c r="W11" s="203"/>
      <c r="X11" s="203"/>
      <c r="Y11" s="203"/>
      <c r="Z11" s="203"/>
      <c r="AA11" s="203"/>
      <c r="AB11" s="203"/>
      <c r="AC11" s="203"/>
    </row>
    <row r="12" spans="1:31">
      <c r="B12" s="113" t="s">
        <v>178</v>
      </c>
      <c r="C12" s="188">
        <f>26+6.79</f>
        <v>32.79</v>
      </c>
      <c r="E12" s="286">
        <v>8</v>
      </c>
      <c r="F12" s="290">
        <f t="shared" si="2"/>
        <v>623.06316072000004</v>
      </c>
      <c r="G12" s="236">
        <v>0.1</v>
      </c>
      <c r="H12" s="95">
        <v>0.13</v>
      </c>
      <c r="I12" s="290">
        <f t="shared" si="3"/>
        <v>80.998210893600003</v>
      </c>
      <c r="J12" s="289">
        <f>I12*(1-$M$22)</f>
        <v>60.61096121168088</v>
      </c>
      <c r="K12" s="265">
        <f t="shared" si="4"/>
        <v>0.85514340621487361</v>
      </c>
      <c r="L12" s="348">
        <f t="shared" si="0"/>
        <v>66.23696693250011</v>
      </c>
      <c r="M12" s="348">
        <f t="shared" si="1"/>
        <v>-5.6260057208192293</v>
      </c>
      <c r="N12" s="244"/>
      <c r="O12" s="203"/>
      <c r="P12" s="203"/>
      <c r="Q12" s="203"/>
      <c r="R12" s="203"/>
      <c r="S12" s="203"/>
      <c r="T12" s="203"/>
      <c r="U12" s="203"/>
      <c r="V12" s="203"/>
      <c r="W12" s="203"/>
      <c r="X12" s="203"/>
      <c r="Y12" s="203"/>
      <c r="Z12" s="203"/>
      <c r="AA12" s="203"/>
      <c r="AB12" s="203"/>
      <c r="AC12" s="203"/>
    </row>
    <row r="13" spans="1:31" ht="12" customHeight="1">
      <c r="A13" s="205"/>
      <c r="B13" s="113" t="s">
        <v>328</v>
      </c>
      <c r="C13" s="188">
        <f>60.5-20.77</f>
        <v>39.730000000000004</v>
      </c>
      <c r="D13" s="341"/>
      <c r="E13" s="286">
        <v>9</v>
      </c>
      <c r="F13" s="290">
        <f t="shared" si="2"/>
        <v>666.67758197040007</v>
      </c>
      <c r="G13" s="236">
        <v>7.0000000000000007E-2</v>
      </c>
      <c r="H13" s="95">
        <v>0.14000000000000001</v>
      </c>
      <c r="I13" s="290">
        <f t="shared" si="3"/>
        <v>93.334861475856016</v>
      </c>
      <c r="J13" s="289">
        <f>I13*(1-$M$22)</f>
        <v>69.84247684238305</v>
      </c>
      <c r="K13" s="265">
        <f t="shared" si="4"/>
        <v>0.85514340621487361</v>
      </c>
      <c r="L13" s="348">
        <f t="shared" si="0"/>
        <v>51.002464538025031</v>
      </c>
      <c r="M13" s="348">
        <f t="shared" si="1"/>
        <v>18.840012304358019</v>
      </c>
      <c r="N13" s="203"/>
      <c r="O13" s="203"/>
      <c r="P13" s="203"/>
      <c r="Q13" s="203"/>
      <c r="R13" s="203"/>
      <c r="S13" s="203"/>
      <c r="T13" s="203"/>
      <c r="U13" s="203"/>
      <c r="V13" s="203"/>
      <c r="W13" s="203"/>
      <c r="X13" s="203"/>
      <c r="Y13" s="203"/>
      <c r="Z13" s="203"/>
      <c r="AA13" s="203"/>
      <c r="AB13" s="203"/>
      <c r="AC13" s="203"/>
    </row>
    <row r="14" spans="1:31">
      <c r="B14" s="113" t="s">
        <v>8</v>
      </c>
      <c r="C14" s="94">
        <f>(C6*(C13/(C12+C13))+(C11*(C12/(C12+C13)*(1-$M$22))))</f>
        <v>0.10113557283298913</v>
      </c>
      <c r="E14" s="286">
        <v>10</v>
      </c>
      <c r="F14" s="290">
        <f t="shared" si="2"/>
        <v>704.81153965910687</v>
      </c>
      <c r="G14" s="236">
        <v>5.7200000000000001E-2</v>
      </c>
      <c r="H14" s="95">
        <v>0.15</v>
      </c>
      <c r="I14" s="290">
        <f>F14*H14</f>
        <v>105.72173094886602</v>
      </c>
      <c r="J14" s="289">
        <f>I14*(1-$M$22)</f>
        <v>79.111571269036446</v>
      </c>
      <c r="K14" s="265">
        <f t="shared" si="4"/>
        <v>0.85514340621487361</v>
      </c>
      <c r="L14" s="348">
        <f t="shared" si="0"/>
        <v>44.593640565503939</v>
      </c>
      <c r="M14" s="348">
        <f t="shared" si="1"/>
        <v>34.517930703532507</v>
      </c>
      <c r="N14" s="203"/>
      <c r="O14" s="203"/>
      <c r="P14" s="203"/>
      <c r="Q14" s="203"/>
      <c r="R14" s="203"/>
      <c r="S14" s="203"/>
      <c r="T14" s="203"/>
      <c r="U14" s="203"/>
      <c r="V14" s="203"/>
      <c r="W14" s="203"/>
      <c r="X14" s="203"/>
      <c r="Y14" s="203"/>
      <c r="Z14" s="203"/>
      <c r="AA14" s="203"/>
      <c r="AB14" s="203"/>
      <c r="AC14" s="203"/>
    </row>
    <row r="15" spans="1:31">
      <c r="B15" s="53" t="s">
        <v>329</v>
      </c>
      <c r="C15" s="216">
        <f>(-7.97+4.55)+(-1.94-0.44+1.8)</f>
        <v>-4</v>
      </c>
      <c r="D15" s="342"/>
      <c r="J15" s="203"/>
      <c r="N15" s="203"/>
      <c r="O15" s="203"/>
      <c r="P15" s="203"/>
      <c r="Q15" s="203"/>
      <c r="R15" s="203"/>
      <c r="S15" s="203"/>
      <c r="T15" s="203"/>
      <c r="U15" s="203"/>
      <c r="V15" s="203"/>
      <c r="W15" s="203"/>
      <c r="X15" s="203"/>
      <c r="Y15" s="203"/>
      <c r="Z15" s="203"/>
      <c r="AA15" s="203"/>
      <c r="AB15" s="203"/>
      <c r="AC15" s="203"/>
      <c r="AD15" s="203"/>
      <c r="AE15" s="203"/>
    </row>
    <row r="16" spans="1:31">
      <c r="B16" s="215" t="s">
        <v>167</v>
      </c>
      <c r="C16" s="358">
        <f>AVERAGE(3.06,6.51,1.8,4.55)</f>
        <v>3.9800000000000004</v>
      </c>
      <c r="E16" s="102"/>
      <c r="F16" s="102" t="s">
        <v>331</v>
      </c>
      <c r="G16" s="102" t="s">
        <v>277</v>
      </c>
      <c r="I16" s="442" t="s">
        <v>294</v>
      </c>
      <c r="J16" s="442"/>
      <c r="L16" s="442" t="s">
        <v>332</v>
      </c>
      <c r="M16" s="442"/>
      <c r="O16" s="203"/>
      <c r="P16" s="203"/>
      <c r="Q16" s="203"/>
      <c r="R16" s="203"/>
      <c r="S16" s="203"/>
      <c r="T16" s="203"/>
      <c r="U16" s="203"/>
      <c r="V16" s="203"/>
      <c r="W16" s="203"/>
      <c r="X16" s="203"/>
      <c r="Y16" s="203"/>
      <c r="Z16" s="203"/>
      <c r="AA16" s="203"/>
      <c r="AB16" s="203"/>
      <c r="AC16" s="203"/>
      <c r="AD16" s="203"/>
      <c r="AE16" s="203"/>
    </row>
    <row r="17" spans="1:31">
      <c r="B17" s="215" t="s">
        <v>3</v>
      </c>
      <c r="C17" s="358">
        <f>58.96+2.59-35.97+2.11-2.85-10.58-9.73</f>
        <v>4.5299999999999958</v>
      </c>
      <c r="E17" s="292" t="s">
        <v>265</v>
      </c>
      <c r="F17" s="288">
        <f>C12+C13-(3.57+0.0025)</f>
        <v>68.947500000000005</v>
      </c>
      <c r="G17" s="347">
        <f t="shared" ref="G17:G27" si="6">J4/F17</f>
        <v>6.5702164690525339E-2</v>
      </c>
      <c r="I17" s="287" t="s">
        <v>17</v>
      </c>
      <c r="J17" s="236">
        <f>C3 + (J23*C4)</f>
        <v>8.2445129050682242E-2</v>
      </c>
      <c r="K17" s="353"/>
      <c r="L17" s="229" t="s">
        <v>15</v>
      </c>
      <c r="M17" s="269">
        <v>0.04</v>
      </c>
      <c r="O17" s="203"/>
      <c r="P17" s="203"/>
      <c r="Q17" s="203"/>
      <c r="R17" s="203"/>
      <c r="S17" s="203"/>
      <c r="T17" s="203"/>
      <c r="U17" s="203"/>
      <c r="V17" s="203"/>
      <c r="W17" s="203"/>
      <c r="X17" s="203"/>
      <c r="Y17" s="203"/>
      <c r="Z17" s="203"/>
      <c r="AA17" s="203"/>
      <c r="AB17" s="203"/>
      <c r="AC17" s="203"/>
      <c r="AD17" s="203"/>
      <c r="AE17" s="203"/>
    </row>
    <row r="18" spans="1:31">
      <c r="A18" s="205"/>
      <c r="B18" s="219" t="s">
        <v>327</v>
      </c>
      <c r="C18" s="349">
        <f>C17/C16</f>
        <v>1.1381909547738682</v>
      </c>
      <c r="E18" s="286">
        <v>1</v>
      </c>
      <c r="F18" s="348">
        <f t="shared" ref="F18:F27" si="7">F17+L5</f>
        <v>117.21075</v>
      </c>
      <c r="G18" s="95">
        <f t="shared" si="6"/>
        <v>5.1812483070025582E-2</v>
      </c>
      <c r="I18" s="287" t="s">
        <v>18</v>
      </c>
      <c r="J18" s="236">
        <f>C7+(C8*C9)+J24</f>
        <v>6.8951348837209298E-2</v>
      </c>
      <c r="K18" s="353"/>
      <c r="L18" s="215" t="s">
        <v>277</v>
      </c>
      <c r="M18" s="95">
        <f>G27</f>
        <v>9.5985571630588476E-2</v>
      </c>
      <c r="O18" s="203"/>
      <c r="P18" s="203"/>
      <c r="Q18" s="203"/>
      <c r="R18" s="203"/>
      <c r="S18" s="203"/>
      <c r="T18" s="203"/>
      <c r="U18" s="203"/>
      <c r="V18" s="203"/>
      <c r="W18" s="203"/>
      <c r="X18" s="203"/>
      <c r="Y18" s="203"/>
      <c r="Z18" s="203"/>
      <c r="AA18" s="203"/>
      <c r="AB18" s="203"/>
      <c r="AC18" s="203"/>
      <c r="AD18" s="203"/>
      <c r="AE18" s="203"/>
    </row>
    <row r="19" spans="1:31">
      <c r="B19" s="113" t="s">
        <v>178</v>
      </c>
      <c r="C19" s="188">
        <f>C12</f>
        <v>32.79</v>
      </c>
      <c r="E19" s="286">
        <v>2</v>
      </c>
      <c r="F19" s="348">
        <f t="shared" si="7"/>
        <v>175.81612500000003</v>
      </c>
      <c r="G19" s="95">
        <f t="shared" si="6"/>
        <v>5.1192304869647189E-2</v>
      </c>
      <c r="I19" s="287"/>
      <c r="J19" s="287"/>
      <c r="K19" s="353"/>
      <c r="L19" s="219" t="s">
        <v>335</v>
      </c>
      <c r="M19" s="315">
        <f>M17/M18</f>
        <v>0.41672929921118362</v>
      </c>
      <c r="O19" s="203"/>
      <c r="P19" s="203"/>
      <c r="Q19" s="203"/>
      <c r="R19" s="203"/>
      <c r="S19" s="203"/>
      <c r="T19" s="203"/>
      <c r="U19" s="203"/>
      <c r="V19" s="203"/>
      <c r="W19" s="203"/>
      <c r="X19" s="203"/>
      <c r="Y19" s="203"/>
      <c r="Z19" s="203"/>
      <c r="AA19" s="203"/>
      <c r="AB19" s="203"/>
      <c r="AC19" s="203"/>
      <c r="AD19" s="203"/>
      <c r="AE19" s="203"/>
    </row>
    <row r="20" spans="1:31">
      <c r="A20" s="205"/>
      <c r="B20" s="113" t="s">
        <v>182</v>
      </c>
      <c r="C20" s="188">
        <f>C16</f>
        <v>3.9800000000000004</v>
      </c>
      <c r="E20" s="286">
        <v>3</v>
      </c>
      <c r="F20" s="348">
        <f t="shared" si="7"/>
        <v>263.72418750000003</v>
      </c>
      <c r="G20" s="95">
        <f t="shared" si="6"/>
        <v>5.759134297835309E-2</v>
      </c>
      <c r="I20" s="287" t="s">
        <v>337</v>
      </c>
      <c r="J20" s="350">
        <f>1-J21</f>
        <v>0.19359999999999999</v>
      </c>
      <c r="K20" s="353"/>
      <c r="L20" s="211"/>
      <c r="M20" s="211"/>
      <c r="O20" s="203"/>
      <c r="P20" s="203"/>
      <c r="Q20" s="203"/>
      <c r="R20" s="203"/>
      <c r="S20" s="203"/>
      <c r="T20" s="203"/>
      <c r="U20" s="203"/>
      <c r="V20" s="203"/>
      <c r="W20" s="203"/>
      <c r="X20" s="203"/>
      <c r="Y20" s="203"/>
      <c r="Z20" s="203"/>
      <c r="AA20" s="203"/>
      <c r="AB20" s="203"/>
      <c r="AC20" s="203"/>
      <c r="AD20" s="203"/>
      <c r="AE20" s="203"/>
    </row>
    <row r="21" spans="1:31">
      <c r="B21" s="113" t="s">
        <v>18</v>
      </c>
      <c r="C21" s="95">
        <f>C11</f>
        <v>0.15025134883720931</v>
      </c>
      <c r="E21" s="286">
        <v>4</v>
      </c>
      <c r="F21" s="348">
        <f t="shared" si="7"/>
        <v>369.2138625</v>
      </c>
      <c r="G21" s="95">
        <f t="shared" si="6"/>
        <v>6.3990381087058998E-2</v>
      </c>
      <c r="I21" s="287" t="s">
        <v>338</v>
      </c>
      <c r="J21" s="330">
        <v>0.80640000000000001</v>
      </c>
      <c r="K21" s="353"/>
      <c r="L21" s="215" t="s">
        <v>287</v>
      </c>
      <c r="M21" s="188">
        <f>($F$14*(1+$M$17))*$H$14</f>
        <v>109.95060018682067</v>
      </c>
      <c r="O21" s="203"/>
      <c r="P21" s="203"/>
      <c r="Q21" s="203"/>
      <c r="R21" s="203"/>
      <c r="S21" s="203"/>
      <c r="T21" s="203"/>
      <c r="U21" s="203"/>
      <c r="V21" s="203"/>
      <c r="W21" s="203"/>
      <c r="X21" s="203"/>
      <c r="Y21" s="203"/>
      <c r="Z21" s="203"/>
      <c r="AA21" s="203"/>
      <c r="AB21" s="203"/>
      <c r="AC21" s="203"/>
      <c r="AD21" s="203"/>
      <c r="AE21" s="203"/>
    </row>
    <row r="22" spans="1:31">
      <c r="B22" s="53" t="s">
        <v>185</v>
      </c>
      <c r="C22" s="191">
        <v>5</v>
      </c>
      <c r="E22" s="286">
        <v>5</v>
      </c>
      <c r="F22" s="348">
        <f t="shared" si="7"/>
        <v>479.97802125000004</v>
      </c>
      <c r="G22" s="95">
        <f t="shared" si="6"/>
        <v>6.3990381087058998E-2</v>
      </c>
      <c r="I22" s="287"/>
      <c r="J22" s="287"/>
      <c r="K22" s="353"/>
      <c r="L22" s="215" t="s">
        <v>333</v>
      </c>
      <c r="M22" s="95">
        <f>WACC!$C$11</f>
        <v>0.25169999999999998</v>
      </c>
      <c r="O22" s="203"/>
      <c r="P22" s="203"/>
      <c r="Q22" s="203"/>
      <c r="R22" s="203"/>
      <c r="S22" s="203"/>
      <c r="T22" s="203"/>
      <c r="U22" s="203"/>
      <c r="V22" s="203"/>
      <c r="W22" s="203"/>
      <c r="X22" s="203"/>
      <c r="Y22" s="203"/>
      <c r="Z22" s="203"/>
      <c r="AA22" s="203"/>
      <c r="AB22" s="203"/>
      <c r="AC22" s="203"/>
      <c r="AD22" s="203"/>
      <c r="AE22" s="203"/>
    </row>
    <row r="23" spans="1:31" ht="12" customHeight="1">
      <c r="B23" s="113" t="s">
        <v>184</v>
      </c>
      <c r="C23" s="337">
        <f>C20*((1-(1+C21)^(-C22))/C21)+C19/(1+C21)^5</f>
        <v>29.618262628585345</v>
      </c>
      <c r="E23" s="286">
        <v>6</v>
      </c>
      <c r="F23" s="348">
        <f t="shared" si="7"/>
        <v>575.97362550000003</v>
      </c>
      <c r="G23" s="95">
        <f t="shared" si="6"/>
        <v>7.6788457304470772E-2</v>
      </c>
      <c r="I23" s="287" t="s">
        <v>336</v>
      </c>
      <c r="J23" s="265">
        <f>Beta!$C$17*(1+(1-Beta!$C$13)*0.24)</f>
        <v>0.69081027192869182</v>
      </c>
      <c r="K23" s="353"/>
      <c r="L23" s="219" t="s">
        <v>334</v>
      </c>
      <c r="M23" s="220">
        <f>M21*(1-M22)</f>
        <v>82.276034119797899</v>
      </c>
      <c r="O23" s="203"/>
      <c r="P23" s="203"/>
      <c r="Q23" s="203"/>
      <c r="R23" s="203"/>
      <c r="S23" s="203"/>
      <c r="T23" s="203"/>
      <c r="U23" s="203"/>
      <c r="V23" s="203"/>
      <c r="W23" s="203"/>
      <c r="X23" s="203"/>
      <c r="Y23" s="203"/>
      <c r="Z23" s="203"/>
      <c r="AA23" s="203"/>
      <c r="AB23" s="203"/>
      <c r="AC23" s="203"/>
      <c r="AD23" s="203"/>
      <c r="AE23" s="203"/>
    </row>
    <row r="24" spans="1:31">
      <c r="A24" s="205"/>
      <c r="B24" s="215" t="s">
        <v>340</v>
      </c>
      <c r="C24" s="216">
        <f>(M5/(1+$C$14)^E5)+(M6/(1+($C$14-0.2%))^E6)+(M7/(1+($C$14-0.5%))^E7)+(M8/(1+($C$14-0.5%))^E8)+(M9/(1+($C$14-1%))^E9)+(M10/(1+($C$14-1.5%))^E10)+(M11/(1+($C$14-2%))^E11)+(M12/(1+($C$14-2.2%))^E12)+(M13/(1+($C$14-2.4%))^E13)+(M14/(1+($C$14-2.46%))^E14)</f>
        <v>-272.06406373263957</v>
      </c>
      <c r="E24" s="286">
        <v>7</v>
      </c>
      <c r="F24" s="348">
        <f t="shared" si="7"/>
        <v>662.36966932500002</v>
      </c>
      <c r="G24" s="95">
        <f t="shared" si="6"/>
        <v>7.6788457304470772E-2</v>
      </c>
      <c r="I24" s="287" t="s">
        <v>339</v>
      </c>
      <c r="J24" s="95">
        <v>6.7000000000000002E-3</v>
      </c>
      <c r="K24" s="353"/>
      <c r="L24" s="215"/>
      <c r="M24" s="323"/>
      <c r="O24" s="203"/>
      <c r="P24" s="203"/>
      <c r="Q24" s="203"/>
      <c r="R24" s="203"/>
      <c r="S24" s="203"/>
      <c r="T24" s="203"/>
      <c r="U24" s="203"/>
      <c r="V24" s="203"/>
      <c r="W24" s="203"/>
      <c r="X24" s="203"/>
      <c r="Y24" s="203"/>
      <c r="Z24" s="203"/>
      <c r="AA24" s="203"/>
      <c r="AB24" s="203"/>
      <c r="AC24" s="203"/>
      <c r="AD24" s="203"/>
      <c r="AE24" s="203"/>
    </row>
    <row r="25" spans="1:31">
      <c r="A25" s="205" t="s">
        <v>199</v>
      </c>
      <c r="B25" s="215" t="s">
        <v>341</v>
      </c>
      <c r="C25" s="216">
        <f>M27/(1+$J$26)^10</f>
        <v>629.71477638607394</v>
      </c>
      <c r="E25" s="286">
        <v>8</v>
      </c>
      <c r="F25" s="348">
        <f t="shared" si="7"/>
        <v>728.6066362575001</v>
      </c>
      <c r="G25" s="95">
        <f t="shared" si="6"/>
        <v>8.3187495413176687E-2</v>
      </c>
      <c r="I25" s="211"/>
      <c r="J25" s="211"/>
      <c r="K25" s="353"/>
      <c r="L25" s="215" t="s">
        <v>290</v>
      </c>
      <c r="M25" s="324">
        <f>M23*(1-M19)</f>
        <v>47.989200079179085</v>
      </c>
      <c r="O25" s="203"/>
      <c r="P25" s="203"/>
      <c r="Q25" s="203"/>
      <c r="R25" s="203"/>
      <c r="S25" s="203"/>
      <c r="T25" s="203"/>
      <c r="U25" s="203"/>
      <c r="V25" s="203"/>
      <c r="W25" s="203"/>
      <c r="X25" s="203"/>
      <c r="Y25" s="203"/>
      <c r="Z25" s="203"/>
      <c r="AA25" s="203"/>
      <c r="AB25" s="203"/>
      <c r="AC25" s="203"/>
      <c r="AD25" s="203"/>
      <c r="AE25" s="203"/>
    </row>
    <row r="26" spans="1:31">
      <c r="A26" s="205" t="s">
        <v>199</v>
      </c>
      <c r="B26" s="215" t="s">
        <v>316</v>
      </c>
      <c r="C26" s="216">
        <f>3.57+0.0025</f>
        <v>3.5724999999999998</v>
      </c>
      <c r="E26" s="286">
        <v>9</v>
      </c>
      <c r="F26" s="348">
        <f t="shared" si="7"/>
        <v>779.60910079552514</v>
      </c>
      <c r="G26" s="95">
        <f t="shared" si="6"/>
        <v>8.9586533521882589E-2</v>
      </c>
      <c r="I26" s="351" t="s">
        <v>294</v>
      </c>
      <c r="J26" s="352">
        <f>(J17*J21)+(J18*J20*(1-M22))</f>
        <v>7.6472794649703649E-2</v>
      </c>
      <c r="K26" s="353"/>
      <c r="L26" s="287"/>
      <c r="M26" s="211"/>
      <c r="O26" s="203"/>
      <c r="P26" s="203"/>
      <c r="Q26" s="203"/>
      <c r="R26" s="203"/>
      <c r="S26" s="203"/>
      <c r="T26" s="203"/>
      <c r="U26" s="203"/>
      <c r="V26" s="203"/>
      <c r="W26" s="203"/>
      <c r="X26" s="203"/>
      <c r="Y26" s="203"/>
      <c r="Z26" s="203"/>
      <c r="AA26" s="203"/>
      <c r="AB26" s="203"/>
      <c r="AC26" s="203"/>
      <c r="AD26" s="203"/>
      <c r="AE26" s="203"/>
    </row>
    <row r="27" spans="1:31">
      <c r="A27" s="205" t="s">
        <v>199</v>
      </c>
      <c r="B27" s="215" t="s">
        <v>10</v>
      </c>
      <c r="C27" s="216">
        <v>0</v>
      </c>
      <c r="E27" s="286">
        <v>10</v>
      </c>
      <c r="F27" s="348">
        <f t="shared" si="7"/>
        <v>824.2027413610291</v>
      </c>
      <c r="G27" s="95">
        <f t="shared" si="6"/>
        <v>9.5985571630588476E-2</v>
      </c>
      <c r="K27" s="353"/>
      <c r="L27" s="53" t="s">
        <v>258</v>
      </c>
      <c r="M27" s="325">
        <f>M25/(J26-M17)</f>
        <v>1315.7533043486978</v>
      </c>
      <c r="O27" s="203"/>
      <c r="P27" s="203"/>
      <c r="Q27" s="203"/>
      <c r="R27" s="203"/>
      <c r="S27" s="203"/>
      <c r="T27" s="203"/>
      <c r="U27" s="203"/>
      <c r="V27" s="203"/>
      <c r="W27" s="203"/>
      <c r="X27" s="203"/>
      <c r="Y27" s="203"/>
      <c r="Z27" s="203"/>
      <c r="AA27" s="203"/>
      <c r="AB27" s="203"/>
      <c r="AC27" s="203"/>
      <c r="AD27" s="203"/>
      <c r="AE27" s="203"/>
    </row>
    <row r="28" spans="1:31">
      <c r="B28" s="217" t="s">
        <v>344</v>
      </c>
      <c r="C28" s="218">
        <f>SUM(C24:C27)</f>
        <v>361.22321265343436</v>
      </c>
      <c r="O28" s="203"/>
      <c r="P28" s="203"/>
      <c r="Q28" s="203"/>
      <c r="R28" s="203"/>
      <c r="S28" s="203"/>
      <c r="T28" s="203"/>
      <c r="U28" s="203"/>
      <c r="V28" s="203"/>
      <c r="W28" s="203"/>
      <c r="X28" s="203"/>
      <c r="Y28" s="203"/>
      <c r="Z28" s="203"/>
      <c r="AA28" s="203"/>
      <c r="AB28" s="203"/>
      <c r="AC28" s="203"/>
      <c r="AD28" s="203"/>
      <c r="AE28" s="203"/>
    </row>
    <row r="29" spans="1:31">
      <c r="A29" s="205" t="s">
        <v>98</v>
      </c>
      <c r="B29" s="215" t="s">
        <v>13</v>
      </c>
      <c r="C29" s="216">
        <f>C23</f>
        <v>29.618262628585345</v>
      </c>
      <c r="E29" s="355"/>
      <c r="O29" s="203"/>
      <c r="P29" s="203"/>
      <c r="Q29" s="203"/>
      <c r="R29" s="203"/>
      <c r="S29" s="203"/>
      <c r="T29" s="203"/>
      <c r="U29" s="203"/>
      <c r="V29" s="203"/>
      <c r="W29" s="203"/>
      <c r="X29" s="203"/>
      <c r="Y29" s="203"/>
      <c r="Z29" s="203"/>
      <c r="AA29" s="203"/>
      <c r="AB29" s="203"/>
      <c r="AC29" s="203"/>
      <c r="AD29" s="203"/>
      <c r="AE29" s="203"/>
    </row>
    <row r="30" spans="1:31" ht="12" customHeight="1">
      <c r="B30" s="215" t="s">
        <v>345</v>
      </c>
      <c r="C30" s="359">
        <f>C28-C29</f>
        <v>331.60495002484902</v>
      </c>
      <c r="E30" s="355"/>
      <c r="F30" s="354"/>
      <c r="G30" s="354"/>
      <c r="H30" s="354"/>
      <c r="I30" s="354"/>
      <c r="J30" s="354"/>
      <c r="K30" s="354"/>
      <c r="L30" s="354"/>
      <c r="M30" s="354"/>
      <c r="N30" s="354"/>
      <c r="P30" s="203"/>
      <c r="Q30" s="203"/>
      <c r="R30" s="203"/>
      <c r="S30" s="203"/>
      <c r="T30" s="203"/>
      <c r="U30" s="203"/>
      <c r="V30" s="203"/>
      <c r="W30" s="203"/>
      <c r="X30" s="203"/>
      <c r="Y30" s="203"/>
      <c r="Z30" s="203"/>
      <c r="AA30" s="203"/>
      <c r="AB30" s="203"/>
      <c r="AC30" s="203"/>
      <c r="AD30" s="203"/>
      <c r="AE30" s="203"/>
    </row>
    <row r="31" spans="1:31">
      <c r="E31" s="355"/>
      <c r="F31" s="346"/>
      <c r="G31" s="346"/>
      <c r="H31" s="346"/>
      <c r="I31" s="353"/>
      <c r="J31" s="353"/>
      <c r="K31" s="346"/>
      <c r="L31" s="346"/>
      <c r="M31" s="346"/>
      <c r="N31" s="346"/>
      <c r="P31" s="203"/>
      <c r="Q31" s="203"/>
      <c r="R31" s="203"/>
      <c r="S31" s="203"/>
      <c r="T31" s="203"/>
      <c r="U31" s="203"/>
      <c r="V31" s="203"/>
      <c r="W31" s="203"/>
      <c r="X31" s="203"/>
      <c r="Y31" s="203"/>
      <c r="Z31" s="203"/>
      <c r="AA31" s="203"/>
      <c r="AB31" s="203"/>
      <c r="AC31" s="203"/>
      <c r="AD31" s="203"/>
      <c r="AE31" s="203"/>
    </row>
    <row r="32" spans="1:31">
      <c r="E32" s="355"/>
      <c r="F32" s="203"/>
      <c r="G32" s="203"/>
      <c r="H32" s="203"/>
      <c r="I32" s="203"/>
      <c r="L32" s="203"/>
      <c r="M32" s="203"/>
      <c r="N32" s="203"/>
      <c r="O32" s="203"/>
      <c r="P32" s="203"/>
      <c r="Q32" s="203"/>
      <c r="R32" s="203"/>
      <c r="S32" s="203"/>
      <c r="T32" s="203"/>
      <c r="U32" s="203"/>
      <c r="V32" s="203"/>
      <c r="W32" s="203"/>
      <c r="X32" s="203"/>
      <c r="Y32" s="203"/>
      <c r="Z32" s="203"/>
      <c r="AA32" s="203"/>
      <c r="AB32" s="203"/>
      <c r="AC32" s="203"/>
      <c r="AD32" s="203"/>
      <c r="AE32" s="203"/>
    </row>
    <row r="33" spans="5:31">
      <c r="E33" s="355"/>
      <c r="F33" s="203"/>
      <c r="G33" s="203"/>
      <c r="H33" s="203"/>
      <c r="I33" s="203"/>
      <c r="L33" s="203"/>
      <c r="M33" s="203"/>
      <c r="N33" s="203"/>
      <c r="O33" s="203"/>
      <c r="P33" s="203"/>
      <c r="Q33" s="203"/>
      <c r="R33" s="203"/>
      <c r="S33" s="203"/>
      <c r="T33" s="203"/>
      <c r="U33" s="203"/>
      <c r="V33" s="203"/>
      <c r="W33" s="203"/>
      <c r="X33" s="203"/>
      <c r="Y33" s="203"/>
      <c r="Z33" s="203"/>
      <c r="AA33" s="203"/>
      <c r="AB33" s="203"/>
      <c r="AC33" s="203"/>
      <c r="AD33" s="203"/>
      <c r="AE33" s="203"/>
    </row>
    <row r="34" spans="5:31">
      <c r="E34" s="355"/>
      <c r="F34" s="203"/>
      <c r="G34" s="203"/>
      <c r="H34" s="203"/>
      <c r="I34" s="203"/>
      <c r="L34" s="203"/>
      <c r="M34" s="203"/>
      <c r="N34" s="203"/>
      <c r="O34" s="203"/>
      <c r="P34" s="203"/>
      <c r="Q34" s="203"/>
      <c r="R34" s="203"/>
      <c r="S34" s="203"/>
      <c r="T34" s="203"/>
      <c r="U34" s="203"/>
      <c r="V34" s="203"/>
      <c r="W34" s="203"/>
      <c r="X34" s="203"/>
      <c r="Y34" s="203"/>
      <c r="Z34" s="203"/>
      <c r="AA34" s="203"/>
      <c r="AB34" s="203"/>
      <c r="AC34" s="203"/>
      <c r="AD34" s="203"/>
      <c r="AE34" s="203"/>
    </row>
    <row r="35" spans="5:31">
      <c r="E35" s="355"/>
      <c r="F35" s="203"/>
      <c r="G35" s="203"/>
      <c r="H35" s="203"/>
      <c r="I35" s="203"/>
      <c r="L35" s="203"/>
      <c r="M35" s="203"/>
      <c r="N35" s="203"/>
      <c r="O35" s="203"/>
      <c r="P35" s="203"/>
      <c r="Q35" s="203"/>
      <c r="R35" s="203"/>
      <c r="S35" s="203"/>
      <c r="T35" s="203"/>
      <c r="U35" s="203"/>
      <c r="V35" s="203"/>
      <c r="W35" s="203"/>
      <c r="X35" s="203"/>
      <c r="Y35" s="203"/>
      <c r="Z35" s="203"/>
      <c r="AA35" s="203"/>
      <c r="AB35" s="203"/>
      <c r="AC35" s="203"/>
      <c r="AD35" s="203"/>
      <c r="AE35" s="203"/>
    </row>
    <row r="36" spans="5:31">
      <c r="E36" s="355"/>
      <c r="F36" s="203"/>
      <c r="G36" s="203"/>
      <c r="H36" s="203"/>
      <c r="I36" s="203"/>
      <c r="L36" s="203"/>
      <c r="M36" s="203"/>
      <c r="N36" s="203"/>
      <c r="O36" s="203"/>
      <c r="P36" s="203"/>
      <c r="Q36" s="203"/>
      <c r="R36" s="203"/>
      <c r="S36" s="203"/>
      <c r="T36" s="203"/>
      <c r="U36" s="203"/>
      <c r="V36" s="203"/>
      <c r="W36" s="203"/>
      <c r="X36" s="203"/>
      <c r="Y36" s="203"/>
      <c r="Z36" s="203"/>
      <c r="AA36" s="203"/>
      <c r="AB36" s="203"/>
      <c r="AC36" s="203"/>
      <c r="AD36" s="203"/>
      <c r="AE36" s="203"/>
    </row>
    <row r="37" spans="5:31">
      <c r="E37" s="355"/>
      <c r="F37" s="203"/>
      <c r="G37" s="203"/>
      <c r="H37" s="203"/>
      <c r="I37" s="203"/>
      <c r="L37" s="203"/>
      <c r="M37" s="203"/>
      <c r="N37" s="203"/>
      <c r="O37" s="203"/>
      <c r="P37" s="203"/>
      <c r="Q37" s="203"/>
      <c r="R37" s="203"/>
      <c r="S37" s="203"/>
      <c r="T37" s="203"/>
      <c r="U37" s="203"/>
      <c r="V37" s="203"/>
      <c r="W37" s="203"/>
      <c r="X37" s="203"/>
      <c r="Y37" s="203"/>
      <c r="Z37" s="203"/>
      <c r="AA37" s="203"/>
      <c r="AB37" s="203"/>
      <c r="AC37" s="203"/>
      <c r="AD37" s="203"/>
      <c r="AE37" s="203"/>
    </row>
    <row r="38" spans="5:31">
      <c r="E38" s="355"/>
      <c r="F38" s="203"/>
      <c r="G38" s="203"/>
      <c r="H38" s="203"/>
      <c r="I38" s="203"/>
      <c r="L38" s="203"/>
      <c r="M38" s="203"/>
      <c r="N38" s="203"/>
      <c r="O38" s="203"/>
      <c r="P38" s="203"/>
      <c r="Q38" s="203"/>
      <c r="R38" s="203"/>
      <c r="S38" s="203"/>
      <c r="T38" s="203"/>
      <c r="U38" s="203"/>
      <c r="V38" s="203"/>
      <c r="W38" s="203"/>
      <c r="X38" s="203"/>
      <c r="Y38" s="203"/>
      <c r="Z38" s="203"/>
      <c r="AA38" s="203"/>
      <c r="AB38" s="203"/>
      <c r="AC38" s="203"/>
      <c r="AD38" s="203"/>
      <c r="AE38" s="203"/>
    </row>
    <row r="39" spans="5:31">
      <c r="E39" s="343"/>
    </row>
    <row r="45" spans="5:31">
      <c r="F45" s="49"/>
      <c r="G45" s="49"/>
      <c r="H45" s="49"/>
      <c r="I45" s="49"/>
    </row>
  </sheetData>
  <mergeCells count="2">
    <mergeCell ref="I16:J16"/>
    <mergeCell ref="L16:M16"/>
  </mergeCell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E48"/>
  <sheetViews>
    <sheetView workbookViewId="0"/>
  </sheetViews>
  <sheetFormatPr defaultRowHeight="12"/>
  <cols>
    <col min="1" max="1" width="2" style="198" customWidth="1"/>
    <col min="2" max="2" width="31.42578125" style="198" customWidth="1"/>
    <col min="3" max="3" width="14.28515625" style="198" customWidth="1"/>
    <col min="4" max="4" width="12.85546875" style="198" customWidth="1"/>
    <col min="5" max="5" width="8.42578125" style="198" bestFit="1" customWidth="1"/>
    <col min="6" max="6" width="12.85546875" style="198" customWidth="1" collapsed="1"/>
    <col min="7" max="7" width="12.42578125" style="198" customWidth="1"/>
    <col min="8" max="8" width="11.7109375" style="198" customWidth="1"/>
    <col min="9" max="9" width="12.42578125" style="198" customWidth="1"/>
    <col min="10" max="10" width="9.85546875" style="198" customWidth="1"/>
    <col min="11" max="11" width="10.85546875" style="198" customWidth="1"/>
    <col min="12" max="12" width="15.85546875" style="198" customWidth="1"/>
    <col min="13" max="13" width="12.5703125" style="198" customWidth="1"/>
    <col min="14" max="14" width="13.28515625" style="198" customWidth="1"/>
    <col min="15" max="25" width="9.140625" style="198" customWidth="1"/>
    <col min="26" max="26" width="9.28515625" style="198" customWidth="1"/>
    <col min="27" max="27" width="9.42578125" style="198" customWidth="1"/>
    <col min="28" max="28" width="10" style="198" customWidth="1"/>
    <col min="29" max="29" width="11.42578125" style="198" customWidth="1"/>
    <col min="30" max="30" width="9.42578125" style="198" bestFit="1" customWidth="1" collapsed="1"/>
    <col min="31" max="16384" width="9.140625" style="198"/>
  </cols>
  <sheetData>
    <row r="1" spans="1:31" s="197" customFormat="1" ht="15" customHeight="1">
      <c r="B1" s="18" t="s">
        <v>349</v>
      </c>
      <c r="C1" s="196"/>
      <c r="D1" s="196"/>
      <c r="E1" s="196"/>
      <c r="F1" s="196"/>
      <c r="G1" s="196"/>
      <c r="H1" s="196"/>
      <c r="I1" s="196"/>
      <c r="J1" s="196"/>
      <c r="K1" s="196"/>
    </row>
    <row r="2" spans="1:31" ht="12" customHeight="1">
      <c r="C2" s="226"/>
    </row>
    <row r="3" spans="1:31" ht="12" customHeight="1">
      <c r="A3" s="200"/>
      <c r="B3" s="215" t="s">
        <v>19</v>
      </c>
      <c r="C3" s="97">
        <f>'Risk Free Rate'!C4</f>
        <v>5.722E-2</v>
      </c>
      <c r="D3" s="341"/>
      <c r="E3" s="102"/>
      <c r="F3" s="102" t="s">
        <v>295</v>
      </c>
      <c r="G3" s="102" t="s">
        <v>7</v>
      </c>
      <c r="H3" s="102" t="s">
        <v>270</v>
      </c>
      <c r="I3" s="260" t="s">
        <v>271</v>
      </c>
      <c r="J3" s="260" t="s">
        <v>3</v>
      </c>
      <c r="K3" s="260" t="s">
        <v>272</v>
      </c>
      <c r="L3" s="260" t="s">
        <v>330</v>
      </c>
      <c r="M3" s="260" t="s">
        <v>225</v>
      </c>
      <c r="N3" s="102" t="s">
        <v>275</v>
      </c>
    </row>
    <row r="4" spans="1:31" ht="12" customHeight="1">
      <c r="A4" s="205"/>
      <c r="B4" s="215" t="s">
        <v>20</v>
      </c>
      <c r="C4" s="344">
        <f>'Equity Risk Premium'!F28</f>
        <v>3.6515277892807708E-2</v>
      </c>
      <c r="D4" s="341"/>
      <c r="E4" s="292" t="s">
        <v>265</v>
      </c>
      <c r="F4" s="362">
        <v>11281.5</v>
      </c>
      <c r="G4" s="288">
        <v>1815.4</v>
      </c>
      <c r="H4" s="288"/>
      <c r="I4" s="347">
        <f>C17/G4</f>
        <v>0.11746722485402665</v>
      </c>
      <c r="J4" s="288">
        <f>G4*I4</f>
        <v>213.25</v>
      </c>
      <c r="K4" s="288">
        <f>J4</f>
        <v>213.25</v>
      </c>
      <c r="L4" s="297">
        <f>G4/F17</f>
        <v>3.5538241685100727</v>
      </c>
      <c r="M4" s="288"/>
      <c r="N4" s="288"/>
      <c r="P4" s="202"/>
      <c r="Q4" s="202"/>
      <c r="R4" s="202"/>
      <c r="S4" s="202"/>
      <c r="X4" s="202"/>
    </row>
    <row r="5" spans="1:31" ht="12" customHeight="1">
      <c r="A5" s="205"/>
      <c r="B5" s="215" t="s">
        <v>14</v>
      </c>
      <c r="C5" s="265">
        <f>Beta!$C$17*(1+(1-Beta!$C$13)*((153.85+23.17)/(64.8+364.25)))</f>
        <v>0.76644271688594401</v>
      </c>
      <c r="D5" s="341"/>
      <c r="E5" s="286">
        <v>1</v>
      </c>
      <c r="F5" s="363">
        <v>12706.729500000001</v>
      </c>
      <c r="G5" s="290">
        <f>G4*(1+H5)</f>
        <v>2360.02</v>
      </c>
      <c r="H5" s="236">
        <v>0.3</v>
      </c>
      <c r="I5" s="95">
        <v>0.13</v>
      </c>
      <c r="J5" s="290">
        <f>G5*I5</f>
        <v>306.80259999999998</v>
      </c>
      <c r="K5" s="289">
        <f>J5*(1-$M$22)</f>
        <v>229.58038557999998</v>
      </c>
      <c r="L5" s="265">
        <f t="shared" ref="L5:L14" ca="1" si="0">G5/F18</f>
        <v>3.5538241685100722</v>
      </c>
      <c r="M5" s="348">
        <f t="shared" ref="M5:M14" ca="1" si="1">(G5-G4)/L5</f>
        <v>153.24899999999997</v>
      </c>
      <c r="N5" s="348">
        <f t="shared" ref="N5:N14" ca="1" si="2">K5-M5</f>
        <v>76.331385580000017</v>
      </c>
      <c r="P5" s="203"/>
      <c r="Q5" s="203"/>
      <c r="R5" s="203"/>
      <c r="S5" s="203"/>
      <c r="T5" s="203"/>
      <c r="U5" s="203"/>
      <c r="V5" s="203"/>
      <c r="W5" s="203"/>
      <c r="X5" s="203"/>
      <c r="Y5" s="203"/>
      <c r="Z5" s="203"/>
      <c r="AA5" s="203"/>
      <c r="AB5" s="203"/>
      <c r="AC5" s="203"/>
    </row>
    <row r="6" spans="1:31" ht="12" customHeight="1">
      <c r="A6" s="205"/>
      <c r="B6" s="219" t="s">
        <v>17</v>
      </c>
      <c r="C6" s="356">
        <f>C3+(C5*C4)</f>
        <v>8.5206868796008792E-2</v>
      </c>
      <c r="D6" s="341"/>
      <c r="E6" s="286">
        <v>2</v>
      </c>
      <c r="F6" s="363">
        <v>14297.120160000004</v>
      </c>
      <c r="G6" s="290">
        <f t="shared" ref="G6:G13" si="3">G5*(1+H6)</f>
        <v>2950.0250000000001</v>
      </c>
      <c r="H6" s="236">
        <v>0.25</v>
      </c>
      <c r="I6" s="95">
        <v>0.14000000000000001</v>
      </c>
      <c r="J6" s="290">
        <f t="shared" ref="J6:J13" si="4">G6*I6</f>
        <v>413.00350000000003</v>
      </c>
      <c r="K6" s="289">
        <f>J6*(1-$M$22)</f>
        <v>309.05051904999999</v>
      </c>
      <c r="L6" s="265">
        <f t="shared" ca="1" si="0"/>
        <v>3.5538241685100718</v>
      </c>
      <c r="M6" s="348">
        <f t="shared" ca="1" si="1"/>
        <v>166.01975000000004</v>
      </c>
      <c r="N6" s="348">
        <f t="shared" ca="1" si="2"/>
        <v>143.03076904999995</v>
      </c>
      <c r="P6" s="203"/>
      <c r="Q6" s="203"/>
      <c r="R6" s="203"/>
      <c r="S6" s="203"/>
      <c r="T6" s="203"/>
      <c r="U6" s="203"/>
      <c r="V6" s="203"/>
      <c r="W6" s="203"/>
      <c r="X6" s="203"/>
      <c r="Y6" s="203"/>
      <c r="Z6" s="203"/>
      <c r="AA6" s="203"/>
      <c r="AB6" s="203"/>
      <c r="AC6" s="203"/>
    </row>
    <row r="7" spans="1:31" ht="12" customHeight="1">
      <c r="B7" s="113" t="s">
        <v>165</v>
      </c>
      <c r="C7" s="344">
        <f>'Cost of Equity &amp; Debt'!C15</f>
        <v>3.2140000000000002E-2</v>
      </c>
      <c r="D7" s="341"/>
      <c r="E7" s="286">
        <v>3</v>
      </c>
      <c r="F7" s="363">
        <v>16070.856629850003</v>
      </c>
      <c r="G7" s="290">
        <f t="shared" si="3"/>
        <v>3687.53125</v>
      </c>
      <c r="H7" s="236">
        <v>0.25</v>
      </c>
      <c r="I7" s="95">
        <v>0.14000000000000001</v>
      </c>
      <c r="J7" s="290">
        <f t="shared" si="4"/>
        <v>516.2543750000001</v>
      </c>
      <c r="K7" s="289">
        <f t="shared" ref="K7:K11" si="5">J7*(1-$M$22)</f>
        <v>386.31314881250006</v>
      </c>
      <c r="L7" s="265">
        <f t="shared" ca="1" si="0"/>
        <v>3.5538241685100722</v>
      </c>
      <c r="M7" s="348">
        <f t="shared" ca="1" si="1"/>
        <v>207.52468749999994</v>
      </c>
      <c r="N7" s="348">
        <f t="shared" ca="1" si="2"/>
        <v>178.78846131250012</v>
      </c>
      <c r="P7" s="203"/>
      <c r="Q7" s="203"/>
      <c r="R7" s="203"/>
      <c r="S7" s="203"/>
      <c r="T7" s="203"/>
      <c r="U7" s="203"/>
      <c r="V7" s="203"/>
      <c r="W7" s="203"/>
      <c r="X7" s="203"/>
      <c r="Y7" s="203"/>
      <c r="Z7" s="203"/>
      <c r="AA7" s="203"/>
      <c r="AB7" s="203"/>
      <c r="AC7" s="203"/>
    </row>
    <row r="8" spans="1:31" ht="12" customHeight="1">
      <c r="A8" s="205"/>
      <c r="B8" s="113" t="s">
        <v>164</v>
      </c>
      <c r="C8" s="345">
        <f>'Cost of Equity &amp; Debt'!C16</f>
        <v>1.6102325581395347</v>
      </c>
      <c r="E8" s="286">
        <v>4</v>
      </c>
      <c r="F8" s="363">
        <v>18048.058990977006</v>
      </c>
      <c r="G8" s="290">
        <f t="shared" si="3"/>
        <v>4425.0374999999995</v>
      </c>
      <c r="H8" s="236">
        <v>0.2</v>
      </c>
      <c r="I8" s="95">
        <v>0.15</v>
      </c>
      <c r="J8" s="290">
        <f t="shared" si="4"/>
        <v>663.7556249999999</v>
      </c>
      <c r="K8" s="289">
        <f t="shared" si="5"/>
        <v>496.68833418749989</v>
      </c>
      <c r="L8" s="265">
        <f t="shared" ca="1" si="0"/>
        <v>3.5538241685100722</v>
      </c>
      <c r="M8" s="348">
        <f t="shared" ca="1" si="1"/>
        <v>207.52468749999983</v>
      </c>
      <c r="N8" s="348">
        <f t="shared" ca="1" si="2"/>
        <v>289.16364668750009</v>
      </c>
      <c r="O8" s="203"/>
      <c r="P8" s="203"/>
      <c r="Q8" s="203"/>
      <c r="R8" s="203"/>
      <c r="S8" s="203"/>
      <c r="T8" s="203"/>
      <c r="U8" s="203"/>
      <c r="V8" s="203"/>
      <c r="W8" s="203"/>
      <c r="X8" s="203"/>
      <c r="Y8" s="203"/>
      <c r="Z8" s="203"/>
      <c r="AA8" s="203"/>
      <c r="AB8" s="203"/>
      <c r="AC8" s="203"/>
    </row>
    <row r="9" spans="1:31" ht="12" customHeight="1">
      <c r="A9" s="205"/>
      <c r="B9" s="113" t="s">
        <v>23</v>
      </c>
      <c r="C9" s="344">
        <f>'Cost of Equity &amp; Debt'!C17</f>
        <v>1.8700000000000001E-2</v>
      </c>
      <c r="E9" s="286">
        <v>5</v>
      </c>
      <c r="F9" s="363">
        <v>20829.583376645231</v>
      </c>
      <c r="G9" s="290">
        <f t="shared" si="3"/>
        <v>5310.0449999999992</v>
      </c>
      <c r="H9" s="236">
        <v>0.2</v>
      </c>
      <c r="I9" s="95">
        <v>0.15</v>
      </c>
      <c r="J9" s="290">
        <f t="shared" si="4"/>
        <v>796.5067499999999</v>
      </c>
      <c r="K9" s="289">
        <f t="shared" si="5"/>
        <v>596.02600102499991</v>
      </c>
      <c r="L9" s="265">
        <f t="shared" ca="1" si="0"/>
        <v>3.5538241685100722</v>
      </c>
      <c r="M9" s="348">
        <f t="shared" ca="1" si="1"/>
        <v>249.0296249999999</v>
      </c>
      <c r="N9" s="348">
        <f t="shared" ca="1" si="2"/>
        <v>346.99637602500002</v>
      </c>
      <c r="O9" s="203"/>
      <c r="P9" s="203"/>
      <c r="Q9" s="203"/>
      <c r="R9" s="203"/>
      <c r="S9" s="203"/>
      <c r="T9" s="203"/>
      <c r="U9" s="203"/>
      <c r="V9" s="203"/>
      <c r="W9" s="203"/>
      <c r="X9" s="203"/>
      <c r="Y9" s="203"/>
      <c r="Z9" s="203"/>
      <c r="AA9" s="203"/>
      <c r="AB9" s="203"/>
      <c r="AC9" s="203"/>
    </row>
    <row r="10" spans="1:31">
      <c r="A10" s="201"/>
      <c r="B10" s="53" t="s">
        <v>351</v>
      </c>
      <c r="C10" s="97">
        <v>6.7000000000000002E-3</v>
      </c>
      <c r="D10" s="341"/>
      <c r="E10" s="286">
        <v>6</v>
      </c>
      <c r="F10" s="363">
        <v>23965.592873906819</v>
      </c>
      <c r="G10" s="290">
        <f t="shared" si="3"/>
        <v>6106.5517499999987</v>
      </c>
      <c r="H10" s="236">
        <v>0.15</v>
      </c>
      <c r="I10" s="95">
        <v>0.16</v>
      </c>
      <c r="J10" s="290">
        <f>G10*I10</f>
        <v>977.04827999999986</v>
      </c>
      <c r="K10" s="289">
        <f t="shared" si="5"/>
        <v>731.12522792399989</v>
      </c>
      <c r="L10" s="265">
        <f t="shared" ca="1" si="0"/>
        <v>3.5538241685100722</v>
      </c>
      <c r="M10" s="348">
        <f t="shared" ca="1" si="1"/>
        <v>224.12666249999984</v>
      </c>
      <c r="N10" s="348">
        <f t="shared" ca="1" si="2"/>
        <v>506.99856542400005</v>
      </c>
      <c r="O10" s="203"/>
      <c r="P10" s="203"/>
      <c r="Q10" s="203"/>
      <c r="R10" s="203"/>
      <c r="S10" s="203"/>
      <c r="T10" s="203"/>
      <c r="U10" s="203"/>
      <c r="V10" s="203"/>
      <c r="W10" s="203"/>
      <c r="X10" s="203"/>
      <c r="Y10" s="203"/>
      <c r="Z10" s="203"/>
      <c r="AA10" s="203"/>
      <c r="AB10" s="203"/>
      <c r="AC10" s="203"/>
    </row>
    <row r="11" spans="1:31" ht="12.75" customHeight="1">
      <c r="A11" s="205"/>
      <c r="B11" s="315" t="s">
        <v>18</v>
      </c>
      <c r="C11" s="315">
        <f>C7+(C8*C9)+C10</f>
        <v>6.8951348837209298E-2</v>
      </c>
      <c r="D11" s="341"/>
      <c r="E11" s="286">
        <v>7</v>
      </c>
      <c r="F11" s="363">
        <v>26809.930343941553</v>
      </c>
      <c r="G11" s="290">
        <f t="shared" si="3"/>
        <v>7022.5345124999976</v>
      </c>
      <c r="H11" s="236">
        <v>0.15</v>
      </c>
      <c r="I11" s="95">
        <v>0.17</v>
      </c>
      <c r="J11" s="290">
        <f t="shared" si="4"/>
        <v>1193.8308671249997</v>
      </c>
      <c r="K11" s="289">
        <f t="shared" si="5"/>
        <v>893.34363786963729</v>
      </c>
      <c r="L11" s="265">
        <f t="shared" ca="1" si="0"/>
        <v>3.5538241685100727</v>
      </c>
      <c r="M11" s="348">
        <f t="shared" ca="1" si="1"/>
        <v>257.74566187499966</v>
      </c>
      <c r="N11" s="348">
        <f t="shared" ca="1" si="2"/>
        <v>635.59797599463764</v>
      </c>
      <c r="O11" s="203"/>
      <c r="P11" s="203"/>
      <c r="Q11" s="203"/>
      <c r="R11" s="203"/>
      <c r="S11" s="203"/>
      <c r="T11" s="203"/>
      <c r="U11" s="203"/>
      <c r="V11" s="203"/>
      <c r="W11" s="203"/>
      <c r="X11" s="203"/>
      <c r="Y11" s="203"/>
      <c r="Z11" s="203"/>
      <c r="AA11" s="203"/>
      <c r="AB11" s="203"/>
      <c r="AC11" s="203"/>
    </row>
    <row r="12" spans="1:31">
      <c r="B12" s="113" t="s">
        <v>178</v>
      </c>
      <c r="C12" s="188">
        <f>153.85+23.17</f>
        <v>177.01999999999998</v>
      </c>
      <c r="E12" s="286">
        <v>8</v>
      </c>
      <c r="F12" s="363">
        <v>29972.127256303895</v>
      </c>
      <c r="G12" s="290">
        <f t="shared" si="3"/>
        <v>7724.7879637499982</v>
      </c>
      <c r="H12" s="236">
        <v>0.1</v>
      </c>
      <c r="I12" s="95">
        <v>0.17</v>
      </c>
      <c r="J12" s="290">
        <f t="shared" si="4"/>
        <v>1313.2139538374997</v>
      </c>
      <c r="K12" s="289">
        <f>J12*(1-$M$22)</f>
        <v>982.67800165660105</v>
      </c>
      <c r="L12" s="265">
        <f t="shared" ca="1" si="0"/>
        <v>3.5538241685100722</v>
      </c>
      <c r="M12" s="348">
        <f t="shared" ca="1" si="1"/>
        <v>197.60500743750015</v>
      </c>
      <c r="N12" s="348">
        <f t="shared" ca="1" si="2"/>
        <v>785.07299421910091</v>
      </c>
      <c r="O12" s="203"/>
      <c r="P12" s="203"/>
      <c r="Q12" s="203"/>
      <c r="R12" s="203"/>
      <c r="S12" s="203"/>
      <c r="T12" s="203"/>
      <c r="U12" s="203"/>
      <c r="V12" s="203"/>
      <c r="W12" s="203"/>
      <c r="X12" s="203"/>
      <c r="Y12" s="203"/>
      <c r="Z12" s="203"/>
      <c r="AA12" s="203"/>
      <c r="AB12" s="203"/>
      <c r="AC12" s="203"/>
    </row>
    <row r="13" spans="1:31" ht="12" customHeight="1">
      <c r="A13" s="205"/>
      <c r="B13" s="113" t="s">
        <v>328</v>
      </c>
      <c r="C13" s="188">
        <f>64.8+364.25</f>
        <v>429.05</v>
      </c>
      <c r="D13" s="341"/>
      <c r="E13" s="286">
        <v>9</v>
      </c>
      <c r="F13" s="363">
        <v>32669.618709371247</v>
      </c>
      <c r="G13" s="290">
        <f t="shared" si="3"/>
        <v>8420.0188804874979</v>
      </c>
      <c r="H13" s="236">
        <v>0.09</v>
      </c>
      <c r="I13" s="95">
        <v>0.18</v>
      </c>
      <c r="J13" s="290">
        <f t="shared" si="4"/>
        <v>1515.6033984877495</v>
      </c>
      <c r="K13" s="289">
        <f>J13*(1-$M$22)</f>
        <v>1134.1260230883829</v>
      </c>
      <c r="L13" s="265">
        <f t="shared" ca="1" si="0"/>
        <v>3.5538241685100727</v>
      </c>
      <c r="M13" s="348">
        <f t="shared" ca="1" si="1"/>
        <v>195.62895736312487</v>
      </c>
      <c r="N13" s="348">
        <f t="shared" ca="1" si="2"/>
        <v>938.49706572525804</v>
      </c>
      <c r="O13" s="203"/>
      <c r="P13" s="203"/>
      <c r="Q13" s="203"/>
      <c r="R13" s="203"/>
      <c r="S13" s="203"/>
      <c r="T13" s="203"/>
      <c r="U13" s="203"/>
      <c r="V13" s="203"/>
      <c r="W13" s="203"/>
      <c r="X13" s="203"/>
      <c r="Y13" s="203"/>
      <c r="Z13" s="203"/>
      <c r="AA13" s="203"/>
      <c r="AB13" s="203"/>
      <c r="AC13" s="203"/>
    </row>
    <row r="14" spans="1:31">
      <c r="B14" s="113" t="s">
        <v>8</v>
      </c>
      <c r="C14" s="94">
        <f>(C6*(C13/(C12+C13))+(C11*(C12/(C12+C13)*(1-$M$22))))</f>
        <v>7.5389943538021503E-2</v>
      </c>
      <c r="E14" s="286">
        <v>10</v>
      </c>
      <c r="F14" s="363">
        <v>35609.884393214663</v>
      </c>
      <c r="G14" s="290">
        <f>F14*25%</f>
        <v>8902.4710983036657</v>
      </c>
      <c r="H14" s="236">
        <v>5.7298104239473346E-2</v>
      </c>
      <c r="I14" s="95">
        <v>0.18</v>
      </c>
      <c r="J14" s="290">
        <f>G14*I14</f>
        <v>1602.4447976946597</v>
      </c>
      <c r="K14" s="289">
        <f>J14*(1-$M$22)</f>
        <v>1199.1094421149137</v>
      </c>
      <c r="L14" s="265">
        <f t="shared" ca="1" si="0"/>
        <v>3.5538241685100722</v>
      </c>
      <c r="M14" s="348">
        <f t="shared" ca="1" si="1"/>
        <v>135.75579289800208</v>
      </c>
      <c r="N14" s="348">
        <f t="shared" ca="1" si="2"/>
        <v>1063.3536492169117</v>
      </c>
      <c r="O14" s="203"/>
      <c r="P14" s="203"/>
      <c r="Q14" s="203"/>
      <c r="R14" s="203"/>
      <c r="S14" s="203"/>
      <c r="T14" s="203"/>
      <c r="U14" s="203"/>
      <c r="V14" s="203"/>
      <c r="W14" s="203"/>
      <c r="X14" s="203"/>
      <c r="Y14" s="203"/>
      <c r="Z14" s="203"/>
      <c r="AA14" s="203"/>
      <c r="AB14" s="203"/>
      <c r="AC14" s="203"/>
    </row>
    <row r="15" spans="1:31">
      <c r="B15" s="53" t="s">
        <v>329</v>
      </c>
      <c r="C15" s="216">
        <v>0</v>
      </c>
      <c r="D15" s="342"/>
      <c r="J15" s="203"/>
      <c r="N15" s="203"/>
      <c r="O15" s="203"/>
      <c r="P15" s="203"/>
      <c r="Q15" s="203"/>
      <c r="R15" s="203"/>
      <c r="S15" s="203"/>
      <c r="T15" s="203"/>
      <c r="U15" s="203"/>
      <c r="V15" s="203"/>
      <c r="W15" s="203"/>
      <c r="X15" s="203"/>
      <c r="Y15" s="203"/>
      <c r="Z15" s="203"/>
      <c r="AA15" s="203"/>
      <c r="AB15" s="203"/>
      <c r="AC15" s="203"/>
      <c r="AD15" s="203"/>
      <c r="AE15" s="203"/>
    </row>
    <row r="16" spans="1:31">
      <c r="B16" s="215" t="s">
        <v>167</v>
      </c>
      <c r="C16" s="358">
        <f>AVERAGE(13.96,15.11,18.91)</f>
        <v>15.993333333333334</v>
      </c>
      <c r="E16" s="102"/>
      <c r="F16" s="102" t="s">
        <v>331</v>
      </c>
      <c r="G16" s="102" t="s">
        <v>277</v>
      </c>
      <c r="I16" s="442" t="s">
        <v>294</v>
      </c>
      <c r="J16" s="442"/>
      <c r="L16" s="442" t="s">
        <v>332</v>
      </c>
      <c r="M16" s="442"/>
      <c r="O16" s="203"/>
      <c r="P16" s="203"/>
      <c r="Q16" s="203"/>
      <c r="R16" s="203"/>
      <c r="S16" s="203"/>
      <c r="T16" s="203"/>
      <c r="U16" s="203"/>
      <c r="V16" s="203"/>
      <c r="W16" s="203"/>
      <c r="X16" s="203"/>
      <c r="Y16" s="203"/>
      <c r="Z16" s="203"/>
      <c r="AA16" s="203"/>
      <c r="AB16" s="203"/>
      <c r="AC16" s="203"/>
      <c r="AD16" s="203"/>
      <c r="AE16" s="203"/>
    </row>
    <row r="17" spans="1:31">
      <c r="B17" s="215" t="s">
        <v>3</v>
      </c>
      <c r="C17" s="358">
        <f>148.76+50.53+13.96</f>
        <v>213.25</v>
      </c>
      <c r="E17" s="292" t="s">
        <v>265</v>
      </c>
      <c r="F17" s="288">
        <f>C12+C13-(95.24)</f>
        <v>510.82999999999993</v>
      </c>
      <c r="G17" s="347">
        <f t="shared" ref="G17:G27" si="6">K4/F17</f>
        <v>0.417457862694047</v>
      </c>
      <c r="I17" s="287" t="s">
        <v>17</v>
      </c>
      <c r="J17" s="236">
        <f>C3 + (J23*C4)</f>
        <v>8.5206868796008792E-2</v>
      </c>
      <c r="K17" s="353"/>
      <c r="L17" s="229" t="s">
        <v>15</v>
      </c>
      <c r="M17" s="269">
        <v>0.04</v>
      </c>
      <c r="O17" s="203"/>
      <c r="P17" s="203"/>
      <c r="Q17" s="203"/>
      <c r="R17" s="203"/>
      <c r="S17" s="203"/>
      <c r="T17" s="203"/>
      <c r="U17" s="203"/>
      <c r="V17" s="203"/>
      <c r="W17" s="203"/>
      <c r="X17" s="203"/>
      <c r="Y17" s="203"/>
      <c r="Z17" s="203"/>
      <c r="AA17" s="203"/>
      <c r="AB17" s="203"/>
      <c r="AC17" s="203"/>
      <c r="AD17" s="203"/>
      <c r="AE17" s="203"/>
    </row>
    <row r="18" spans="1:31">
      <c r="A18" s="205"/>
      <c r="B18" s="219" t="s">
        <v>327</v>
      </c>
      <c r="C18" s="349">
        <f>C17/C16</f>
        <v>13.333680700291788</v>
      </c>
      <c r="E18" s="286">
        <v>1</v>
      </c>
      <c r="F18" s="348">
        <f t="shared" ref="F18:F27" ca="1" si="7">F17+M5</f>
        <v>664.07899999999995</v>
      </c>
      <c r="G18" s="95">
        <f t="shared" ca="1" si="6"/>
        <v>0.34571246128849126</v>
      </c>
      <c r="I18" s="287" t="s">
        <v>18</v>
      </c>
      <c r="J18" s="236">
        <f>C7+(C8*C9)+J24</f>
        <v>6.8951348837209298E-2</v>
      </c>
      <c r="K18" s="353"/>
      <c r="L18" s="215" t="s">
        <v>277</v>
      </c>
      <c r="M18" s="95">
        <f ca="1">G27</f>
        <v>0.47867879255329554</v>
      </c>
      <c r="O18" s="203"/>
      <c r="P18" s="203"/>
      <c r="Q18" s="203"/>
      <c r="R18" s="203"/>
      <c r="S18" s="203"/>
      <c r="T18" s="203"/>
      <c r="U18" s="203"/>
      <c r="V18" s="203"/>
      <c r="W18" s="203"/>
      <c r="X18" s="203"/>
      <c r="Y18" s="203"/>
      <c r="Z18" s="203"/>
      <c r="AA18" s="203"/>
      <c r="AB18" s="203"/>
      <c r="AC18" s="203"/>
      <c r="AD18" s="203"/>
      <c r="AE18" s="203"/>
    </row>
    <row r="19" spans="1:31">
      <c r="B19" s="113" t="s">
        <v>178</v>
      </c>
      <c r="C19" s="188">
        <f>C12</f>
        <v>177.01999999999998</v>
      </c>
      <c r="E19" s="286">
        <v>2</v>
      </c>
      <c r="F19" s="348">
        <f t="shared" ca="1" si="7"/>
        <v>830.09875</v>
      </c>
      <c r="G19" s="95">
        <f t="shared" ca="1" si="6"/>
        <v>0.37230572754145214</v>
      </c>
      <c r="I19" s="287"/>
      <c r="J19" s="287"/>
      <c r="K19" s="353"/>
      <c r="L19" s="219" t="s">
        <v>335</v>
      </c>
      <c r="M19" s="315">
        <f ca="1">M17/M18</f>
        <v>8.3563342730598303E-2</v>
      </c>
      <c r="O19" s="203"/>
      <c r="P19" s="203"/>
      <c r="Q19" s="203"/>
      <c r="R19" s="203"/>
      <c r="S19" s="203"/>
      <c r="T19" s="203"/>
      <c r="U19" s="203"/>
      <c r="V19" s="203"/>
      <c r="W19" s="203"/>
      <c r="X19" s="203"/>
      <c r="Y19" s="203"/>
      <c r="Z19" s="203"/>
      <c r="AA19" s="203"/>
      <c r="AB19" s="203"/>
      <c r="AC19" s="203"/>
      <c r="AD19" s="203"/>
      <c r="AE19" s="203"/>
    </row>
    <row r="20" spans="1:31">
      <c r="A20" s="205"/>
      <c r="B20" s="113" t="s">
        <v>182</v>
      </c>
      <c r="C20" s="188">
        <f>C16</f>
        <v>15.993333333333334</v>
      </c>
      <c r="E20" s="286">
        <v>3</v>
      </c>
      <c r="F20" s="348">
        <f t="shared" ca="1" si="7"/>
        <v>1037.6234374999999</v>
      </c>
      <c r="G20" s="95">
        <f t="shared" ca="1" si="6"/>
        <v>0.37230572754145225</v>
      </c>
      <c r="I20" s="287" t="s">
        <v>337</v>
      </c>
      <c r="J20" s="350">
        <f>1-J21</f>
        <v>0.29207847278367172</v>
      </c>
      <c r="K20" s="353"/>
      <c r="L20" s="211"/>
      <c r="M20" s="211"/>
      <c r="O20" s="203"/>
      <c r="P20" s="203"/>
      <c r="Q20" s="203"/>
      <c r="R20" s="203"/>
      <c r="S20" s="203"/>
      <c r="T20" s="203"/>
      <c r="U20" s="203"/>
      <c r="V20" s="203"/>
      <c r="W20" s="203"/>
      <c r="X20" s="203"/>
      <c r="Y20" s="203"/>
      <c r="Z20" s="203"/>
      <c r="AA20" s="203"/>
      <c r="AB20" s="203"/>
      <c r="AC20" s="203"/>
      <c r="AD20" s="203"/>
      <c r="AE20" s="203"/>
    </row>
    <row r="21" spans="1:31">
      <c r="B21" s="113" t="s">
        <v>18</v>
      </c>
      <c r="C21" s="95">
        <f>C11</f>
        <v>6.8951348837209298E-2</v>
      </c>
      <c r="E21" s="286">
        <v>4</v>
      </c>
      <c r="F21" s="348">
        <f t="shared" ca="1" si="7"/>
        <v>1245.1481249999997</v>
      </c>
      <c r="G21" s="95">
        <f t="shared" ca="1" si="6"/>
        <v>0.39889899379441301</v>
      </c>
      <c r="I21" s="287" t="s">
        <v>338</v>
      </c>
      <c r="J21" s="330">
        <f>C13/(C12+C13)</f>
        <v>0.70792152721632828</v>
      </c>
      <c r="K21" s="353"/>
      <c r="L21" s="215" t="s">
        <v>287</v>
      </c>
      <c r="M21" s="188">
        <f>($G$14*(1+$M$17))*$I$14</f>
        <v>1666.542589602446</v>
      </c>
      <c r="O21" s="203"/>
      <c r="P21" s="203"/>
      <c r="Q21" s="203"/>
      <c r="R21" s="203"/>
      <c r="S21" s="203"/>
      <c r="T21" s="203"/>
      <c r="U21" s="203"/>
      <c r="V21" s="203"/>
      <c r="W21" s="203"/>
      <c r="X21" s="203"/>
      <c r="Y21" s="203"/>
      <c r="Z21" s="203"/>
      <c r="AA21" s="203"/>
      <c r="AB21" s="203"/>
      <c r="AC21" s="203"/>
      <c r="AD21" s="203"/>
      <c r="AE21" s="203"/>
    </row>
    <row r="22" spans="1:31">
      <c r="B22" s="53" t="s">
        <v>185</v>
      </c>
      <c r="C22" s="191">
        <v>5</v>
      </c>
      <c r="E22" s="286">
        <v>5</v>
      </c>
      <c r="F22" s="348">
        <f t="shared" ca="1" si="7"/>
        <v>1494.1777499999996</v>
      </c>
      <c r="G22" s="95">
        <f t="shared" ca="1" si="6"/>
        <v>0.39889899379441307</v>
      </c>
      <c r="I22" s="287"/>
      <c r="J22" s="287"/>
      <c r="K22" s="353"/>
      <c r="L22" s="215" t="s">
        <v>333</v>
      </c>
      <c r="M22" s="95">
        <f>WACC!$C$11</f>
        <v>0.25169999999999998</v>
      </c>
      <c r="O22" s="203"/>
      <c r="P22" s="203"/>
      <c r="Q22" s="203"/>
      <c r="R22" s="203"/>
      <c r="S22" s="203"/>
      <c r="T22" s="203"/>
      <c r="U22" s="203"/>
      <c r="V22" s="203"/>
      <c r="W22" s="203"/>
      <c r="X22" s="203"/>
      <c r="Y22" s="203"/>
      <c r="Z22" s="203"/>
      <c r="AA22" s="203"/>
      <c r="AB22" s="203"/>
      <c r="AC22" s="203"/>
      <c r="AD22" s="203"/>
      <c r="AE22" s="203"/>
    </row>
    <row r="23" spans="1:31" ht="12" customHeight="1">
      <c r="B23" s="113" t="s">
        <v>184</v>
      </c>
      <c r="C23" s="337">
        <f>C20*((1-(1+C21)^(-C22))/C21)+C19/(1+C21)^5</f>
        <v>192.59346850413812</v>
      </c>
      <c r="E23" s="286">
        <v>6</v>
      </c>
      <c r="F23" s="348">
        <f t="shared" ca="1" si="7"/>
        <v>1718.3044124999994</v>
      </c>
      <c r="G23" s="95">
        <f t="shared" ca="1" si="6"/>
        <v>0.42549226004737395</v>
      </c>
      <c r="I23" s="287" t="s">
        <v>336</v>
      </c>
      <c r="J23" s="265">
        <f>C5</f>
        <v>0.76644271688594401</v>
      </c>
      <c r="K23" s="353"/>
      <c r="L23" s="219" t="s">
        <v>334</v>
      </c>
      <c r="M23" s="220">
        <f>M21*(1-M22)</f>
        <v>1247.0738197995104</v>
      </c>
      <c r="O23" s="203"/>
      <c r="P23" s="203"/>
      <c r="Q23" s="203"/>
      <c r="R23" s="203"/>
      <c r="S23" s="203"/>
      <c r="T23" s="203"/>
      <c r="U23" s="203"/>
      <c r="V23" s="203"/>
      <c r="W23" s="203"/>
      <c r="X23" s="203"/>
      <c r="Y23" s="203"/>
      <c r="Z23" s="203"/>
      <c r="AA23" s="203"/>
      <c r="AB23" s="203"/>
      <c r="AC23" s="203"/>
      <c r="AD23" s="203"/>
      <c r="AE23" s="203"/>
    </row>
    <row r="24" spans="1:31">
      <c r="A24" s="205"/>
      <c r="B24" s="215" t="s">
        <v>340</v>
      </c>
      <c r="C24" s="216">
        <f ca="1">(N5/(1+$C$14)^E5)+(N6/(1+$C$14)^E6)+(N7/(1+$C$14)^E7)+(N8/(1+$C$14)^E8)+(N9/(1+$C$14)^E9)+(N10/(1+$C$14)^E10)+(N11/(1+$C$14)^E11)+(N12/(1+$C$14)^E12)+(N13/(1+$C$14)^E13)+(N14/(1+$C$14)^E14)</f>
        <v>2946.7293736362235</v>
      </c>
      <c r="E24" s="286">
        <v>7</v>
      </c>
      <c r="F24" s="348">
        <f t="shared" ca="1" si="7"/>
        <v>1976.050074374999</v>
      </c>
      <c r="G24" s="95">
        <f t="shared" ca="1" si="6"/>
        <v>0.45208552630033488</v>
      </c>
      <c r="I24" s="287" t="s">
        <v>339</v>
      </c>
      <c r="J24" s="95">
        <v>6.7000000000000002E-3</v>
      </c>
      <c r="K24" s="353"/>
      <c r="L24" s="215"/>
      <c r="M24" s="323"/>
      <c r="O24" s="203"/>
      <c r="P24" s="203"/>
      <c r="Q24" s="203"/>
      <c r="R24" s="203"/>
      <c r="S24" s="203"/>
      <c r="T24" s="203"/>
      <c r="U24" s="203"/>
      <c r="V24" s="203"/>
      <c r="W24" s="203"/>
      <c r="X24" s="203"/>
      <c r="Y24" s="203"/>
      <c r="Z24" s="203"/>
      <c r="AA24" s="203"/>
      <c r="AB24" s="203"/>
      <c r="AC24" s="203"/>
      <c r="AD24" s="203"/>
      <c r="AE24" s="203"/>
    </row>
    <row r="25" spans="1:31">
      <c r="A25" s="205" t="s">
        <v>199</v>
      </c>
      <c r="B25" s="215" t="s">
        <v>341</v>
      </c>
      <c r="C25" s="216">
        <f ca="1">M27/(1+$J$26)^10</f>
        <v>15611.873948640328</v>
      </c>
      <c r="E25" s="286">
        <v>8</v>
      </c>
      <c r="F25" s="348">
        <f t="shared" ca="1" si="7"/>
        <v>2173.6550818124992</v>
      </c>
      <c r="G25" s="95">
        <f t="shared" ca="1" si="6"/>
        <v>0.45208552630033483</v>
      </c>
      <c r="I25" s="211"/>
      <c r="J25" s="211"/>
      <c r="K25" s="353"/>
      <c r="L25" s="215" t="s">
        <v>290</v>
      </c>
      <c r="M25" s="324">
        <f ca="1">M23*(1-M19)</f>
        <v>1142.8641627852476</v>
      </c>
      <c r="O25" s="203"/>
      <c r="P25" s="203"/>
      <c r="Q25" s="203"/>
      <c r="R25" s="203"/>
      <c r="S25" s="203"/>
      <c r="T25" s="203"/>
      <c r="U25" s="203"/>
      <c r="V25" s="203"/>
      <c r="W25" s="203"/>
      <c r="X25" s="203"/>
      <c r="Y25" s="203"/>
      <c r="Z25" s="203"/>
      <c r="AA25" s="203"/>
      <c r="AB25" s="203"/>
      <c r="AC25" s="203"/>
      <c r="AD25" s="203"/>
      <c r="AE25" s="203"/>
    </row>
    <row r="26" spans="1:31">
      <c r="A26" s="205" t="s">
        <v>199</v>
      </c>
      <c r="B26" s="215" t="s">
        <v>316</v>
      </c>
      <c r="C26" s="216">
        <v>95.24</v>
      </c>
      <c r="E26" s="286">
        <v>9</v>
      </c>
      <c r="F26" s="348">
        <f t="shared" ca="1" si="7"/>
        <v>2369.284039175624</v>
      </c>
      <c r="G26" s="95">
        <f t="shared" ca="1" si="6"/>
        <v>0.47867879255329565</v>
      </c>
      <c r="I26" s="351" t="s">
        <v>294</v>
      </c>
      <c r="J26" s="352">
        <f>(J17*J21)+(J18*J20*(1-M22))</f>
        <v>7.5389943538021503E-2</v>
      </c>
      <c r="K26" s="353"/>
      <c r="L26" s="287"/>
      <c r="M26" s="211"/>
      <c r="O26" s="203"/>
      <c r="P26" s="203"/>
      <c r="Q26" s="203"/>
      <c r="R26" s="203"/>
      <c r="S26" s="203"/>
      <c r="T26" s="203"/>
      <c r="U26" s="203"/>
      <c r="V26" s="203"/>
      <c r="W26" s="203"/>
      <c r="X26" s="203"/>
      <c r="Y26" s="203"/>
      <c r="Z26" s="203"/>
      <c r="AA26" s="203"/>
      <c r="AB26" s="203"/>
      <c r="AC26" s="203"/>
      <c r="AD26" s="203"/>
      <c r="AE26" s="203"/>
    </row>
    <row r="27" spans="1:31">
      <c r="A27" s="205" t="s">
        <v>199</v>
      </c>
      <c r="B27" s="215" t="s">
        <v>10</v>
      </c>
      <c r="C27" s="216">
        <v>0</v>
      </c>
      <c r="E27" s="286">
        <v>10</v>
      </c>
      <c r="F27" s="348">
        <f t="shared" ca="1" si="7"/>
        <v>2505.0398320736263</v>
      </c>
      <c r="G27" s="95">
        <f t="shared" ca="1" si="6"/>
        <v>0.47867879255329554</v>
      </c>
      <c r="K27" s="353"/>
      <c r="L27" s="53" t="s">
        <v>258</v>
      </c>
      <c r="M27" s="325">
        <f ca="1">M25/(J26-M17)</f>
        <v>32293.472340734344</v>
      </c>
      <c r="O27" s="203"/>
      <c r="P27" s="203"/>
      <c r="Q27" s="203"/>
      <c r="R27" s="203"/>
      <c r="S27" s="203"/>
      <c r="T27" s="203"/>
      <c r="U27" s="203"/>
      <c r="V27" s="203"/>
      <c r="W27" s="203"/>
      <c r="X27" s="203"/>
      <c r="Y27" s="203"/>
      <c r="Z27" s="203"/>
      <c r="AA27" s="203"/>
      <c r="AB27" s="203"/>
      <c r="AC27" s="203"/>
      <c r="AD27" s="203"/>
      <c r="AE27" s="203"/>
    </row>
    <row r="28" spans="1:31">
      <c r="B28" s="217" t="s">
        <v>344</v>
      </c>
      <c r="C28" s="218">
        <f ca="1">SUM(C24:C27)</f>
        <v>18653.843322276552</v>
      </c>
      <c r="O28" s="203"/>
      <c r="P28" s="203"/>
      <c r="Q28" s="203"/>
      <c r="R28" s="203"/>
      <c r="S28" s="203"/>
      <c r="T28" s="203"/>
      <c r="U28" s="203"/>
      <c r="V28" s="203"/>
      <c r="W28" s="203"/>
      <c r="X28" s="203"/>
      <c r="Y28" s="203"/>
      <c r="Z28" s="203"/>
      <c r="AA28" s="203"/>
      <c r="AB28" s="203"/>
      <c r="AC28" s="203"/>
      <c r="AD28" s="203"/>
      <c r="AE28" s="203"/>
    </row>
    <row r="29" spans="1:31">
      <c r="A29" s="205" t="s">
        <v>98</v>
      </c>
      <c r="B29" s="215" t="s">
        <v>13</v>
      </c>
      <c r="C29" s="216">
        <f>C23+0.09</f>
        <v>192.68346850413812</v>
      </c>
      <c r="E29" s="355"/>
      <c r="F29" s="129"/>
      <c r="O29" s="203"/>
      <c r="P29" s="203"/>
      <c r="Q29" s="203"/>
      <c r="R29" s="203"/>
      <c r="S29" s="203"/>
      <c r="T29" s="203"/>
      <c r="U29" s="203"/>
      <c r="V29" s="203"/>
      <c r="W29" s="203"/>
      <c r="X29" s="203"/>
      <c r="Y29" s="203"/>
      <c r="Z29" s="203"/>
      <c r="AA29" s="203"/>
      <c r="AB29" s="203"/>
      <c r="AC29" s="203"/>
      <c r="AD29" s="203"/>
      <c r="AE29" s="203"/>
    </row>
    <row r="30" spans="1:31" ht="12" customHeight="1">
      <c r="B30" s="215" t="s">
        <v>345</v>
      </c>
      <c r="C30" s="359">
        <f ca="1">C28-C29</f>
        <v>18461.159853772413</v>
      </c>
      <c r="E30" s="355"/>
      <c r="F30" s="354"/>
      <c r="G30" s="354"/>
      <c r="H30" s="354"/>
      <c r="I30" s="354"/>
      <c r="J30" s="354"/>
      <c r="K30" s="354"/>
      <c r="L30" s="354"/>
      <c r="M30" s="354"/>
      <c r="N30" s="354"/>
      <c r="P30" s="203"/>
      <c r="Q30" s="203"/>
      <c r="R30" s="203"/>
      <c r="S30" s="203"/>
      <c r="T30" s="203"/>
      <c r="U30" s="203"/>
      <c r="V30" s="203"/>
      <c r="W30" s="203"/>
      <c r="X30" s="203"/>
      <c r="Y30" s="203"/>
      <c r="Z30" s="203"/>
      <c r="AA30" s="203"/>
      <c r="AB30" s="203"/>
      <c r="AC30" s="203"/>
      <c r="AD30" s="203"/>
      <c r="AE30" s="203"/>
    </row>
    <row r="31" spans="1:31">
      <c r="E31" s="355"/>
      <c r="F31" s="235"/>
      <c r="G31" s="346"/>
      <c r="H31" s="346"/>
      <c r="I31" s="353"/>
      <c r="J31" s="353"/>
      <c r="K31" s="346"/>
      <c r="L31" s="346"/>
      <c r="M31" s="346"/>
      <c r="N31" s="346"/>
      <c r="P31" s="203"/>
      <c r="Q31" s="203"/>
      <c r="R31" s="203"/>
      <c r="S31" s="203"/>
      <c r="T31" s="203"/>
      <c r="U31" s="203"/>
      <c r="V31" s="203"/>
      <c r="W31" s="203"/>
      <c r="X31" s="203"/>
      <c r="Y31" s="203"/>
      <c r="Z31" s="203"/>
      <c r="AA31" s="203"/>
      <c r="AB31" s="203"/>
      <c r="AC31" s="203"/>
      <c r="AD31" s="203"/>
      <c r="AE31" s="203"/>
    </row>
    <row r="32" spans="1:31">
      <c r="E32" s="355"/>
      <c r="F32" s="203"/>
      <c r="G32" s="203"/>
      <c r="H32" s="203"/>
      <c r="I32" s="203"/>
      <c r="L32" s="203"/>
      <c r="M32" s="203"/>
      <c r="N32" s="203"/>
      <c r="O32" s="203"/>
      <c r="P32" s="203"/>
      <c r="Q32" s="203"/>
      <c r="R32" s="203"/>
      <c r="S32" s="203"/>
      <c r="T32" s="203"/>
      <c r="U32" s="203"/>
      <c r="V32" s="203"/>
      <c r="W32" s="203"/>
      <c r="X32" s="203"/>
      <c r="Y32" s="203"/>
      <c r="Z32" s="203"/>
      <c r="AA32" s="203"/>
      <c r="AB32" s="203"/>
      <c r="AC32" s="203"/>
      <c r="AD32" s="203"/>
      <c r="AE32" s="203"/>
    </row>
    <row r="33" spans="5:31">
      <c r="E33" s="355"/>
      <c r="F33" s="203"/>
      <c r="G33" s="203"/>
      <c r="H33" s="203"/>
      <c r="I33" s="203"/>
      <c r="L33" s="203"/>
      <c r="M33" s="203"/>
      <c r="N33" s="203"/>
      <c r="O33" s="203"/>
      <c r="P33" s="203"/>
      <c r="Q33" s="203"/>
      <c r="R33" s="203"/>
      <c r="S33" s="203"/>
      <c r="T33" s="203"/>
      <c r="U33" s="203"/>
      <c r="V33" s="203"/>
      <c r="W33" s="203"/>
      <c r="X33" s="203"/>
      <c r="Y33" s="203"/>
      <c r="Z33" s="203"/>
      <c r="AA33" s="203"/>
      <c r="AB33" s="203"/>
      <c r="AC33" s="203"/>
      <c r="AD33" s="203"/>
      <c r="AE33" s="203"/>
    </row>
    <row r="34" spans="5:31">
      <c r="E34" s="355"/>
      <c r="F34" s="203"/>
      <c r="G34" s="203"/>
      <c r="H34" s="203"/>
      <c r="I34" s="203"/>
      <c r="L34" s="203"/>
      <c r="M34" s="203"/>
      <c r="N34" s="203"/>
      <c r="O34" s="203"/>
      <c r="P34" s="203"/>
      <c r="Q34" s="203"/>
      <c r="R34" s="203"/>
      <c r="S34" s="203"/>
      <c r="T34" s="203"/>
      <c r="U34" s="203"/>
      <c r="V34" s="203"/>
      <c r="W34" s="203"/>
      <c r="X34" s="203"/>
      <c r="Y34" s="203"/>
      <c r="Z34" s="203"/>
      <c r="AA34" s="203"/>
      <c r="AB34" s="203"/>
      <c r="AC34" s="203"/>
      <c r="AD34" s="203"/>
      <c r="AE34" s="203"/>
    </row>
    <row r="35" spans="5:31">
      <c r="E35" s="355"/>
      <c r="F35" s="203"/>
      <c r="G35" s="203"/>
      <c r="H35" s="203"/>
      <c r="I35" s="203"/>
      <c r="L35" s="203"/>
      <c r="M35" s="203"/>
      <c r="N35" s="203"/>
      <c r="O35" s="203"/>
      <c r="P35" s="203"/>
      <c r="Q35" s="203"/>
      <c r="R35" s="203"/>
      <c r="S35" s="203"/>
      <c r="T35" s="203"/>
      <c r="U35" s="203"/>
      <c r="V35" s="203"/>
      <c r="W35" s="203"/>
      <c r="X35" s="203"/>
      <c r="Y35" s="203"/>
      <c r="Z35" s="203"/>
      <c r="AA35" s="203"/>
      <c r="AB35" s="203"/>
      <c r="AC35" s="203"/>
      <c r="AD35" s="203"/>
      <c r="AE35" s="203"/>
    </row>
    <row r="36" spans="5:31">
      <c r="E36" s="355"/>
      <c r="F36" s="203"/>
      <c r="G36" s="203"/>
      <c r="H36" s="203"/>
      <c r="I36" s="203"/>
      <c r="L36" s="203"/>
      <c r="M36" s="203"/>
      <c r="N36" s="203"/>
      <c r="O36" s="203"/>
      <c r="P36" s="203"/>
      <c r="Q36" s="203"/>
      <c r="R36" s="203"/>
      <c r="S36" s="203"/>
      <c r="T36" s="203"/>
      <c r="U36" s="203"/>
      <c r="V36" s="203"/>
      <c r="W36" s="203"/>
      <c r="X36" s="203"/>
      <c r="Y36" s="203"/>
      <c r="Z36" s="203"/>
      <c r="AA36" s="203"/>
      <c r="AB36" s="203"/>
      <c r="AC36" s="203"/>
      <c r="AD36" s="203"/>
      <c r="AE36" s="203"/>
    </row>
    <row r="37" spans="5:31">
      <c r="E37" s="355"/>
      <c r="F37" s="203"/>
      <c r="G37" s="203"/>
      <c r="H37" s="203"/>
      <c r="I37" s="203"/>
      <c r="L37" s="203"/>
      <c r="M37" s="203"/>
      <c r="N37" s="203"/>
      <c r="O37" s="203"/>
      <c r="P37" s="203"/>
      <c r="Q37" s="203"/>
      <c r="R37" s="203"/>
      <c r="S37" s="203"/>
      <c r="T37" s="203"/>
      <c r="U37" s="203"/>
      <c r="V37" s="203"/>
      <c r="W37" s="203"/>
      <c r="X37" s="203"/>
      <c r="Y37" s="203"/>
      <c r="Z37" s="203"/>
      <c r="AA37" s="203"/>
      <c r="AB37" s="203"/>
      <c r="AC37" s="203"/>
      <c r="AD37" s="203"/>
      <c r="AE37" s="203"/>
    </row>
    <row r="38" spans="5:31">
      <c r="E38" s="355"/>
      <c r="F38" s="203"/>
      <c r="G38" s="203"/>
      <c r="H38" s="203"/>
      <c r="I38" s="203"/>
      <c r="L38" s="203"/>
      <c r="M38" s="203"/>
      <c r="N38" s="203"/>
      <c r="O38" s="203"/>
      <c r="P38" s="203"/>
      <c r="Q38" s="203"/>
      <c r="R38" s="203"/>
      <c r="S38" s="203"/>
      <c r="T38" s="203"/>
      <c r="U38" s="203"/>
      <c r="V38" s="203"/>
      <c r="W38" s="203"/>
      <c r="X38" s="203"/>
      <c r="Y38" s="203"/>
      <c r="Z38" s="203"/>
      <c r="AA38" s="203"/>
      <c r="AB38" s="203"/>
      <c r="AC38" s="203"/>
      <c r="AD38" s="203"/>
      <c r="AE38" s="203"/>
    </row>
    <row r="39" spans="5:31">
      <c r="E39" s="355"/>
    </row>
    <row r="45" spans="5:31">
      <c r="F45" s="49"/>
      <c r="G45" s="49"/>
      <c r="H45" s="49"/>
      <c r="I45" s="49"/>
    </row>
    <row r="46" spans="5:31">
      <c r="K46" s="49"/>
    </row>
    <row r="48" spans="5:31">
      <c r="H48" s="7"/>
      <c r="I48" s="7"/>
      <c r="J48" s="7"/>
      <c r="K48" s="7"/>
    </row>
  </sheetData>
  <mergeCells count="2">
    <mergeCell ref="I16:J16"/>
    <mergeCell ref="L16:M16"/>
  </mergeCell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44"/>
  <sheetViews>
    <sheetView workbookViewId="0"/>
  </sheetViews>
  <sheetFormatPr defaultRowHeight="12" customHeight="1"/>
  <cols>
    <col min="1" max="1" width="2" style="2" customWidth="1"/>
    <col min="2" max="2" width="25.5703125" style="2" customWidth="1"/>
    <col min="3" max="3" width="12.140625" style="2" customWidth="1"/>
    <col min="4" max="4" width="11.42578125" style="2" customWidth="1"/>
    <col min="5" max="5" width="11.5703125" style="2" bestFit="1" customWidth="1"/>
    <col min="6" max="6" width="11.42578125" style="2" customWidth="1"/>
    <col min="7" max="7" width="10.140625" style="2" customWidth="1"/>
    <col min="8" max="8" width="10.5703125" style="2" customWidth="1"/>
    <col min="9" max="11" width="10.28515625" style="2" customWidth="1"/>
    <col min="12" max="12" width="11.42578125" style="2" customWidth="1"/>
    <col min="13" max="13" width="9.140625" style="2"/>
    <col min="14" max="14" width="18.42578125" style="2" customWidth="1"/>
    <col min="15" max="16384" width="9.140625" style="2"/>
  </cols>
  <sheetData>
    <row r="1" spans="1:20" ht="16.5" customHeight="1">
      <c r="B1" s="18" t="s">
        <v>353</v>
      </c>
    </row>
    <row r="3" spans="1:20" ht="12" customHeight="1">
      <c r="E3" s="46"/>
      <c r="F3" s="34"/>
      <c r="G3" s="364"/>
      <c r="H3" s="33"/>
      <c r="I3" s="3"/>
      <c r="J3" s="3"/>
      <c r="K3" s="3"/>
      <c r="L3" s="3"/>
      <c r="M3" s="3"/>
      <c r="N3" s="3"/>
      <c r="O3" s="3"/>
      <c r="P3" s="3"/>
      <c r="Q3" s="3"/>
      <c r="R3" s="3"/>
      <c r="S3" s="3"/>
      <c r="T3" s="3"/>
    </row>
    <row r="4" spans="1:20" ht="12" customHeight="1">
      <c r="B4" s="439" t="s">
        <v>357</v>
      </c>
      <c r="C4" s="439"/>
      <c r="D4" s="439"/>
      <c r="E4" s="439"/>
      <c r="F4" s="439"/>
      <c r="G4" s="439"/>
      <c r="H4" s="439"/>
      <c r="I4" s="439"/>
      <c r="J4" s="439"/>
      <c r="K4" s="439"/>
      <c r="L4" s="439"/>
      <c r="M4" s="3"/>
      <c r="N4" s="3"/>
      <c r="O4" s="3"/>
      <c r="P4" s="3"/>
      <c r="Q4" s="3"/>
      <c r="R4" s="3"/>
      <c r="S4" s="3"/>
      <c r="T4" s="3"/>
    </row>
    <row r="5" spans="1:20" ht="12" customHeight="1">
      <c r="B5" s="357"/>
      <c r="C5" s="366">
        <v>1</v>
      </c>
      <c r="D5" s="366">
        <v>2</v>
      </c>
      <c r="E5" s="367">
        <v>3</v>
      </c>
      <c r="F5" s="368">
        <v>4</v>
      </c>
      <c r="G5" s="369">
        <v>5</v>
      </c>
      <c r="H5" s="370">
        <v>6</v>
      </c>
      <c r="I5" s="366">
        <v>7</v>
      </c>
      <c r="J5" s="366">
        <v>8</v>
      </c>
      <c r="K5" s="366">
        <v>9</v>
      </c>
      <c r="L5" s="366">
        <v>10</v>
      </c>
      <c r="M5" s="3"/>
      <c r="N5" s="3"/>
      <c r="O5" s="3"/>
      <c r="P5" s="3"/>
      <c r="Q5" s="3"/>
      <c r="R5" s="3"/>
      <c r="S5" s="3"/>
      <c r="T5" s="3"/>
    </row>
    <row r="6" spans="1:20" ht="12" customHeight="1">
      <c r="B6" s="53" t="s">
        <v>355</v>
      </c>
      <c r="C6" s="365">
        <f>'Future Cashflows (10 Yrs)'!F19</f>
        <v>386.34483403826994</v>
      </c>
      <c r="D6" s="365">
        <f>'Future Cashflows (10 Yrs)'!F20</f>
        <v>491.49301128300817</v>
      </c>
      <c r="E6" s="324">
        <f>'Future Cashflows (10 Yrs)'!F21</f>
        <v>599.18563503371763</v>
      </c>
      <c r="F6" s="324">
        <f>'Future Cashflows (10 Yrs)'!F22</f>
        <v>732.11280587272597</v>
      </c>
      <c r="G6" s="324">
        <f>'Future Cashflows (10 Yrs)'!F23</f>
        <v>794.39869475567104</v>
      </c>
      <c r="H6" s="324">
        <f>'Future Cashflows (10 Yrs)'!F24</f>
        <v>913.13706885504848</v>
      </c>
      <c r="I6" s="365">
        <f>'Future Cashflows (10 Yrs)'!F25</f>
        <v>1000.345267183675</v>
      </c>
      <c r="J6" s="365">
        <f>'Future Cashflows (10 Yrs)'!F26</f>
        <v>1066.8909468409424</v>
      </c>
      <c r="K6" s="365">
        <f>'Future Cashflows (10 Yrs)'!F27</f>
        <v>1137.1166416170138</v>
      </c>
      <c r="L6" s="365">
        <f>'Future Cashflows (10 Yrs)'!F28</f>
        <v>1226.2894425658915</v>
      </c>
      <c r="M6" s="3"/>
      <c r="N6" s="3"/>
      <c r="O6" s="3"/>
      <c r="P6" s="3"/>
      <c r="Q6" s="3"/>
      <c r="R6" s="3"/>
      <c r="S6" s="3"/>
      <c r="T6" s="3"/>
    </row>
    <row r="7" spans="1:20" ht="12" customHeight="1">
      <c r="B7" s="53" t="s">
        <v>356</v>
      </c>
      <c r="C7" s="164">
        <f>WACC!$C$14</f>
        <v>0.11076149116410908</v>
      </c>
      <c r="D7" s="164">
        <f>C7</f>
        <v>0.11076149116410908</v>
      </c>
      <c r="E7" s="164">
        <f>AVERAGE(F7,C7)</f>
        <v>0.10770643735760646</v>
      </c>
      <c r="F7" s="94">
        <f>AVERAGE(C7,H7)</f>
        <v>0.10465138355110384</v>
      </c>
      <c r="G7" s="94">
        <f>AVERAGE(F7,H7)</f>
        <v>0.10159632974460123</v>
      </c>
      <c r="H7" s="94">
        <f>AVERAGE(C7,L7)</f>
        <v>9.8541275938098624E-2</v>
      </c>
      <c r="I7" s="164">
        <f>AVERAGE(H7,J7)</f>
        <v>9.5486222131596021E-2</v>
      </c>
      <c r="J7" s="164">
        <f>AVERAGE(H7,L7)</f>
        <v>9.2431168325093405E-2</v>
      </c>
      <c r="K7" s="164">
        <f>AVERAGE(J7,L7)</f>
        <v>8.9376114518590788E-2</v>
      </c>
      <c r="L7" s="164">
        <f>'Terminal Value'!$G$19</f>
        <v>8.6321060712088171E-2</v>
      </c>
      <c r="M7" s="23"/>
      <c r="N7" s="3"/>
      <c r="O7" s="3"/>
      <c r="P7" s="3"/>
      <c r="Q7" s="3"/>
      <c r="R7" s="3"/>
      <c r="S7" s="3"/>
      <c r="T7" s="3"/>
    </row>
    <row r="8" spans="1:20" ht="12" customHeight="1">
      <c r="B8" s="115" t="s">
        <v>354</v>
      </c>
      <c r="C8" s="220">
        <f>C6/(1+C7)^C5</f>
        <v>347.8197948988759</v>
      </c>
      <c r="D8" s="220">
        <f t="shared" ref="D8:K8" si="0">D6/(1+D7)^D5</f>
        <v>398.35999397773026</v>
      </c>
      <c r="E8" s="220">
        <f t="shared" si="0"/>
        <v>440.84645639434331</v>
      </c>
      <c r="F8" s="220">
        <f t="shared" si="0"/>
        <v>491.67377011774192</v>
      </c>
      <c r="G8" s="220">
        <f t="shared" si="0"/>
        <v>489.69550828599841</v>
      </c>
      <c r="H8" s="220">
        <f t="shared" si="0"/>
        <v>519.56237867462971</v>
      </c>
      <c r="I8" s="220">
        <f t="shared" si="0"/>
        <v>528.32539075159548</v>
      </c>
      <c r="J8" s="220">
        <f t="shared" si="0"/>
        <v>525.97774566979751</v>
      </c>
      <c r="K8" s="220">
        <f t="shared" si="0"/>
        <v>526.26486535948754</v>
      </c>
      <c r="L8" s="220">
        <f>L6/(1+L7)^L5</f>
        <v>535.81022321227147</v>
      </c>
      <c r="M8" s="3"/>
      <c r="N8" s="3"/>
      <c r="O8" s="3"/>
      <c r="P8" s="3"/>
      <c r="Q8" s="3"/>
      <c r="R8" s="3"/>
      <c r="S8" s="3"/>
      <c r="T8" s="3"/>
    </row>
    <row r="9" spans="1:20" ht="12" customHeight="1">
      <c r="M9" s="3"/>
      <c r="N9" s="3"/>
      <c r="O9" s="3"/>
      <c r="P9" s="3"/>
      <c r="Q9" s="3"/>
      <c r="R9" s="3"/>
      <c r="S9" s="3"/>
      <c r="T9" s="3"/>
    </row>
    <row r="10" spans="1:20" ht="12" customHeight="1">
      <c r="A10" s="3"/>
      <c r="E10" s="33"/>
      <c r="F10" s="33"/>
      <c r="G10" s="33"/>
      <c r="H10" s="33"/>
      <c r="M10" s="3"/>
      <c r="N10" s="3"/>
      <c r="O10" s="3"/>
      <c r="P10" s="3"/>
      <c r="Q10" s="3"/>
      <c r="R10" s="3"/>
      <c r="S10" s="3"/>
      <c r="T10" s="3"/>
    </row>
    <row r="11" spans="1:20" ht="12" customHeight="1">
      <c r="A11" s="3"/>
      <c r="E11" s="36"/>
      <c r="F11" s="36"/>
      <c r="G11" s="36"/>
      <c r="H11" s="36"/>
      <c r="L11" s="416"/>
      <c r="N11" s="3"/>
      <c r="O11" s="3"/>
      <c r="P11" s="3"/>
      <c r="Q11" s="3"/>
      <c r="R11" s="3"/>
      <c r="S11" s="3"/>
      <c r="T11" s="3"/>
    </row>
    <row r="12" spans="1:20" ht="12" customHeight="1">
      <c r="A12" s="3"/>
      <c r="B12" s="379" t="s">
        <v>352</v>
      </c>
      <c r="C12" s="324">
        <f>SUM(C8:L8)</f>
        <v>4804.3361273424707</v>
      </c>
      <c r="G12" s="33"/>
      <c r="H12" s="33"/>
      <c r="I12" s="33"/>
      <c r="J12" s="33"/>
      <c r="K12" s="33"/>
      <c r="L12" s="3"/>
      <c r="M12" s="3"/>
      <c r="N12" s="3"/>
      <c r="O12" s="3"/>
      <c r="P12" s="3"/>
      <c r="Q12" s="3"/>
      <c r="R12" s="3"/>
      <c r="S12" s="3"/>
      <c r="T12" s="3"/>
    </row>
    <row r="13" spans="1:20" ht="12" customHeight="1">
      <c r="A13" s="3"/>
      <c r="B13" s="379" t="s">
        <v>258</v>
      </c>
      <c r="C13" s="324">
        <f>'Terminal Value'!$C$13</f>
        <v>23141.23712291315</v>
      </c>
      <c r="D13" s="33"/>
      <c r="E13" s="33"/>
      <c r="F13" s="33"/>
      <c r="G13" s="33"/>
      <c r="H13" s="33"/>
      <c r="I13" s="33"/>
      <c r="J13" s="33"/>
      <c r="K13" s="33"/>
      <c r="L13" s="3"/>
      <c r="M13" s="3"/>
      <c r="N13" s="3"/>
      <c r="O13" s="3"/>
      <c r="P13" s="3"/>
      <c r="Q13" s="3"/>
      <c r="R13" s="3"/>
      <c r="S13" s="3"/>
      <c r="T13" s="3"/>
    </row>
    <row r="14" spans="1:20" s="28" customFormat="1" ht="12" customHeight="1">
      <c r="A14" s="27"/>
      <c r="B14" s="379" t="s">
        <v>341</v>
      </c>
      <c r="C14" s="324">
        <f>C13/(1+L7)^'Fair Value of Share'!$L$5</f>
        <v>10111.243722600957</v>
      </c>
      <c r="D14" s="47"/>
      <c r="E14" s="107"/>
      <c r="F14" s="426"/>
      <c r="G14" s="47"/>
      <c r="H14" s="47"/>
      <c r="I14" s="47"/>
      <c r="J14" s="47"/>
      <c r="K14" s="47"/>
      <c r="L14" s="27"/>
      <c r="M14" s="27"/>
      <c r="N14" s="27"/>
      <c r="O14" s="27"/>
      <c r="P14" s="27"/>
      <c r="Q14" s="27"/>
      <c r="R14" s="27"/>
      <c r="S14" s="27"/>
      <c r="T14" s="27"/>
    </row>
    <row r="15" spans="1:20" ht="12" customHeight="1">
      <c r="A15" s="3"/>
      <c r="B15" s="380" t="s">
        <v>358</v>
      </c>
      <c r="C15" s="381">
        <f>C14+C12</f>
        <v>14915.579849943428</v>
      </c>
      <c r="E15" s="404"/>
      <c r="F15" s="402"/>
      <c r="I15" s="33"/>
      <c r="J15" s="33"/>
      <c r="K15" s="33"/>
      <c r="L15" s="3"/>
      <c r="N15" s="3"/>
      <c r="O15" s="3"/>
      <c r="P15" s="3"/>
      <c r="Q15" s="3"/>
      <c r="R15" s="3"/>
      <c r="S15" s="3"/>
      <c r="T15" s="3"/>
    </row>
    <row r="16" spans="1:20" ht="12" customHeight="1">
      <c r="A16" s="371" t="s">
        <v>199</v>
      </c>
      <c r="B16" s="382" t="s">
        <v>316</v>
      </c>
      <c r="C16" s="324">
        <f>'Cash &amp; Marketable Securities'!$C$16</f>
        <v>599.60699015623902</v>
      </c>
      <c r="E16" s="404"/>
      <c r="F16" s="413"/>
      <c r="I16" s="33"/>
      <c r="J16" s="33"/>
      <c r="K16" s="33"/>
      <c r="L16" s="3"/>
      <c r="M16" s="3"/>
      <c r="N16" s="3"/>
      <c r="O16" s="3"/>
      <c r="P16" s="3"/>
      <c r="Q16" s="3"/>
      <c r="R16" s="3"/>
      <c r="S16" s="3"/>
      <c r="T16" s="3"/>
    </row>
    <row r="17" spans="1:20" ht="12" customHeight="1">
      <c r="A17" s="371" t="s">
        <v>199</v>
      </c>
      <c r="B17" s="383" t="s">
        <v>347</v>
      </c>
      <c r="C17" s="324">
        <f ca="1">'Value of Cross Holdings'!$F$19</f>
        <v>10767.268195882469</v>
      </c>
      <c r="E17" s="404"/>
      <c r="F17" s="414"/>
      <c r="I17" s="33"/>
      <c r="J17" s="33"/>
      <c r="K17" s="33"/>
      <c r="L17" s="3"/>
      <c r="M17" s="3"/>
      <c r="N17" s="3"/>
      <c r="O17" s="3"/>
      <c r="P17" s="3"/>
      <c r="Q17" s="3"/>
      <c r="R17" s="3"/>
      <c r="S17" s="3"/>
      <c r="T17" s="3"/>
    </row>
    <row r="18" spans="1:20" ht="12" customHeight="1">
      <c r="A18" s="371" t="s">
        <v>199</v>
      </c>
      <c r="B18" s="32" t="s">
        <v>359</v>
      </c>
      <c r="C18" s="365">
        <v>0</v>
      </c>
      <c r="D18" s="33"/>
      <c r="E18" s="404"/>
      <c r="F18" s="415"/>
      <c r="I18" s="33"/>
      <c r="J18" s="33"/>
      <c r="K18" s="33"/>
      <c r="L18" s="3"/>
      <c r="M18" s="3"/>
      <c r="N18" s="3"/>
      <c r="O18" s="3"/>
      <c r="P18" s="3"/>
      <c r="Q18" s="3"/>
      <c r="R18" s="3"/>
      <c r="S18" s="3"/>
      <c r="T18" s="3"/>
    </row>
    <row r="19" spans="1:20" ht="12" customHeight="1">
      <c r="A19" s="3"/>
      <c r="B19" s="380" t="s">
        <v>344</v>
      </c>
      <c r="C19" s="381">
        <f ca="1">SUM(C15:C18)</f>
        <v>26282.455035982137</v>
      </c>
      <c r="D19" s="33"/>
      <c r="E19" s="404"/>
      <c r="F19" s="414"/>
      <c r="I19" s="33"/>
      <c r="J19" s="33"/>
      <c r="K19" s="33"/>
      <c r="L19" s="3"/>
      <c r="M19" s="3"/>
      <c r="N19" s="3"/>
      <c r="O19" s="3"/>
      <c r="P19" s="3"/>
      <c r="Q19" s="3"/>
      <c r="R19" s="3"/>
      <c r="S19" s="3"/>
      <c r="T19" s="3"/>
    </row>
    <row r="20" spans="1:20" ht="12" customHeight="1">
      <c r="A20" s="9" t="s">
        <v>98</v>
      </c>
      <c r="B20" s="379" t="s">
        <v>343</v>
      </c>
      <c r="C20" s="384">
        <f>WACC!$F$22+(1.54+1.15+90.64+8.39+39.93)</f>
        <v>4747.7886763516035</v>
      </c>
      <c r="D20" s="33"/>
      <c r="E20" s="404"/>
      <c r="F20" s="33"/>
      <c r="I20" s="33"/>
      <c r="J20" s="33"/>
      <c r="K20" s="33"/>
      <c r="L20" s="3"/>
      <c r="M20" s="3"/>
      <c r="N20" s="3"/>
      <c r="O20" s="3"/>
      <c r="P20" s="3"/>
      <c r="Q20" s="3"/>
      <c r="R20" s="3"/>
      <c r="S20" s="3"/>
      <c r="T20" s="3"/>
    </row>
    <row r="21" spans="1:20" ht="12" customHeight="1">
      <c r="A21" s="9"/>
      <c r="B21" s="380" t="s">
        <v>345</v>
      </c>
      <c r="C21" s="218">
        <f ca="1">C19-C20</f>
        <v>21534.666359630533</v>
      </c>
      <c r="D21" s="35"/>
      <c r="E21" s="404"/>
      <c r="F21" s="33"/>
      <c r="I21" s="33"/>
      <c r="J21" s="33"/>
      <c r="K21" s="33"/>
      <c r="L21" s="3"/>
      <c r="M21" s="3"/>
      <c r="N21" s="3"/>
      <c r="O21" s="3"/>
      <c r="P21" s="3"/>
      <c r="Q21" s="3"/>
      <c r="R21" s="3"/>
      <c r="S21" s="3"/>
      <c r="T21" s="3"/>
    </row>
    <row r="22" spans="1:20" ht="12" customHeight="1">
      <c r="A22" s="378" t="s">
        <v>98</v>
      </c>
      <c r="B22" s="32" t="s">
        <v>360</v>
      </c>
      <c r="C22" s="365">
        <v>0</v>
      </c>
      <c r="D22" s="33"/>
      <c r="E22" s="404"/>
      <c r="F22" s="36"/>
      <c r="I22" s="33"/>
      <c r="J22" s="33"/>
      <c r="K22" s="33"/>
      <c r="L22" s="3"/>
      <c r="M22" s="3"/>
      <c r="O22" s="3"/>
      <c r="P22" s="3"/>
      <c r="Q22" s="3"/>
      <c r="R22" s="3"/>
      <c r="S22" s="3"/>
      <c r="T22" s="3"/>
    </row>
    <row r="23" spans="1:20" s="31" customFormat="1" ht="12" customHeight="1">
      <c r="B23" s="380" t="s">
        <v>362</v>
      </c>
      <c r="C23" s="385">
        <f ca="1">C21-C22</f>
        <v>21534.666359630533</v>
      </c>
      <c r="D23" s="33"/>
      <c r="E23" s="404"/>
      <c r="F23" s="33"/>
      <c r="I23" s="36"/>
      <c r="J23" s="36"/>
      <c r="K23" s="36"/>
      <c r="L23" s="30"/>
      <c r="M23" s="30"/>
      <c r="N23" s="30"/>
      <c r="O23" s="30"/>
      <c r="P23" s="30"/>
      <c r="Q23" s="30"/>
      <c r="R23" s="30"/>
      <c r="S23" s="30"/>
      <c r="T23" s="30"/>
    </row>
    <row r="24" spans="1:20" ht="12" customHeight="1">
      <c r="B24" s="32" t="s">
        <v>188</v>
      </c>
      <c r="C24" s="365">
        <v>35.548746100000002</v>
      </c>
      <c r="D24" s="35"/>
      <c r="E24" s="27"/>
      <c r="F24" s="27"/>
      <c r="G24" s="3"/>
      <c r="H24" s="3"/>
      <c r="I24" s="3"/>
      <c r="J24" s="3"/>
      <c r="K24" s="3"/>
      <c r="L24" s="3"/>
      <c r="M24" s="3"/>
      <c r="N24" s="3"/>
      <c r="O24" s="3"/>
      <c r="P24" s="3"/>
      <c r="Q24" s="3"/>
      <c r="R24" s="3"/>
      <c r="S24" s="3"/>
      <c r="T24" s="3"/>
    </row>
    <row r="25" spans="1:20" ht="12" customHeight="1">
      <c r="B25" s="29" t="s">
        <v>361</v>
      </c>
      <c r="C25" s="252">
        <f ca="1">C23/C24</f>
        <v>605.77850760340971</v>
      </c>
      <c r="D25" s="33"/>
      <c r="E25" s="3"/>
      <c r="G25" s="8"/>
      <c r="H25" s="16"/>
      <c r="I25" s="16"/>
      <c r="J25" s="16"/>
      <c r="K25" s="16"/>
      <c r="L25" s="3"/>
      <c r="M25" s="3"/>
      <c r="N25" s="3"/>
      <c r="O25" s="3"/>
      <c r="P25" s="3"/>
      <c r="Q25" s="3"/>
      <c r="R25" s="3"/>
      <c r="S25" s="3"/>
      <c r="T25" s="3"/>
    </row>
    <row r="26" spans="1:20" ht="12" customHeight="1">
      <c r="D26" s="36"/>
      <c r="E26" s="436"/>
      <c r="F26" s="436"/>
      <c r="G26" s="16"/>
      <c r="H26" s="6"/>
      <c r="I26" s="6"/>
      <c r="J26" s="6"/>
      <c r="K26" s="6"/>
      <c r="L26" s="3"/>
      <c r="M26" s="3"/>
      <c r="N26" s="3"/>
      <c r="O26" s="3"/>
      <c r="P26" s="3"/>
      <c r="Q26" s="3"/>
      <c r="R26" s="3"/>
      <c r="S26" s="3"/>
      <c r="T26" s="3"/>
    </row>
    <row r="27" spans="1:20" ht="12" customHeight="1">
      <c r="B27" s="3"/>
      <c r="C27" s="6"/>
      <c r="D27" s="3"/>
      <c r="E27" s="405"/>
      <c r="F27" s="406"/>
      <c r="G27" s="16"/>
      <c r="H27" s="6"/>
      <c r="I27" s="6"/>
      <c r="J27" s="6"/>
      <c r="K27" s="6"/>
      <c r="L27" s="3"/>
      <c r="M27" s="3"/>
      <c r="N27" s="3"/>
      <c r="O27" s="3"/>
      <c r="P27" s="3"/>
      <c r="Q27" s="3"/>
      <c r="R27" s="3"/>
      <c r="S27" s="3"/>
      <c r="T27" s="3"/>
    </row>
    <row r="28" spans="1:20" ht="12" customHeight="1">
      <c r="B28" s="3"/>
      <c r="C28" s="5"/>
      <c r="D28" s="3"/>
      <c r="E28" s="407"/>
      <c r="F28" s="408"/>
      <c r="G28" s="16"/>
      <c r="H28" s="6"/>
      <c r="I28" s="6"/>
      <c r="J28" s="6"/>
      <c r="K28" s="6"/>
      <c r="L28" s="3"/>
      <c r="M28" s="3"/>
      <c r="N28" s="3"/>
      <c r="O28" s="3"/>
      <c r="P28" s="3"/>
      <c r="Q28" s="3"/>
      <c r="R28" s="3"/>
      <c r="S28" s="3"/>
      <c r="T28" s="3"/>
    </row>
    <row r="29" spans="1:20" ht="12" customHeight="1">
      <c r="B29" s="3"/>
      <c r="C29" s="3"/>
      <c r="D29" s="3"/>
      <c r="E29" s="48"/>
      <c r="F29" s="267"/>
      <c r="G29" s="16"/>
      <c r="H29" s="6"/>
      <c r="I29" s="6"/>
      <c r="J29" s="6"/>
      <c r="K29" s="6"/>
      <c r="L29" s="3"/>
      <c r="M29" s="3"/>
      <c r="N29" s="3"/>
      <c r="O29" s="3"/>
      <c r="P29" s="3"/>
      <c r="Q29" s="3"/>
      <c r="R29" s="3"/>
      <c r="S29" s="3"/>
      <c r="T29" s="3"/>
    </row>
    <row r="30" spans="1:20" ht="12" customHeight="1">
      <c r="B30" s="3"/>
      <c r="C30" s="3"/>
      <c r="D30" s="3"/>
      <c r="E30" s="48"/>
      <c r="F30" s="235"/>
      <c r="G30" s="3"/>
      <c r="H30" s="3"/>
      <c r="I30" s="3"/>
      <c r="J30" s="3"/>
      <c r="K30" s="3"/>
      <c r="L30" s="3"/>
      <c r="M30" s="3"/>
      <c r="N30" s="3"/>
      <c r="O30" s="3"/>
      <c r="P30" s="3"/>
      <c r="Q30" s="3"/>
      <c r="R30" s="3"/>
      <c r="S30" s="3"/>
      <c r="T30" s="3"/>
    </row>
    <row r="31" spans="1:20" ht="12" customHeight="1">
      <c r="E31" s="35"/>
      <c r="F31" s="227"/>
      <c r="G31" s="3"/>
      <c r="H31" s="3"/>
      <c r="I31" s="3"/>
      <c r="J31" s="3"/>
      <c r="K31" s="3"/>
      <c r="L31" s="3"/>
      <c r="M31" s="3"/>
    </row>
    <row r="32" spans="1:20" ht="12" customHeight="1">
      <c r="C32" s="15"/>
      <c r="E32" s="3"/>
      <c r="F32" s="227"/>
      <c r="G32" s="3"/>
      <c r="H32" s="3"/>
      <c r="I32" s="3"/>
      <c r="J32" s="3"/>
      <c r="K32" s="3"/>
      <c r="L32" s="3"/>
      <c r="M32" s="3"/>
    </row>
    <row r="33" spans="2:13" ht="12" customHeight="1">
      <c r="E33" s="3"/>
      <c r="F33" s="401"/>
    </row>
    <row r="34" spans="2:13" ht="12" customHeight="1">
      <c r="B34" s="17"/>
      <c r="E34" s="3"/>
      <c r="F34" s="79"/>
      <c r="G34" s="10"/>
      <c r="K34" s="12"/>
    </row>
    <row r="35" spans="2:13" ht="12" customHeight="1">
      <c r="B35" s="10"/>
      <c r="E35" s="33"/>
      <c r="F35" s="400"/>
      <c r="G35" s="13"/>
      <c r="K35" s="10"/>
      <c r="M35" s="10"/>
    </row>
    <row r="36" spans="2:13" ht="12" customHeight="1">
      <c r="E36" s="33"/>
      <c r="M36" s="10"/>
    </row>
    <row r="37" spans="2:13" ht="12" customHeight="1">
      <c r="E37" s="33"/>
      <c r="F37" s="6"/>
      <c r="G37" s="17"/>
      <c r="K37" s="4"/>
    </row>
    <row r="40" spans="2:13" ht="12" customHeight="1">
      <c r="G40" s="14"/>
    </row>
    <row r="41" spans="2:13" ht="12" customHeight="1">
      <c r="G41" s="10"/>
    </row>
    <row r="42" spans="2:13" ht="12" customHeight="1">
      <c r="G42" s="14"/>
    </row>
    <row r="44" spans="2:13" ht="12" customHeight="1">
      <c r="G44" s="17"/>
    </row>
  </sheetData>
  <mergeCells count="1">
    <mergeCell ref="B4:L4"/>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98"/>
  <sheetViews>
    <sheetView workbookViewId="0"/>
  </sheetViews>
  <sheetFormatPr defaultRowHeight="12" customHeight="1"/>
  <cols>
    <col min="1" max="1" width="2" style="2" customWidth="1"/>
    <col min="2" max="2" width="25.5703125" style="2" customWidth="1"/>
    <col min="3" max="3" width="12.140625" style="2" customWidth="1"/>
    <col min="4" max="4" width="11.42578125" style="2" customWidth="1"/>
    <col min="5" max="5" width="11.5703125" style="2" bestFit="1" customWidth="1"/>
    <col min="6" max="6" width="11.42578125" style="2" customWidth="1"/>
    <col min="7" max="7" width="10.140625" style="2" customWidth="1"/>
    <col min="8" max="8" width="10.5703125" style="2" customWidth="1"/>
    <col min="9" max="10" width="10.28515625" style="2" customWidth="1"/>
    <col min="11" max="11" width="11.140625" style="2" bestFit="1" customWidth="1"/>
    <col min="12" max="12" width="11.42578125" style="2" customWidth="1"/>
    <col min="13" max="13" width="11.140625" style="2" bestFit="1" customWidth="1"/>
    <col min="14" max="14" width="11.7109375" style="2" customWidth="1"/>
    <col min="15" max="16384" width="9.140625" style="2"/>
  </cols>
  <sheetData>
    <row r="1" spans="1:20" ht="16.5" customHeight="1">
      <c r="B1" s="18" t="s">
        <v>383</v>
      </c>
    </row>
    <row r="3" spans="1:20" ht="12" customHeight="1">
      <c r="B3" s="412" t="s">
        <v>387</v>
      </c>
      <c r="C3" s="412"/>
      <c r="M3" s="3"/>
      <c r="N3" s="3"/>
      <c r="O3" s="3"/>
      <c r="P3" s="3"/>
      <c r="Q3" s="3"/>
      <c r="R3" s="3"/>
      <c r="S3" s="3"/>
      <c r="T3" s="3"/>
    </row>
    <row r="4" spans="1:20" ht="12" customHeight="1">
      <c r="B4" s="54" t="s">
        <v>384</v>
      </c>
      <c r="C4" s="409">
        <v>8.4000000000000005E-2</v>
      </c>
      <c r="E4" s="32"/>
      <c r="F4" s="32"/>
      <c r="G4" s="421" t="s">
        <v>155</v>
      </c>
      <c r="H4" s="422">
        <v>0.25169999999999998</v>
      </c>
      <c r="I4" s="3"/>
      <c r="J4" s="3"/>
      <c r="K4" s="3"/>
      <c r="L4" s="3"/>
      <c r="M4" s="3"/>
      <c r="N4" s="3"/>
      <c r="O4" s="3"/>
      <c r="P4" s="3"/>
      <c r="Q4" s="3"/>
      <c r="R4" s="3"/>
      <c r="S4" s="3"/>
      <c r="T4" s="3"/>
    </row>
    <row r="5" spans="1:20" ht="12" customHeight="1">
      <c r="B5" s="32" t="s">
        <v>8</v>
      </c>
      <c r="C5" s="112">
        <v>8.8249999999999995E-2</v>
      </c>
      <c r="E5" s="32"/>
      <c r="F5" s="32"/>
      <c r="G5" s="190" t="s">
        <v>211</v>
      </c>
      <c r="H5" s="423">
        <v>0.22739999999999999</v>
      </c>
      <c r="M5" s="3"/>
      <c r="N5" s="3"/>
      <c r="O5" s="3"/>
      <c r="P5" s="3"/>
      <c r="Q5" s="3"/>
      <c r="R5" s="3"/>
      <c r="S5" s="3"/>
      <c r="T5" s="3"/>
    </row>
    <row r="6" spans="1:20" ht="12" customHeight="1">
      <c r="B6" s="54" t="s">
        <v>389</v>
      </c>
      <c r="C6" s="423">
        <v>0.04</v>
      </c>
      <c r="M6" s="3"/>
      <c r="N6" s="3"/>
      <c r="O6" s="3"/>
      <c r="P6" s="3"/>
      <c r="Q6" s="3"/>
      <c r="R6" s="3"/>
      <c r="S6" s="3"/>
      <c r="T6" s="3"/>
    </row>
    <row r="7" spans="1:20" ht="12" customHeight="1">
      <c r="B7" s="317" t="s">
        <v>386</v>
      </c>
      <c r="C7" s="372">
        <f>'Future Cashflows (10 Yrs)'!D19</f>
        <v>2.1939000000000002</v>
      </c>
      <c r="M7" s="23"/>
      <c r="N7" s="3"/>
      <c r="O7" s="3"/>
      <c r="P7" s="3"/>
      <c r="Q7" s="3"/>
      <c r="R7" s="3"/>
      <c r="S7" s="3"/>
      <c r="T7" s="3"/>
    </row>
    <row r="8" spans="1:20" ht="12" customHeight="1">
      <c r="B8" s="410" t="s">
        <v>385</v>
      </c>
      <c r="C8" s="411">
        <f>AVERAGE('Future Cashflows (10 Yrs)'!I5:I14)</f>
        <v>0.17799999999999996</v>
      </c>
      <c r="M8" s="3"/>
      <c r="Q8" s="3"/>
      <c r="R8" s="3"/>
      <c r="S8" s="3"/>
      <c r="T8" s="3"/>
    </row>
    <row r="9" spans="1:20" ht="12" customHeight="1">
      <c r="M9" s="3"/>
      <c r="Q9" s="3"/>
      <c r="R9" s="3"/>
      <c r="S9" s="3"/>
      <c r="T9" s="3"/>
    </row>
    <row r="10" spans="1:20" ht="12" customHeight="1">
      <c r="A10" s="3"/>
      <c r="B10" s="439" t="s">
        <v>357</v>
      </c>
      <c r="C10" s="439"/>
      <c r="D10" s="439"/>
      <c r="E10" s="439"/>
      <c r="F10" s="439"/>
      <c r="G10" s="439"/>
      <c r="H10" s="439"/>
      <c r="I10" s="439"/>
      <c r="J10" s="439"/>
      <c r="K10" s="439"/>
      <c r="L10" s="439"/>
      <c r="M10" s="439"/>
      <c r="Q10" s="3"/>
      <c r="R10" s="3"/>
      <c r="S10" s="3"/>
      <c r="T10" s="3"/>
    </row>
    <row r="11" spans="1:20" ht="12" customHeight="1">
      <c r="A11" s="3"/>
      <c r="B11" s="357"/>
      <c r="C11" s="366">
        <v>1</v>
      </c>
      <c r="D11" s="366">
        <v>2</v>
      </c>
      <c r="E11" s="367">
        <v>3</v>
      </c>
      <c r="F11" s="368">
        <v>4</v>
      </c>
      <c r="G11" s="369">
        <v>5</v>
      </c>
      <c r="H11" s="370">
        <v>6</v>
      </c>
      <c r="I11" s="366">
        <v>7</v>
      </c>
      <c r="J11" s="366">
        <v>8</v>
      </c>
      <c r="K11" s="366">
        <v>9</v>
      </c>
      <c r="L11" s="366">
        <v>10</v>
      </c>
      <c r="M11" s="424" t="s">
        <v>390</v>
      </c>
      <c r="Q11" s="3"/>
      <c r="R11" s="3"/>
      <c r="S11" s="3"/>
      <c r="T11" s="3"/>
    </row>
    <row r="12" spans="1:20" ht="12" customHeight="1">
      <c r="A12" s="3"/>
      <c r="B12" s="53" t="s">
        <v>7</v>
      </c>
      <c r="C12" s="324">
        <f>'Future Cashflows (10 Yrs)'!$G$4*(1+'Sensitivity Analysis'!C13)</f>
        <v>5065.7813200000001</v>
      </c>
      <c r="D12" s="417">
        <f>C12*(1+D13)</f>
        <v>5491.3069508800008</v>
      </c>
      <c r="E12" s="417">
        <f t="shared" ref="E12:L12" si="0">D12*(1+E13)</f>
        <v>5952.5767347539213</v>
      </c>
      <c r="F12" s="417">
        <f t="shared" si="0"/>
        <v>6452.5931804732509</v>
      </c>
      <c r="G12" s="417">
        <f t="shared" si="0"/>
        <v>6994.6110076330042</v>
      </c>
      <c r="H12" s="417">
        <f t="shared" si="0"/>
        <v>7582.1583322741772</v>
      </c>
      <c r="I12" s="417">
        <f t="shared" si="0"/>
        <v>8219.0596321852081</v>
      </c>
      <c r="J12" s="417">
        <f t="shared" si="0"/>
        <v>8909.4606412887661</v>
      </c>
      <c r="K12" s="417">
        <f t="shared" si="0"/>
        <v>9657.8553351570226</v>
      </c>
      <c r="L12" s="417">
        <f t="shared" si="0"/>
        <v>10469.115183310214</v>
      </c>
      <c r="M12" s="417">
        <f>L12*(1+M13)</f>
        <v>11348.520858708272</v>
      </c>
      <c r="Q12" s="3"/>
      <c r="R12" s="3"/>
      <c r="S12" s="3"/>
      <c r="T12" s="3"/>
    </row>
    <row r="13" spans="1:20" ht="12" customHeight="1">
      <c r="A13" s="3"/>
      <c r="B13" s="53" t="s">
        <v>388</v>
      </c>
      <c r="C13" s="236">
        <f t="shared" ref="C13:M13" si="1">$C$4</f>
        <v>8.4000000000000005E-2</v>
      </c>
      <c r="D13" s="236">
        <f t="shared" si="1"/>
        <v>8.4000000000000005E-2</v>
      </c>
      <c r="E13" s="236">
        <f t="shared" si="1"/>
        <v>8.4000000000000005E-2</v>
      </c>
      <c r="F13" s="236">
        <f t="shared" si="1"/>
        <v>8.4000000000000005E-2</v>
      </c>
      <c r="G13" s="236">
        <f t="shared" si="1"/>
        <v>8.4000000000000005E-2</v>
      </c>
      <c r="H13" s="236">
        <f t="shared" si="1"/>
        <v>8.4000000000000005E-2</v>
      </c>
      <c r="I13" s="236">
        <f t="shared" si="1"/>
        <v>8.4000000000000005E-2</v>
      </c>
      <c r="J13" s="236">
        <f t="shared" si="1"/>
        <v>8.4000000000000005E-2</v>
      </c>
      <c r="K13" s="236">
        <f t="shared" si="1"/>
        <v>8.4000000000000005E-2</v>
      </c>
      <c r="L13" s="236">
        <f t="shared" si="1"/>
        <v>8.4000000000000005E-2</v>
      </c>
      <c r="M13" s="236">
        <f t="shared" si="1"/>
        <v>8.4000000000000005E-2</v>
      </c>
      <c r="Q13" s="3"/>
      <c r="R13" s="3"/>
      <c r="S13" s="3"/>
      <c r="T13" s="3"/>
    </row>
    <row r="14" spans="1:20" s="28" customFormat="1" ht="12" customHeight="1">
      <c r="A14" s="27"/>
      <c r="B14" s="53" t="s">
        <v>385</v>
      </c>
      <c r="C14" s="293">
        <f t="shared" ref="C14:M14" si="2">$C$8</f>
        <v>0.17799999999999996</v>
      </c>
      <c r="D14" s="293">
        <f t="shared" si="2"/>
        <v>0.17799999999999996</v>
      </c>
      <c r="E14" s="293">
        <f t="shared" si="2"/>
        <v>0.17799999999999996</v>
      </c>
      <c r="F14" s="293">
        <f t="shared" si="2"/>
        <v>0.17799999999999996</v>
      </c>
      <c r="G14" s="293">
        <f t="shared" si="2"/>
        <v>0.17799999999999996</v>
      </c>
      <c r="H14" s="293">
        <f t="shared" si="2"/>
        <v>0.17799999999999996</v>
      </c>
      <c r="I14" s="293">
        <f t="shared" si="2"/>
        <v>0.17799999999999996</v>
      </c>
      <c r="J14" s="293">
        <f t="shared" si="2"/>
        <v>0.17799999999999996</v>
      </c>
      <c r="K14" s="293">
        <f t="shared" si="2"/>
        <v>0.17799999999999996</v>
      </c>
      <c r="L14" s="293">
        <f t="shared" si="2"/>
        <v>0.17799999999999996</v>
      </c>
      <c r="M14" s="293">
        <f t="shared" si="2"/>
        <v>0.17799999999999996</v>
      </c>
      <c r="Q14" s="27"/>
      <c r="R14" s="27"/>
      <c r="S14" s="27"/>
      <c r="T14" s="27"/>
    </row>
    <row r="15" spans="1:20" ht="12" customHeight="1">
      <c r="B15" s="418" t="s">
        <v>380</v>
      </c>
      <c r="C15" s="420">
        <f>(C12*C14)*(1-$H$5)</f>
        <v>696.66043131409583</v>
      </c>
      <c r="D15" s="420">
        <f>(D12*D14)*(1-($H$5+0.5%))</f>
        <v>750.29264435819687</v>
      </c>
      <c r="E15" s="420">
        <f>(E12*E14)*(1-($H$5+0.75%))</f>
        <v>810.66832983732002</v>
      </c>
      <c r="F15" s="420">
        <f>(F12*F14)*(1-($H$5+1%))</f>
        <v>875.89306557834414</v>
      </c>
      <c r="G15" s="420">
        <f>(G12*G14)*(1-($H$5+1.25%))</f>
        <v>946.35548118852842</v>
      </c>
      <c r="H15" s="420">
        <f>(H12*H14)*(1-($H$5+1.5%))</f>
        <v>1022.4752811505031</v>
      </c>
      <c r="I15" s="420">
        <f>(I12*I14)*(1-($H$5+1.75%))</f>
        <v>1104.7057232308227</v>
      </c>
      <c r="J15" s="420">
        <f>(J12*J14)*(1-($H$5+2.2%))</f>
        <v>1190.3645260085398</v>
      </c>
      <c r="K15" s="420">
        <f>(K12*K14)*(1-$H$4)</f>
        <v>1286.4012202190438</v>
      </c>
      <c r="L15" s="420">
        <f>(L12*L14)*(1-$H$4)</f>
        <v>1394.4589227174436</v>
      </c>
      <c r="M15" s="420">
        <f>(M12*M14)*(1-$H$4)</f>
        <v>1511.5934722257089</v>
      </c>
      <c r="Q15" s="3"/>
      <c r="R15" s="3"/>
      <c r="S15" s="3"/>
      <c r="T15" s="3"/>
    </row>
    <row r="16" spans="1:20" ht="12" customHeight="1">
      <c r="B16" s="53" t="s">
        <v>330</v>
      </c>
      <c r="C16" s="419">
        <f t="shared" ref="C16:M16" si="3">$C$7</f>
        <v>2.1939000000000002</v>
      </c>
      <c r="D16" s="419">
        <f t="shared" si="3"/>
        <v>2.1939000000000002</v>
      </c>
      <c r="E16" s="419">
        <f t="shared" si="3"/>
        <v>2.1939000000000002</v>
      </c>
      <c r="F16" s="419">
        <f t="shared" si="3"/>
        <v>2.1939000000000002</v>
      </c>
      <c r="G16" s="419">
        <f t="shared" si="3"/>
        <v>2.1939000000000002</v>
      </c>
      <c r="H16" s="419">
        <f t="shared" si="3"/>
        <v>2.1939000000000002</v>
      </c>
      <c r="I16" s="419">
        <f t="shared" si="3"/>
        <v>2.1939000000000002</v>
      </c>
      <c r="J16" s="419">
        <f t="shared" si="3"/>
        <v>2.1939000000000002</v>
      </c>
      <c r="K16" s="419">
        <f t="shared" si="3"/>
        <v>2.1939000000000002</v>
      </c>
      <c r="L16" s="419">
        <f t="shared" si="3"/>
        <v>2.1939000000000002</v>
      </c>
      <c r="M16" s="419">
        <f t="shared" si="3"/>
        <v>2.1939000000000002</v>
      </c>
      <c r="Q16" s="3"/>
      <c r="R16" s="3"/>
      <c r="S16" s="3"/>
      <c r="T16" s="3"/>
    </row>
    <row r="17" spans="1:20" ht="12" customHeight="1">
      <c r="B17" s="53" t="s">
        <v>225</v>
      </c>
      <c r="C17" s="420">
        <f>(C12-'Future Cashflows (10 Yrs)'!$G$4)/'Sensitivity Analysis'!C16</f>
        <v>178.92853821960912</v>
      </c>
      <c r="D17" s="420">
        <f t="shared" ref="D17:M17" si="4">(D12-C12)/D16</f>
        <v>193.9585354300564</v>
      </c>
      <c r="E17" s="420">
        <f t="shared" si="4"/>
        <v>210.25105240618097</v>
      </c>
      <c r="F17" s="420">
        <f t="shared" si="4"/>
        <v>227.91214080830008</v>
      </c>
      <c r="G17" s="420">
        <f t="shared" si="4"/>
        <v>247.05676063619731</v>
      </c>
      <c r="H17" s="420">
        <f t="shared" si="4"/>
        <v>267.80952852963804</v>
      </c>
      <c r="I17" s="420">
        <f t="shared" si="4"/>
        <v>290.30552892612741</v>
      </c>
      <c r="J17" s="420">
        <f t="shared" si="4"/>
        <v>314.69119335592228</v>
      </c>
      <c r="K17" s="420">
        <f t="shared" si="4"/>
        <v>341.12525359781966</v>
      </c>
      <c r="L17" s="420">
        <f t="shared" si="4"/>
        <v>369.77977490003707</v>
      </c>
      <c r="M17" s="420">
        <f t="shared" si="4"/>
        <v>400.84127599163975</v>
      </c>
      <c r="Q17" s="3"/>
      <c r="R17" s="3"/>
      <c r="S17" s="3"/>
      <c r="T17" s="3"/>
    </row>
    <row r="18" spans="1:20" ht="12" customHeight="1">
      <c r="B18" s="53" t="s">
        <v>355</v>
      </c>
      <c r="C18" s="365">
        <f>C15-C17</f>
        <v>517.73189309448674</v>
      </c>
      <c r="D18" s="365">
        <f t="shared" ref="D18:M18" si="5">D15-D17</f>
        <v>556.33410892814049</v>
      </c>
      <c r="E18" s="365">
        <f t="shared" si="5"/>
        <v>600.41727743113904</v>
      </c>
      <c r="F18" s="365">
        <f t="shared" si="5"/>
        <v>647.98092477004411</v>
      </c>
      <c r="G18" s="365">
        <f t="shared" si="5"/>
        <v>699.29872055233113</v>
      </c>
      <c r="H18" s="365">
        <f t="shared" si="5"/>
        <v>754.66575262086508</v>
      </c>
      <c r="I18" s="365">
        <f t="shared" si="5"/>
        <v>814.40019430469533</v>
      </c>
      <c r="J18" s="365">
        <f t="shared" si="5"/>
        <v>875.67333265261755</v>
      </c>
      <c r="K18" s="365">
        <f t="shared" si="5"/>
        <v>945.27596662122414</v>
      </c>
      <c r="L18" s="365">
        <f t="shared" si="5"/>
        <v>1024.6791478174064</v>
      </c>
      <c r="M18" s="365">
        <f t="shared" si="5"/>
        <v>1110.7521962340691</v>
      </c>
      <c r="N18" s="27"/>
      <c r="O18" s="27"/>
      <c r="P18" s="3"/>
      <c r="Q18" s="3"/>
      <c r="R18" s="3"/>
      <c r="S18" s="3"/>
      <c r="T18" s="3"/>
    </row>
    <row r="19" spans="1:20" ht="12" customHeight="1">
      <c r="B19" s="53" t="s">
        <v>356</v>
      </c>
      <c r="C19" s="164">
        <f t="shared" ref="C19:M19" si="6">$C$5</f>
        <v>8.8249999999999995E-2</v>
      </c>
      <c r="D19" s="164">
        <f t="shared" si="6"/>
        <v>8.8249999999999995E-2</v>
      </c>
      <c r="E19" s="164">
        <f t="shared" si="6"/>
        <v>8.8249999999999995E-2</v>
      </c>
      <c r="F19" s="164">
        <f t="shared" si="6"/>
        <v>8.8249999999999995E-2</v>
      </c>
      <c r="G19" s="164">
        <f t="shared" si="6"/>
        <v>8.8249999999999995E-2</v>
      </c>
      <c r="H19" s="164">
        <f t="shared" si="6"/>
        <v>8.8249999999999995E-2</v>
      </c>
      <c r="I19" s="164">
        <f t="shared" si="6"/>
        <v>8.8249999999999995E-2</v>
      </c>
      <c r="J19" s="164">
        <f t="shared" si="6"/>
        <v>8.8249999999999995E-2</v>
      </c>
      <c r="K19" s="164">
        <f t="shared" si="6"/>
        <v>8.8249999999999995E-2</v>
      </c>
      <c r="L19" s="164">
        <f t="shared" si="6"/>
        <v>8.8249999999999995E-2</v>
      </c>
      <c r="M19" s="164">
        <f t="shared" si="6"/>
        <v>8.8249999999999995E-2</v>
      </c>
      <c r="N19" s="3"/>
      <c r="P19" s="3"/>
      <c r="Q19" s="3"/>
      <c r="R19" s="3"/>
      <c r="S19" s="3"/>
      <c r="T19" s="3"/>
    </row>
    <row r="20" spans="1:20" ht="12" customHeight="1">
      <c r="B20" s="115" t="s">
        <v>354</v>
      </c>
      <c r="C20" s="220">
        <f t="shared" ref="C20:L20" si="7">C18/(1+C19)^C11</f>
        <v>475.7472024759814</v>
      </c>
      <c r="D20" s="220">
        <f t="shared" si="7"/>
        <v>469.76248984029638</v>
      </c>
      <c r="E20" s="220">
        <f t="shared" si="7"/>
        <v>465.87258385237851</v>
      </c>
      <c r="F20" s="220">
        <f t="shared" si="7"/>
        <v>462.00589605986784</v>
      </c>
      <c r="G20" s="220">
        <f t="shared" si="7"/>
        <v>458.16230444027065</v>
      </c>
      <c r="H20" s="220">
        <f t="shared" si="7"/>
        <v>454.34168757005602</v>
      </c>
      <c r="I20" s="220">
        <f t="shared" si="7"/>
        <v>450.54392462183858</v>
      </c>
      <c r="J20" s="220">
        <f t="shared" si="7"/>
        <v>445.1564982742583</v>
      </c>
      <c r="K20" s="220">
        <f t="shared" si="7"/>
        <v>441.57099004847026</v>
      </c>
      <c r="L20" s="220">
        <f t="shared" si="7"/>
        <v>439.84649962098922</v>
      </c>
      <c r="M20" s="220">
        <f>M18/(1+M19)^L11</f>
        <v>476.79360558915255</v>
      </c>
      <c r="P20" s="3"/>
      <c r="Q20" s="3"/>
      <c r="R20" s="3"/>
      <c r="S20" s="3"/>
      <c r="T20" s="3"/>
    </row>
    <row r="21" spans="1:20" ht="12" customHeight="1">
      <c r="A21" s="3"/>
      <c r="D21" s="35"/>
      <c r="J21" s="33"/>
      <c r="K21" s="33"/>
      <c r="P21" s="3"/>
      <c r="Q21" s="3"/>
      <c r="R21" s="3"/>
      <c r="S21" s="3"/>
      <c r="T21" s="3"/>
    </row>
    <row r="22" spans="1:20" ht="12" customHeight="1">
      <c r="B22" s="379" t="s">
        <v>352</v>
      </c>
      <c r="C22" s="324">
        <f>SUM(C20:L20)</f>
        <v>4563.0100768044067</v>
      </c>
      <c r="D22" s="33"/>
      <c r="J22" s="33"/>
      <c r="K22" s="33"/>
      <c r="P22" s="3"/>
      <c r="Q22" s="3"/>
      <c r="R22" s="3"/>
      <c r="S22" s="3"/>
      <c r="T22" s="3"/>
    </row>
    <row r="23" spans="1:20" s="31" customFormat="1" ht="12" customHeight="1">
      <c r="A23" s="2"/>
      <c r="B23" s="379" t="s">
        <v>258</v>
      </c>
      <c r="C23" s="324">
        <f>M18/(C5-C6)</f>
        <v>23020.770906405578</v>
      </c>
      <c r="D23" s="33"/>
      <c r="F23" s="444" t="s">
        <v>391</v>
      </c>
      <c r="G23" s="444"/>
      <c r="H23" s="444"/>
      <c r="I23" s="444"/>
      <c r="J23" s="444"/>
      <c r="K23" s="444"/>
      <c r="L23" s="444"/>
      <c r="M23" s="444"/>
      <c r="N23" s="444"/>
      <c r="P23" s="30"/>
      <c r="Q23" s="30"/>
      <c r="R23" s="30"/>
      <c r="S23" s="30"/>
      <c r="T23" s="30"/>
    </row>
    <row r="24" spans="1:20" ht="12" customHeight="1">
      <c r="B24" s="379" t="s">
        <v>341</v>
      </c>
      <c r="C24" s="324">
        <f>C23/(1+C5)^L11</f>
        <v>9881.7327583244059</v>
      </c>
      <c r="D24" s="35"/>
      <c r="E24" s="277">
        <f>C4</f>
        <v>8.4000000000000005E-2</v>
      </c>
      <c r="F24" s="411">
        <v>0.105</v>
      </c>
      <c r="G24" s="411">
        <v>0.1</v>
      </c>
      <c r="H24" s="411">
        <v>9.5000000000000001E-2</v>
      </c>
      <c r="I24" s="411">
        <v>0.09</v>
      </c>
      <c r="J24" s="411">
        <f>0.085</f>
        <v>8.5000000000000006E-2</v>
      </c>
      <c r="K24" s="411">
        <v>0.08</v>
      </c>
      <c r="L24" s="411">
        <v>7.4999999999999997E-2</v>
      </c>
      <c r="M24" s="411">
        <v>7.0000000000000007E-2</v>
      </c>
      <c r="N24" s="411">
        <v>6.5000000000000002E-2</v>
      </c>
      <c r="O24" s="235"/>
      <c r="P24" s="3"/>
      <c r="Q24" s="3"/>
      <c r="R24" s="3"/>
      <c r="S24" s="3"/>
      <c r="T24" s="3"/>
    </row>
    <row r="25" spans="1:20" ht="12" customHeight="1">
      <c r="B25" s="380" t="s">
        <v>358</v>
      </c>
      <c r="C25" s="381">
        <f>C24+C22</f>
        <v>14444.742835128813</v>
      </c>
      <c r="D25" s="33"/>
      <c r="E25" s="399">
        <f ca="1">C35</f>
        <v>592.53367996616669</v>
      </c>
      <c r="F25" s="227">
        <f t="dataTable" ref="F25:N25" dt2D="0" dtr="1" r1="C4" ca="1"/>
        <v>632.69401077974601</v>
      </c>
      <c r="G25" s="227">
        <v>622.95494305959187</v>
      </c>
      <c r="H25" s="399">
        <v>613.32099215611845</v>
      </c>
      <c r="I25" s="399">
        <v>603.79994894938557</v>
      </c>
      <c r="J25" s="227">
        <v>594.39890970362205</v>
      </c>
      <c r="K25" s="227">
        <v>585.12431083174442</v>
      </c>
      <c r="L25" s="227">
        <v>575.98196236975139</v>
      </c>
      <c r="M25" s="227">
        <v>566.97708019818106</v>
      </c>
      <c r="N25" s="227">
        <v>558.11431704694746</v>
      </c>
      <c r="S25" s="3"/>
      <c r="T25" s="3"/>
    </row>
    <row r="26" spans="1:20" ht="12" customHeight="1">
      <c r="A26" s="371" t="s">
        <v>199</v>
      </c>
      <c r="B26" s="382" t="s">
        <v>316</v>
      </c>
      <c r="C26" s="324">
        <f>'Cash &amp; Marketable Securities'!$C$16</f>
        <v>599.60699015623902</v>
      </c>
      <c r="D26" s="36"/>
      <c r="F26" s="6"/>
      <c r="G26" s="6"/>
      <c r="J26" s="3"/>
      <c r="K26" s="401"/>
      <c r="L26" s="3"/>
      <c r="M26" s="3"/>
      <c r="N26" s="3"/>
      <c r="S26" s="3"/>
      <c r="T26" s="3"/>
    </row>
    <row r="27" spans="1:20" ht="12" customHeight="1">
      <c r="A27" s="371" t="s">
        <v>199</v>
      </c>
      <c r="B27" s="383" t="s">
        <v>347</v>
      </c>
      <c r="C27" s="324">
        <f ca="1">'Value of Cross Holdings'!$F$19</f>
        <v>10767.268195882469</v>
      </c>
      <c r="D27" s="3"/>
      <c r="E27" s="31"/>
      <c r="F27" s="444" t="s">
        <v>8</v>
      </c>
      <c r="G27" s="444"/>
      <c r="H27" s="444"/>
      <c r="I27" s="444"/>
      <c r="J27" s="444"/>
      <c r="K27" s="444"/>
      <c r="L27" s="444"/>
      <c r="M27" s="444"/>
      <c r="N27" s="444"/>
      <c r="S27" s="3"/>
      <c r="T27" s="3"/>
    </row>
    <row r="28" spans="1:20" ht="12" customHeight="1">
      <c r="A28" s="371" t="s">
        <v>199</v>
      </c>
      <c r="B28" s="32" t="s">
        <v>359</v>
      </c>
      <c r="C28" s="365">
        <v>0</v>
      </c>
      <c r="D28" s="3"/>
      <c r="E28" s="277">
        <f>C5</f>
        <v>8.8249999999999995E-2</v>
      </c>
      <c r="F28" s="427">
        <v>0.1108</v>
      </c>
      <c r="G28" s="411">
        <f>AVERAGE(F28,H28)</f>
        <v>0.107575</v>
      </c>
      <c r="H28" s="411">
        <f>AVERAGE(J28,F28)</f>
        <v>0.10435</v>
      </c>
      <c r="I28" s="411">
        <f>AVERAGE(H28,J28)</f>
        <v>0.10112499999999999</v>
      </c>
      <c r="J28" s="411">
        <f>AVERAGE(F28,N28)</f>
        <v>9.7900000000000001E-2</v>
      </c>
      <c r="K28" s="411">
        <f>AVERAGE(J28,L28)</f>
        <v>9.4675000000000009E-2</v>
      </c>
      <c r="L28" s="411">
        <f>AVERAGE(J28,N28)</f>
        <v>9.1450000000000004E-2</v>
      </c>
      <c r="M28" s="411">
        <f>AVERAGE(L28,N28)</f>
        <v>8.8224999999999998E-2</v>
      </c>
      <c r="N28" s="411">
        <v>8.5000000000000006E-2</v>
      </c>
      <c r="O28" s="79"/>
      <c r="P28" s="3"/>
      <c r="Q28" s="3"/>
      <c r="R28" s="3"/>
      <c r="S28" s="3"/>
      <c r="T28" s="3"/>
    </row>
    <row r="29" spans="1:20" ht="12" customHeight="1">
      <c r="A29" s="3"/>
      <c r="B29" s="380" t="s">
        <v>344</v>
      </c>
      <c r="C29" s="381">
        <f ca="1">SUM(C25:C28)</f>
        <v>25811.61802116752</v>
      </c>
      <c r="D29" s="3"/>
      <c r="E29" s="399">
        <f ca="1">$C$35</f>
        <v>592.53367996616669</v>
      </c>
      <c r="F29" s="227">
        <f t="dataTable" ref="F29:N29" dt2D="0" dtr="1" r1="C5" ca="1"/>
        <v>455.54675412780784</v>
      </c>
      <c r="G29" s="227">
        <v>469.45748701393569</v>
      </c>
      <c r="H29" s="399">
        <v>484.78852984638871</v>
      </c>
      <c r="I29" s="399">
        <v>501.76548159334942</v>
      </c>
      <c r="J29" s="227">
        <v>520.66423196366077</v>
      </c>
      <c r="K29" s="227">
        <v>541.82579447868875</v>
      </c>
      <c r="L29" s="227">
        <v>565.676718210991</v>
      </c>
      <c r="M29" s="227">
        <v>592.7576896675298</v>
      </c>
      <c r="N29" s="227">
        <v>623.76443354250512</v>
      </c>
      <c r="O29" s="400"/>
      <c r="P29" s="3"/>
      <c r="Q29" s="3"/>
      <c r="R29" s="3"/>
      <c r="S29" s="3"/>
      <c r="T29" s="3"/>
    </row>
    <row r="30" spans="1:20" ht="12" customHeight="1">
      <c r="A30" s="9" t="s">
        <v>98</v>
      </c>
      <c r="B30" s="379" t="s">
        <v>343</v>
      </c>
      <c r="C30" s="384">
        <f>WACC!$F$22+(1.54+1.15+90.64+8.39+39.93)</f>
        <v>4747.7886763516035</v>
      </c>
      <c r="D30" s="3"/>
      <c r="G30" s="404"/>
      <c r="H30" s="33"/>
      <c r="J30" s="3"/>
      <c r="K30" s="3"/>
      <c r="N30" s="3"/>
      <c r="O30" s="3"/>
      <c r="P30" s="3"/>
      <c r="Q30" s="3"/>
      <c r="R30" s="3"/>
      <c r="S30" s="3"/>
      <c r="T30" s="3"/>
    </row>
    <row r="31" spans="1:20" ht="12" customHeight="1">
      <c r="A31" s="9"/>
      <c r="B31" s="380" t="s">
        <v>345</v>
      </c>
      <c r="C31" s="218">
        <f ca="1">C29-C30</f>
        <v>21063.829344815917</v>
      </c>
      <c r="E31" s="31"/>
      <c r="F31" s="444" t="s">
        <v>330</v>
      </c>
      <c r="G31" s="444"/>
      <c r="H31" s="444"/>
      <c r="I31" s="444"/>
      <c r="J31" s="444"/>
      <c r="K31" s="444"/>
      <c r="L31" s="444"/>
      <c r="M31" s="444"/>
      <c r="N31" s="444"/>
    </row>
    <row r="32" spans="1:20" ht="12" customHeight="1">
      <c r="A32" s="378" t="s">
        <v>98</v>
      </c>
      <c r="B32" s="32" t="s">
        <v>360</v>
      </c>
      <c r="C32" s="365">
        <v>0</v>
      </c>
      <c r="E32" s="428">
        <f>C7</f>
        <v>2.1939000000000002</v>
      </c>
      <c r="F32" s="429">
        <v>3</v>
      </c>
      <c r="G32" s="429">
        <v>2.5</v>
      </c>
      <c r="H32" s="429">
        <v>2.25</v>
      </c>
      <c r="I32" s="429">
        <v>2</v>
      </c>
      <c r="J32" s="429">
        <v>1.75</v>
      </c>
      <c r="K32" s="429">
        <v>1.5</v>
      </c>
      <c r="L32" s="429">
        <v>1.25</v>
      </c>
      <c r="M32" s="429">
        <v>1</v>
      </c>
      <c r="N32" s="429">
        <v>0.75</v>
      </c>
    </row>
    <row r="33" spans="2:14" ht="12" customHeight="1">
      <c r="B33" s="380" t="s">
        <v>362</v>
      </c>
      <c r="C33" s="385">
        <f ca="1">C31-C32</f>
        <v>21063.829344815917</v>
      </c>
      <c r="E33" s="399">
        <f ca="1">$C$35</f>
        <v>592.53367996616669</v>
      </c>
      <c r="F33" s="227">
        <f t="dataTable" ref="F33:N33" dt2D="0" dtr="1" r1="C7" ca="1"/>
        <v>631.69986209057663</v>
      </c>
      <c r="G33" s="227">
        <v>610.3807485903302</v>
      </c>
      <c r="H33" s="399">
        <v>596.16800625683265</v>
      </c>
      <c r="I33" s="399">
        <v>578.40207833996078</v>
      </c>
      <c r="J33" s="227">
        <v>555.56017101826819</v>
      </c>
      <c r="K33" s="227">
        <v>525.10429458934493</v>
      </c>
      <c r="L33" s="227">
        <v>482.46606758885218</v>
      </c>
      <c r="M33" s="227">
        <v>418.50872708811312</v>
      </c>
      <c r="N33" s="227">
        <v>311.91315958688148</v>
      </c>
    </row>
    <row r="34" spans="2:14" ht="12" customHeight="1">
      <c r="B34" s="32" t="s">
        <v>188</v>
      </c>
      <c r="C34" s="425">
        <v>35.548746100000002</v>
      </c>
      <c r="G34" s="10"/>
      <c r="K34" s="12"/>
    </row>
    <row r="35" spans="2:14" ht="12" customHeight="1">
      <c r="B35" s="29" t="s">
        <v>361</v>
      </c>
      <c r="C35" s="252">
        <f ca="1">C33/C34</f>
        <v>592.53367996616669</v>
      </c>
      <c r="E35" s="31"/>
      <c r="F35" s="444" t="s">
        <v>385</v>
      </c>
      <c r="G35" s="444"/>
      <c r="H35" s="444"/>
      <c r="I35" s="444"/>
      <c r="J35" s="444"/>
      <c r="K35" s="444"/>
      <c r="L35" s="444"/>
      <c r="M35" s="444"/>
      <c r="N35" s="444"/>
    </row>
    <row r="36" spans="2:14" ht="12" customHeight="1">
      <c r="E36" s="406">
        <f>C8</f>
        <v>0.17799999999999996</v>
      </c>
      <c r="F36" s="427">
        <v>0.15</v>
      </c>
      <c r="G36" s="411">
        <v>0.16</v>
      </c>
      <c r="H36" s="411">
        <v>0.17</v>
      </c>
      <c r="I36" s="411">
        <v>0.18</v>
      </c>
      <c r="J36" s="411">
        <v>0.19</v>
      </c>
      <c r="K36" s="411">
        <v>0.2</v>
      </c>
      <c r="L36" s="411">
        <v>0.21</v>
      </c>
      <c r="M36" s="411">
        <v>0.22</v>
      </c>
      <c r="N36" s="411">
        <v>0.23</v>
      </c>
    </row>
    <row r="37" spans="2:14" ht="12" customHeight="1">
      <c r="E37" s="399">
        <f ca="1">$C$35</f>
        <v>592.53367996616669</v>
      </c>
      <c r="F37" s="227">
        <f t="dataTable" ref="F37:N37" dt2D="0" dtr="1" r1="C8" ca="1"/>
        <v>505.68680958257852</v>
      </c>
      <c r="G37" s="227">
        <v>536.70354900528866</v>
      </c>
      <c r="H37" s="399">
        <v>567.72028842799875</v>
      </c>
      <c r="I37" s="399">
        <v>598.73702785070884</v>
      </c>
      <c r="J37" s="227">
        <v>629.75376727341893</v>
      </c>
      <c r="K37" s="227">
        <v>660.77050669612902</v>
      </c>
      <c r="L37" s="227">
        <v>691.78724611883911</v>
      </c>
      <c r="M37" s="227">
        <v>722.80398554154931</v>
      </c>
      <c r="N37" s="227">
        <v>753.8207249642594</v>
      </c>
    </row>
    <row r="40" spans="2:14" ht="12" customHeight="1">
      <c r="G40" s="14"/>
    </row>
    <row r="41" spans="2:14" ht="12" customHeight="1">
      <c r="G41" s="10"/>
    </row>
    <row r="42" spans="2:14" ht="12" customHeight="1">
      <c r="G42" s="14"/>
    </row>
    <row r="44" spans="2:14" ht="12" customHeight="1">
      <c r="G44" s="17"/>
    </row>
    <row r="60" spans="5:15" ht="12" customHeight="1">
      <c r="F60" s="31"/>
      <c r="G60" s="444" t="s">
        <v>391</v>
      </c>
      <c r="H60" s="444"/>
      <c r="I60" s="444"/>
      <c r="J60" s="444"/>
      <c r="K60" s="444"/>
      <c r="L60" s="444"/>
      <c r="M60" s="444"/>
      <c r="N60" s="444"/>
      <c r="O60" s="444"/>
    </row>
    <row r="61" spans="5:15" ht="12" customHeight="1">
      <c r="F61" s="430">
        <f ca="1">$C$35</f>
        <v>592.53367996616669</v>
      </c>
      <c r="G61" s="411">
        <v>0.105</v>
      </c>
      <c r="H61" s="411">
        <v>0.1</v>
      </c>
      <c r="I61" s="411">
        <v>9.5000000000000001E-2</v>
      </c>
      <c r="J61" s="411">
        <v>0.09</v>
      </c>
      <c r="K61" s="411">
        <f>0.085</f>
        <v>8.5000000000000006E-2</v>
      </c>
      <c r="L61" s="411">
        <v>0.08</v>
      </c>
      <c r="M61" s="411">
        <v>7.4999999999999997E-2</v>
      </c>
      <c r="N61" s="411">
        <v>7.0000000000000007E-2</v>
      </c>
      <c r="O61" s="411">
        <v>6.5000000000000002E-2</v>
      </c>
    </row>
    <row r="62" spans="5:15" ht="12" customHeight="1">
      <c r="E62" s="444" t="s">
        <v>392</v>
      </c>
      <c r="F62" s="143">
        <v>3.5</v>
      </c>
      <c r="G62" s="248">
        <f t="dataTable" ref="G62:O72" dt2D="1" dtr="1" r1="C4" r2="C7" ca="1"/>
        <v>712.51684141546195</v>
      </c>
      <c r="H62" s="248">
        <v>696.12724907620043</v>
      </c>
      <c r="I62" s="433">
        <v>680.22933952274821</v>
      </c>
      <c r="J62" s="433">
        <v>664.81153187774964</v>
      </c>
      <c r="K62" s="248">
        <v>649.86238644594755</v>
      </c>
      <c r="L62" s="248">
        <v>635.37060862397868</v>
      </c>
      <c r="M62" s="248">
        <v>621.32505248109965</v>
      </c>
      <c r="N62" s="248">
        <v>607.71472402336337</v>
      </c>
      <c r="O62" s="248">
        <v>594.5287841533974</v>
      </c>
    </row>
    <row r="63" spans="5:15" ht="12" customHeight="1">
      <c r="E63" s="444"/>
      <c r="F63" s="143">
        <v>3.25</v>
      </c>
      <c r="G63" s="435">
        <v>702.20291162261435</v>
      </c>
      <c r="H63" s="435">
        <v>686.67263538954455</v>
      </c>
      <c r="I63" s="435">
        <v>671.58409364761508</v>
      </c>
      <c r="J63" s="435">
        <v>656.92820854954789</v>
      </c>
      <c r="K63" s="435">
        <v>642.69593543648386</v>
      </c>
      <c r="L63" s="435">
        <v>628.87827073452604</v>
      </c>
      <c r="M63" s="435">
        <v>615.46625939803448</v>
      </c>
      <c r="N63" s="435">
        <v>602.45100191538097</v>
      </c>
      <c r="O63" s="435">
        <v>589.82366089243601</v>
      </c>
    </row>
    <row r="64" spans="5:15" ht="12" customHeight="1">
      <c r="E64" s="444"/>
      <c r="F64" s="429">
        <v>3</v>
      </c>
      <c r="G64" s="435">
        <v>690.16999353095889</v>
      </c>
      <c r="H64" s="435">
        <v>675.64225275511251</v>
      </c>
      <c r="I64" s="435">
        <v>661.49797345995955</v>
      </c>
      <c r="J64" s="435">
        <v>647.73099799997897</v>
      </c>
      <c r="K64" s="435">
        <v>634.33507592544288</v>
      </c>
      <c r="L64" s="435">
        <v>621.30387653016464</v>
      </c>
      <c r="M64" s="435">
        <v>608.63100080112531</v>
      </c>
      <c r="N64" s="435">
        <v>596.30999278940124</v>
      </c>
      <c r="O64" s="435">
        <v>584.33435042131453</v>
      </c>
    </row>
    <row r="65" spans="2:15" ht="12" customHeight="1">
      <c r="E65" s="444"/>
      <c r="F65" s="429">
        <v>2.5</v>
      </c>
      <c r="G65" s="435">
        <v>658.88440649265442</v>
      </c>
      <c r="H65" s="435">
        <v>646.96325790558944</v>
      </c>
      <c r="I65" s="435">
        <v>635.27406097205551</v>
      </c>
      <c r="J65" s="435">
        <v>623.81825057109995</v>
      </c>
      <c r="K65" s="435">
        <v>612.59684119673614</v>
      </c>
      <c r="L65" s="435">
        <v>601.61045159882508</v>
      </c>
      <c r="M65" s="435">
        <v>590.85932844916113</v>
      </c>
      <c r="N65" s="435">
        <v>580.34336906185433</v>
      </c>
      <c r="O65" s="435">
        <v>570.06214319639855</v>
      </c>
    </row>
    <row r="66" spans="2:15" ht="12" customHeight="1">
      <c r="E66" s="444"/>
      <c r="F66" s="429">
        <v>2.25</v>
      </c>
      <c r="G66" s="435">
        <v>638.02734846711803</v>
      </c>
      <c r="H66" s="435">
        <v>627.8439280059074</v>
      </c>
      <c r="I66" s="435">
        <v>617.7914526467863</v>
      </c>
      <c r="J66" s="435">
        <v>607.8764189518472</v>
      </c>
      <c r="K66" s="435">
        <v>598.10468471093156</v>
      </c>
      <c r="L66" s="435">
        <v>588.48150164459867</v>
      </c>
      <c r="M66" s="435">
        <v>579.01154688118515</v>
      </c>
      <c r="N66" s="435">
        <v>569.69895324348965</v>
      </c>
      <c r="O66" s="435">
        <v>560.54733837978779</v>
      </c>
    </row>
    <row r="67" spans="2:15" ht="12" customHeight="1">
      <c r="E67" s="444"/>
      <c r="F67" s="429">
        <v>2</v>
      </c>
      <c r="G67" s="435">
        <v>611.95602593519777</v>
      </c>
      <c r="H67" s="435">
        <v>603.94476563130479</v>
      </c>
      <c r="I67" s="435">
        <v>595.93819224019944</v>
      </c>
      <c r="J67" s="435">
        <v>587.94912942778137</v>
      </c>
      <c r="K67" s="435">
        <v>579.98948910367596</v>
      </c>
      <c r="L67" s="435">
        <v>572.07031420181568</v>
      </c>
      <c r="M67" s="435">
        <v>564.20181992121513</v>
      </c>
      <c r="N67" s="435">
        <v>556.39343347053386</v>
      </c>
      <c r="O67" s="435">
        <v>548.65383235902436</v>
      </c>
    </row>
    <row r="68" spans="2:15" ht="12" customHeight="1">
      <c r="E68" s="444"/>
      <c r="F68" s="429">
        <v>1.75</v>
      </c>
      <c r="G68" s="435">
        <v>578.43575410844312</v>
      </c>
      <c r="H68" s="435">
        <v>573.21727114967314</v>
      </c>
      <c r="I68" s="435">
        <v>567.84114314601663</v>
      </c>
      <c r="J68" s="435">
        <v>562.32832861112513</v>
      </c>
      <c r="K68" s="435">
        <v>556.69852332291885</v>
      </c>
      <c r="L68" s="435">
        <v>550.97021606109456</v>
      </c>
      <c r="M68" s="435">
        <v>545.16074240125351</v>
      </c>
      <c r="N68" s="435">
        <v>539.28633661959066</v>
      </c>
      <c r="O68" s="435">
        <v>533.36218176090017</v>
      </c>
    </row>
    <row r="69" spans="2:15" ht="12" customHeight="1">
      <c r="E69" s="444"/>
      <c r="F69" s="429">
        <v>1.5</v>
      </c>
      <c r="G69" s="435">
        <v>533.74205833943688</v>
      </c>
      <c r="H69" s="435">
        <v>532.24727850749719</v>
      </c>
      <c r="I69" s="435">
        <v>530.37841102043944</v>
      </c>
      <c r="J69" s="435">
        <v>528.16726085558366</v>
      </c>
      <c r="K69" s="435">
        <v>525.64390228190928</v>
      </c>
      <c r="L69" s="435">
        <v>522.83675187346648</v>
      </c>
      <c r="M69" s="435">
        <v>519.77263904130484</v>
      </c>
      <c r="N69" s="435">
        <v>516.47687415166627</v>
      </c>
      <c r="O69" s="435">
        <v>512.97331429673443</v>
      </c>
    </row>
    <row r="70" spans="2:15" ht="12" customHeight="1">
      <c r="E70" s="444"/>
      <c r="F70" s="429">
        <v>1.25</v>
      </c>
      <c r="G70" s="435">
        <v>471.170884262828</v>
      </c>
      <c r="H70" s="435">
        <v>474.88928880845106</v>
      </c>
      <c r="I70" s="435">
        <v>477.93058604463124</v>
      </c>
      <c r="J70" s="435">
        <v>480.34176599782558</v>
      </c>
      <c r="K70" s="435">
        <v>482.16743282449573</v>
      </c>
      <c r="L70" s="435">
        <v>483.4499020107873</v>
      </c>
      <c r="M70" s="435">
        <v>484.22929433737664</v>
      </c>
      <c r="N70" s="435">
        <v>484.54362669657229</v>
      </c>
      <c r="O70" s="435">
        <v>484.42889984690237</v>
      </c>
    </row>
    <row r="71" spans="2:15" ht="12" customHeight="1">
      <c r="E71" s="444"/>
      <c r="F71" s="429">
        <v>1</v>
      </c>
      <c r="G71" s="435">
        <v>377.31412314791487</v>
      </c>
      <c r="H71" s="435">
        <v>388.85230425988186</v>
      </c>
      <c r="I71" s="435">
        <v>399.25884858091916</v>
      </c>
      <c r="J71" s="435">
        <v>408.60352371118847</v>
      </c>
      <c r="K71" s="435">
        <v>416.95272863837567</v>
      </c>
      <c r="L71" s="435">
        <v>424.36962721676838</v>
      </c>
      <c r="M71" s="435">
        <v>430.91427728148437</v>
      </c>
      <c r="N71" s="435">
        <v>436.64375551393141</v>
      </c>
      <c r="O71" s="435">
        <v>441.61227817215439</v>
      </c>
    </row>
    <row r="72" spans="2:15" ht="12" customHeight="1">
      <c r="E72" s="444"/>
      <c r="F72" s="429">
        <v>0.75</v>
      </c>
      <c r="G72" s="435">
        <v>220.88618795639297</v>
      </c>
      <c r="H72" s="435">
        <v>245.45733001226657</v>
      </c>
      <c r="I72" s="435">
        <v>268.13928614139894</v>
      </c>
      <c r="J72" s="435">
        <v>289.03978656679317</v>
      </c>
      <c r="K72" s="435">
        <v>308.26155499484202</v>
      </c>
      <c r="L72" s="435">
        <v>325.90250256007027</v>
      </c>
      <c r="M72" s="435">
        <v>342.05591552166396</v>
      </c>
      <c r="N72" s="435">
        <v>356.8106368761965</v>
      </c>
      <c r="O72" s="435">
        <v>370.25124204757429</v>
      </c>
    </row>
    <row r="73" spans="2:15" ht="12" customHeight="1">
      <c r="E73" s="432"/>
    </row>
    <row r="75" spans="2:15" ht="12" customHeight="1">
      <c r="F75" s="31"/>
      <c r="G75" s="444" t="s">
        <v>391</v>
      </c>
      <c r="H75" s="444"/>
      <c r="I75" s="444"/>
      <c r="J75" s="444"/>
      <c r="K75" s="444"/>
      <c r="L75" s="444"/>
      <c r="M75" s="444"/>
      <c r="N75" s="444"/>
      <c r="O75" s="444"/>
    </row>
    <row r="76" spans="2:15" ht="12" customHeight="1">
      <c r="F76" s="430">
        <f ca="1">$C$35</f>
        <v>592.53367996616669</v>
      </c>
      <c r="G76" s="411">
        <v>0.105</v>
      </c>
      <c r="H76" s="411">
        <v>0.1</v>
      </c>
      <c r="I76" s="411">
        <v>9.5000000000000001E-2</v>
      </c>
      <c r="J76" s="411">
        <v>0.09</v>
      </c>
      <c r="K76" s="411">
        <f>0.085</f>
        <v>8.5000000000000006E-2</v>
      </c>
      <c r="L76" s="411">
        <v>0.08</v>
      </c>
      <c r="M76" s="411">
        <v>7.4999999999999997E-2</v>
      </c>
      <c r="N76" s="411">
        <v>7.0000000000000007E-2</v>
      </c>
      <c r="O76" s="411">
        <v>6.5000000000000002E-2</v>
      </c>
    </row>
    <row r="77" spans="2:15" ht="12" customHeight="1">
      <c r="E77" s="444" t="s">
        <v>8</v>
      </c>
      <c r="F77" s="411">
        <v>8.5000000000000006E-2</v>
      </c>
      <c r="G77" s="435">
        <f t="dataTable" ref="G77:O85" dt2D="1" dtr="1" r1="C4" r2="C5" ca="1"/>
        <v>667.9409681416123</v>
      </c>
      <c r="H77" s="248">
        <v>657.22441898978013</v>
      </c>
      <c r="I77" s="433">
        <v>646.62577024999007</v>
      </c>
      <c r="J77" s="433">
        <v>636.15350526320412</v>
      </c>
      <c r="K77" s="248">
        <v>625.81534498677559</v>
      </c>
      <c r="L77" s="248">
        <v>615.61828624592306</v>
      </c>
      <c r="M77" s="248">
        <v>605.56863856375219</v>
      </c>
      <c r="N77" s="248">
        <v>595.67205961082834</v>
      </c>
      <c r="O77" s="248">
        <v>585.93358931435114</v>
      </c>
    </row>
    <row r="78" spans="2:15" ht="12" customHeight="1">
      <c r="E78" s="444"/>
      <c r="F78" s="411">
        <f>AVERAGE(F79,F77)</f>
        <v>8.8224999999999998E-2</v>
      </c>
      <c r="G78" s="435">
        <v>632.94675028244887</v>
      </c>
      <c r="H78" s="435">
        <v>623.20069060927756</v>
      </c>
      <c r="I78" s="435">
        <v>613.55983892352629</v>
      </c>
      <c r="J78" s="435">
        <v>604.03199106651198</v>
      </c>
      <c r="K78" s="435">
        <v>594.62424777901253</v>
      </c>
      <c r="L78" s="435">
        <v>585.34304949071259</v>
      </c>
      <c r="M78" s="435">
        <v>576.1942098185873</v>
      </c>
      <c r="N78" s="435">
        <v>567.18294781143504</v>
      </c>
      <c r="O78" s="435">
        <v>558.31391897690776</v>
      </c>
    </row>
    <row r="79" spans="2:15" ht="12" customHeight="1">
      <c r="B79" s="432"/>
      <c r="C79" s="434"/>
      <c r="E79" s="444"/>
      <c r="F79" s="411">
        <f>AVERAGE(F81,F77)</f>
        <v>9.1450000000000004E-2</v>
      </c>
      <c r="G79" s="435">
        <v>602.40168044912821</v>
      </c>
      <c r="H79" s="435">
        <v>593.49862530884013</v>
      </c>
      <c r="I79" s="435">
        <v>584.68981767461628</v>
      </c>
      <c r="J79" s="435">
        <v>575.98245427254642</v>
      </c>
      <c r="K79" s="435">
        <v>567.3830951641537</v>
      </c>
      <c r="L79" s="435">
        <v>558.8976955322438</v>
      </c>
      <c r="M79" s="435">
        <v>550.53163628875097</v>
      </c>
      <c r="N79" s="435">
        <v>542.28975353850183</v>
      </c>
      <c r="O79" s="435">
        <v>534.17636693203212</v>
      </c>
    </row>
    <row r="80" spans="2:15" ht="12" customHeight="1">
      <c r="B80" s="432"/>
      <c r="C80" s="408"/>
      <c r="E80" s="444"/>
      <c r="F80" s="411">
        <f>AVERAGE(F81,F79)</f>
        <v>9.4675000000000009E-2</v>
      </c>
      <c r="G80" s="435">
        <v>575.51677845651875</v>
      </c>
      <c r="H80" s="435">
        <v>567.35196177141825</v>
      </c>
      <c r="I80" s="435">
        <v>559.27185322495438</v>
      </c>
      <c r="J80" s="435">
        <v>551.28312312469438</v>
      </c>
      <c r="K80" s="435">
        <v>543.39185627993254</v>
      </c>
      <c r="L80" s="435">
        <v>535.60358116051736</v>
      </c>
      <c r="M80" s="435">
        <v>527.92329797649688</v>
      </c>
      <c r="N80" s="435">
        <v>520.35550570962789</v>
      </c>
      <c r="O80" s="435">
        <v>512.90422812708118</v>
      </c>
    </row>
    <row r="81" spans="2:15" ht="12" customHeight="1">
      <c r="B81" s="432"/>
      <c r="C81" s="408"/>
      <c r="E81" s="444"/>
      <c r="F81" s="411">
        <f>AVERAGE(F85,F77)</f>
        <v>9.7900000000000001E-2</v>
      </c>
      <c r="G81" s="435">
        <v>551.67889943474893</v>
      </c>
      <c r="H81" s="435">
        <v>544.16520728196633</v>
      </c>
      <c r="I81" s="435">
        <v>536.72786358328779</v>
      </c>
      <c r="J81" s="435">
        <v>529.37307273311717</v>
      </c>
      <c r="K81" s="435">
        <v>522.10649874979117</v>
      </c>
      <c r="L81" s="435">
        <v>514.93329212036303</v>
      </c>
      <c r="M81" s="435">
        <v>507.85811565319318</v>
      </c>
      <c r="N81" s="435">
        <v>500.88516936686727</v>
      </c>
      <c r="O81" s="435">
        <v>494.01821444330278</v>
      </c>
    </row>
    <row r="82" spans="2:15" ht="12" customHeight="1">
      <c r="B82" s="432"/>
      <c r="C82" s="408"/>
      <c r="E82" s="444"/>
      <c r="F82" s="411">
        <f>AVERAGE(F83,F81)</f>
        <v>0.10112499999999999</v>
      </c>
      <c r="G82" s="435">
        <v>530.40434602482105</v>
      </c>
      <c r="H82" s="435">
        <v>523.46858671412167</v>
      </c>
      <c r="I82" s="435">
        <v>516.60180551031272</v>
      </c>
      <c r="J82" s="435">
        <v>509.80979178262686</v>
      </c>
      <c r="K82" s="435">
        <v>503.09783456893967</v>
      </c>
      <c r="L82" s="435">
        <v>496.47074736933331</v>
      </c>
      <c r="M82" s="435">
        <v>489.93289202452604</v>
      </c>
      <c r="N82" s="435">
        <v>483.48820170544644</v>
      </c>
      <c r="O82" s="435">
        <v>477.14020303963292</v>
      </c>
    </row>
    <row r="83" spans="2:15" ht="12" customHeight="1">
      <c r="B83" s="432"/>
      <c r="C83" s="408"/>
      <c r="E83" s="444"/>
      <c r="F83" s="411">
        <f>AVERAGE(F81,F85)</f>
        <v>0.10435</v>
      </c>
      <c r="G83" s="435">
        <v>511.3064294226499</v>
      </c>
      <c r="H83" s="435">
        <v>504.88653838658968</v>
      </c>
      <c r="I83" s="435">
        <v>498.52909238142354</v>
      </c>
      <c r="J83" s="435">
        <v>492.23950895079491</v>
      </c>
      <c r="K83" s="435">
        <v>486.02274104670823</v>
      </c>
      <c r="L83" s="435">
        <v>479.88329999461752</v>
      </c>
      <c r="M83" s="435">
        <v>473.82527761202391</v>
      </c>
      <c r="N83" s="435">
        <v>467.85236750486871</v>
      </c>
      <c r="O83" s="435">
        <v>461.96788556545272</v>
      </c>
    </row>
    <row r="84" spans="2:15" ht="12" customHeight="1">
      <c r="B84" s="432"/>
      <c r="C84" s="408"/>
      <c r="E84" s="444"/>
      <c r="F84" s="411">
        <f>AVERAGE(F85,F83)</f>
        <v>0.107575</v>
      </c>
      <c r="G84" s="435">
        <v>494.07231933159522</v>
      </c>
      <c r="H84" s="435">
        <v>488.11523113990535</v>
      </c>
      <c r="I84" s="435">
        <v>482.21476924888822</v>
      </c>
      <c r="J84" s="435">
        <v>476.37601635640402</v>
      </c>
      <c r="K84" s="435">
        <v>470.60362262813987</v>
      </c>
      <c r="L84" s="435">
        <v>464.90182702456167</v>
      </c>
      <c r="M84" s="435">
        <v>459.27447784282595</v>
      </c>
      <c r="N84" s="435">
        <v>453.72505249615972</v>
      </c>
      <c r="O84" s="435">
        <v>448.25667655269342</v>
      </c>
    </row>
    <row r="85" spans="2:15" ht="12" customHeight="1">
      <c r="B85" s="432"/>
      <c r="C85" s="408"/>
      <c r="E85" s="444"/>
      <c r="F85" s="427">
        <v>0.1108</v>
      </c>
      <c r="G85" s="435">
        <v>478.44622099736142</v>
      </c>
      <c r="H85" s="435">
        <v>472.90622616164092</v>
      </c>
      <c r="I85" s="435">
        <v>467.41765281640545</v>
      </c>
      <c r="J85" s="435">
        <v>461.98528070788228</v>
      </c>
      <c r="K85" s="435">
        <v>456.61348593998343</v>
      </c>
      <c r="L85" s="435">
        <v>451.30626082696841</v>
      </c>
      <c r="M85" s="435">
        <v>446.06723301633605</v>
      </c>
      <c r="N85" s="435">
        <v>440.89968390284679</v>
      </c>
      <c r="O85" s="435">
        <v>435.8065663540948</v>
      </c>
    </row>
    <row r="86" spans="2:15" ht="12" customHeight="1">
      <c r="B86" s="432"/>
      <c r="C86" s="408"/>
      <c r="E86" s="432"/>
      <c r="F86" s="431"/>
    </row>
    <row r="87" spans="2:15" ht="12" customHeight="1">
      <c r="B87" s="432"/>
      <c r="C87" s="408"/>
      <c r="E87" s="432"/>
      <c r="F87" s="431"/>
    </row>
    <row r="88" spans="2:15" ht="12" customHeight="1">
      <c r="F88" s="31"/>
      <c r="G88" s="444" t="s">
        <v>391</v>
      </c>
      <c r="H88" s="444"/>
      <c r="I88" s="444"/>
      <c r="J88" s="444"/>
      <c r="K88" s="444"/>
      <c r="L88" s="444"/>
      <c r="M88" s="444"/>
      <c r="N88" s="444"/>
      <c r="O88" s="444"/>
    </row>
    <row r="89" spans="2:15" ht="12" customHeight="1">
      <c r="F89" s="430">
        <f ca="1">$C$35</f>
        <v>592.53367996616669</v>
      </c>
      <c r="G89" s="411">
        <v>0.3</v>
      </c>
      <c r="H89" s="411">
        <v>0.25</v>
      </c>
      <c r="I89" s="411">
        <v>0.2</v>
      </c>
      <c r="J89" s="411">
        <v>0.15</v>
      </c>
      <c r="K89" s="411">
        <v>0.1</v>
      </c>
      <c r="L89" s="411">
        <v>8.5000000000000006E-2</v>
      </c>
      <c r="M89" s="411">
        <v>0.08</v>
      </c>
      <c r="N89" s="411">
        <v>7.0000000000000007E-2</v>
      </c>
      <c r="O89" s="411">
        <v>6.5000000000000002E-2</v>
      </c>
    </row>
    <row r="90" spans="2:15" ht="12" customHeight="1">
      <c r="E90" s="444" t="s">
        <v>385</v>
      </c>
      <c r="F90" s="411">
        <v>0.23</v>
      </c>
      <c r="G90" s="445">
        <f t="dataTable" ref="G90:O98" dt2D="1" dtr="1" r1="C4" r2="C8" ca="1"/>
        <v>1860.6194775135793</v>
      </c>
      <c r="H90" s="446">
        <v>1540.0647949417678</v>
      </c>
      <c r="I90" s="445">
        <v>1251.1088870347335</v>
      </c>
      <c r="J90" s="435">
        <v>1006.1557571498564</v>
      </c>
      <c r="K90" s="447">
        <v>807.82947943615557</v>
      </c>
      <c r="L90" s="447">
        <v>757.06799199841578</v>
      </c>
      <c r="M90" s="447">
        <v>740.99972505985306</v>
      </c>
      <c r="N90" s="447">
        <v>710.10726820434706</v>
      </c>
      <c r="O90" s="447">
        <v>695.27101239117758</v>
      </c>
    </row>
    <row r="91" spans="2:15" ht="12" customHeight="1">
      <c r="E91" s="444"/>
      <c r="F91" s="411">
        <v>0.22</v>
      </c>
      <c r="G91" s="445">
        <v>1673.811604493209</v>
      </c>
      <c r="H91" s="445">
        <v>1415.1661739656211</v>
      </c>
      <c r="I91" s="445">
        <v>1168.3769588598389</v>
      </c>
      <c r="J91" s="435">
        <v>951.77920400353662</v>
      </c>
      <c r="K91" s="435">
        <v>772.27668397912396</v>
      </c>
      <c r="L91" s="435">
        <v>725.78547617249387</v>
      </c>
      <c r="M91" s="435">
        <v>711.02368386213982</v>
      </c>
      <c r="N91" s="435">
        <v>682.58223204931517</v>
      </c>
      <c r="O91" s="435">
        <v>668.89472482497945</v>
      </c>
    </row>
    <row r="92" spans="2:15" ht="12" customHeight="1">
      <c r="E92" s="444"/>
      <c r="F92" s="411">
        <v>0.21</v>
      </c>
      <c r="G92" s="445">
        <v>1487.0037314728386</v>
      </c>
      <c r="H92" s="445">
        <v>1290.2675529894748</v>
      </c>
      <c r="I92" s="445">
        <v>1085.6450306849447</v>
      </c>
      <c r="J92" s="435">
        <v>897.40265085721637</v>
      </c>
      <c r="K92" s="435">
        <v>736.72388852209258</v>
      </c>
      <c r="L92" s="435">
        <v>694.50296034657208</v>
      </c>
      <c r="M92" s="435">
        <v>681.04764266442669</v>
      </c>
      <c r="N92" s="435">
        <v>655.05719589428338</v>
      </c>
      <c r="O92" s="435">
        <v>642.51843725878143</v>
      </c>
    </row>
    <row r="93" spans="2:15" ht="12" customHeight="1">
      <c r="E93" s="444"/>
      <c r="F93" s="411">
        <v>0.2</v>
      </c>
      <c r="G93" s="445">
        <v>1300.1958584524682</v>
      </c>
      <c r="H93" s="445">
        <v>1165.3689320133287</v>
      </c>
      <c r="I93" s="435">
        <v>1002.9131025100502</v>
      </c>
      <c r="J93" s="435">
        <v>843.02609771089647</v>
      </c>
      <c r="K93" s="435">
        <v>701.17109306506109</v>
      </c>
      <c r="L93" s="435">
        <v>663.22044452065029</v>
      </c>
      <c r="M93" s="435">
        <v>651.07160146671356</v>
      </c>
      <c r="N93" s="435">
        <v>627.53215973925137</v>
      </c>
      <c r="O93" s="435">
        <v>616.1421496925833</v>
      </c>
    </row>
    <row r="94" spans="2:15" ht="12" customHeight="1">
      <c r="E94" s="444"/>
      <c r="F94" s="411">
        <v>0.19</v>
      </c>
      <c r="G94" s="445">
        <v>1113.3879854320974</v>
      </c>
      <c r="H94" s="445">
        <v>1040.4703110371815</v>
      </c>
      <c r="I94" s="435">
        <v>920.18117433515556</v>
      </c>
      <c r="J94" s="435">
        <v>788.64954456457644</v>
      </c>
      <c r="K94" s="435">
        <v>665.61829760802982</v>
      </c>
      <c r="L94" s="435">
        <v>631.9379286947285</v>
      </c>
      <c r="M94" s="435">
        <v>621.09556026900032</v>
      </c>
      <c r="N94" s="435">
        <v>600.00712358421947</v>
      </c>
      <c r="O94" s="435">
        <v>589.76586212638517</v>
      </c>
    </row>
    <row r="95" spans="2:15" ht="12" customHeight="1">
      <c r="E95" s="444"/>
      <c r="F95" s="411">
        <v>0.18</v>
      </c>
      <c r="G95" s="435">
        <v>926.58011241172687</v>
      </c>
      <c r="H95" s="435">
        <v>915.57169006103504</v>
      </c>
      <c r="I95" s="435">
        <v>837.4492461602614</v>
      </c>
      <c r="J95" s="435">
        <v>734.2729914182562</v>
      </c>
      <c r="K95" s="435">
        <v>630.06550215099833</v>
      </c>
      <c r="L95" s="435">
        <v>600.65541286880648</v>
      </c>
      <c r="M95" s="435">
        <v>591.11951907128707</v>
      </c>
      <c r="N95" s="435">
        <v>572.48208742918757</v>
      </c>
      <c r="O95" s="435">
        <v>563.38957456018704</v>
      </c>
    </row>
    <row r="96" spans="2:15" ht="12" customHeight="1">
      <c r="E96" s="444"/>
      <c r="F96" s="411">
        <v>0.17</v>
      </c>
      <c r="G96" s="435">
        <v>739.77223939135672</v>
      </c>
      <c r="H96" s="435">
        <v>790.67306908488888</v>
      </c>
      <c r="I96" s="435">
        <v>754.71731798536666</v>
      </c>
      <c r="J96" s="435">
        <v>679.89643827193629</v>
      </c>
      <c r="K96" s="435">
        <v>594.51270669396683</v>
      </c>
      <c r="L96" s="435">
        <v>569.37289704288492</v>
      </c>
      <c r="M96" s="435">
        <v>561.14347787357383</v>
      </c>
      <c r="N96" s="435">
        <v>544.95705127415567</v>
      </c>
      <c r="O96" s="435">
        <v>537.01328699398914</v>
      </c>
    </row>
    <row r="97" spans="5:15" ht="12" customHeight="1">
      <c r="E97" s="444"/>
      <c r="F97" s="411">
        <v>0.16</v>
      </c>
      <c r="G97" s="435">
        <v>552.96436637098566</v>
      </c>
      <c r="H97" s="435">
        <v>665.77444810874181</v>
      </c>
      <c r="I97" s="435">
        <v>671.98538981047238</v>
      </c>
      <c r="J97" s="435">
        <v>625.51988512561616</v>
      </c>
      <c r="K97" s="435">
        <v>558.95991123693545</v>
      </c>
      <c r="L97" s="435">
        <v>538.09038121696312</v>
      </c>
      <c r="M97" s="435">
        <v>531.16743667586081</v>
      </c>
      <c r="N97" s="435">
        <v>517.43201511912378</v>
      </c>
      <c r="O97" s="435">
        <v>510.6369994277909</v>
      </c>
    </row>
    <row r="98" spans="5:15" ht="12" customHeight="1">
      <c r="E98" s="444"/>
      <c r="F98" s="411">
        <v>0.15</v>
      </c>
      <c r="G98" s="435">
        <v>366.15649335061482</v>
      </c>
      <c r="H98" s="435">
        <v>540.87582713259508</v>
      </c>
      <c r="I98" s="435">
        <v>589.25346163557776</v>
      </c>
      <c r="J98" s="435">
        <v>571.14333197929591</v>
      </c>
      <c r="K98" s="435">
        <v>523.40711577990396</v>
      </c>
      <c r="L98" s="435">
        <v>506.80786539104122</v>
      </c>
      <c r="M98" s="435">
        <v>501.19139547814768</v>
      </c>
      <c r="N98" s="435">
        <v>489.90697896409176</v>
      </c>
      <c r="O98" s="435">
        <v>484.26071186159288</v>
      </c>
    </row>
  </sheetData>
  <mergeCells count="11">
    <mergeCell ref="B10:M10"/>
    <mergeCell ref="F23:N23"/>
    <mergeCell ref="F27:N27"/>
    <mergeCell ref="F31:N31"/>
    <mergeCell ref="E77:E85"/>
    <mergeCell ref="G88:O88"/>
    <mergeCell ref="E90:E98"/>
    <mergeCell ref="F35:N35"/>
    <mergeCell ref="G60:O60"/>
    <mergeCell ref="E62:E72"/>
    <mergeCell ref="G75:O75"/>
  </mergeCells>
  <pageMargins left="0.7" right="0.7" top="0.75" bottom="0.75" header="0.3" footer="0.3"/>
  <pageSetup paperSize="9"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Cover</vt:lpstr>
      <vt:lpstr>About</vt:lpstr>
      <vt:lpstr>Narrative</vt:lpstr>
      <vt:lpstr>Index</vt:lpstr>
      <vt:lpstr>Risk Free Rate</vt:lpstr>
      <vt:lpstr>Equity Risk Premium</vt:lpstr>
      <vt:lpstr>Beta</vt:lpstr>
      <vt:lpstr>Cost of Equity &amp; Debt</vt:lpstr>
      <vt:lpstr>WACC</vt:lpstr>
      <vt:lpstr>Cash Flows</vt:lpstr>
      <vt:lpstr>EBIT &amp; Operating Lease</vt:lpstr>
      <vt:lpstr>EBIT &amp; Advertising Expense</vt:lpstr>
      <vt:lpstr>Net CapEx</vt:lpstr>
      <vt:lpstr>Working Capital Changes</vt:lpstr>
      <vt:lpstr>FCFF &amp; FCFE</vt:lpstr>
      <vt:lpstr>Growth Rate &amp; TV</vt:lpstr>
      <vt:lpstr>Expected Growth Rate</vt:lpstr>
      <vt:lpstr>Future Cashflows (10 Yrs)</vt:lpstr>
      <vt:lpstr>Terminal Value</vt:lpstr>
      <vt:lpstr>Road to Fair Value of Share</vt:lpstr>
      <vt:lpstr>Cash &amp; Marketable Securities</vt:lpstr>
      <vt:lpstr>Value of Cross Holdings</vt:lpstr>
      <vt:lpstr>Trent HyperMarket Pvt Ltd</vt:lpstr>
      <vt:lpstr>Massimo Dutti Pvt Ltd</vt:lpstr>
      <vt:lpstr>Inditex Retail Pvt Ltd</vt:lpstr>
      <vt:lpstr>Fair Value of Share</vt:lpstr>
      <vt:lpstr>Sensitivity Analysis</vt:lpstr>
      <vt:lpstr>'Sensitivity Analysis'!Print_Area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2022-07-14T09:24:20Z</dcterms:modified>
</cp:coreProperties>
</file>