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6.xml" ContentType="application/vnd.openxmlformats-officedocument.drawingml.chart+xml"/>
  <Override PartName="/xl/drawings/drawing5.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6.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updateLinks="never" codeName="DieseArbeitsmappe" defaultThemeVersion="124226"/>
  <mc:AlternateContent xmlns:mc="http://schemas.openxmlformats.org/markup-compatibility/2006">
    <mc:Choice Requires="x15">
      <x15ac:absPath xmlns:x15ac="http://schemas.microsoft.com/office/spreadsheetml/2010/11/ac" url="D:\Zustandsgleichungen\Trend_Repository\trunk\TREND 5.0\"/>
    </mc:Choice>
  </mc:AlternateContent>
  <xr:revisionPtr revIDLastSave="0" documentId="13_ncr:1_{95FE6B54-9120-404F-BC24-9E4B4534A064}" xr6:coauthVersionLast="36" xr6:coauthVersionMax="36" xr10:uidLastSave="{00000000-0000-0000-0000-000000000000}"/>
  <bookViews>
    <workbookView xWindow="0" yWindow="0" windowWidth="28800" windowHeight="12225" tabRatio="661" xr2:uid="{00000000-000D-0000-FFFF-FFFF00000000}"/>
  </bookViews>
  <sheets>
    <sheet name="Properties" sheetId="1" r:id="rId1"/>
    <sheet name="Phase envelope" sheetId="3" r:id="rId2"/>
    <sheet name="ptx Diagrams" sheetId="31" r:id="rId3"/>
    <sheet name="TernaryDiagEos" sheetId="97" r:id="rId4"/>
    <sheet name="HelpTernaryPlot" sheetId="98" r:id="rId5"/>
    <sheet name="Flash" sheetId="2" r:id="rId6"/>
    <sheet name="Flash Expert" sheetId="28" r:id="rId7"/>
    <sheet name="Flash3 Expert" sheetId="29" r:id="rId8"/>
    <sheet name="Composition" sheetId="8" r:id="rId9"/>
    <sheet name="Rankine Cycle" sheetId="7" r:id="rId10"/>
  </sheets>
  <externalReferences>
    <externalReference r:id="rId11"/>
    <externalReference r:id="rId12"/>
  </externalReferences>
  <definedNames>
    <definedName name="Composition" localSheetId="0">Properties!$B$13:$B$32</definedName>
    <definedName name="DiffRoundPrecision" comment="Used in formulae on the &quot;diff&quot; sheets to account for precision differences/errors (which occur between Excel versions in 32bit and 64bit)">#REF!</definedName>
    <definedName name="DTminCond" localSheetId="9">'Rankine Cycle'!$B$21</definedName>
    <definedName name="DTminCond">'[1]Rankine Cycle'!$C$21</definedName>
    <definedName name="DTminHG" localSheetId="9">'Rankine Cycle'!$B$19</definedName>
    <definedName name="DTPinch" localSheetId="9">'Rankine Cycle'!$B$20</definedName>
    <definedName name="DTSAT" localSheetId="9">'Rankine Cycle'!$B$16</definedName>
    <definedName name="EOSPath" localSheetId="0">Properties!$B$4</definedName>
    <definedName name="EqType" localSheetId="0">Properties!$C$13:$C$32</definedName>
    <definedName name="ETAsT" localSheetId="9">'Rankine Cycle'!$B$14</definedName>
    <definedName name="ETAsT">'[1]Rankine Cycle'!$C$14</definedName>
    <definedName name="ETAsV" localSheetId="9">'Rankine Cycle'!$B$15</definedName>
    <definedName name="ETAsV">'[1]Rankine Cycle'!$C$15</definedName>
    <definedName name="Fluid" localSheetId="9">'Rankine Cycle'!$A$24</definedName>
    <definedName name="Fluids" localSheetId="0">Properties!$A$13:$A$32</definedName>
    <definedName name="InputCode" localSheetId="0">Properties!$B$6</definedName>
    <definedName name="MF" localSheetId="9">'Rankine Cycle'!$B$9</definedName>
    <definedName name="MF">'[1]Rankine Cycle'!$C$9</definedName>
    <definedName name="MFluid" localSheetId="9">'Rankine Cycle'!$F$63</definedName>
    <definedName name="MixRules" localSheetId="0">Properties!$D$13</definedName>
    <definedName name="Pcond" localSheetId="9">'Rankine Cycle'!$F$62</definedName>
    <definedName name="Pcond">'[1]Rankine Cycle'!$G$62</definedName>
    <definedName name="PFG" localSheetId="9">'Rankine Cycle'!$B$10</definedName>
    <definedName name="PFG">'[1]Rankine Cycle'!$C$10</definedName>
    <definedName name="Pmax" localSheetId="9">'Rankine Cycle'!$B$13</definedName>
    <definedName name="Prop1" localSheetId="0">Properties!$B$7</definedName>
    <definedName name="Prop2" localSheetId="0">Properties!$B$8</definedName>
    <definedName name="ShowErrorCode" localSheetId="0">Properties!$B$10</definedName>
    <definedName name="Tcool" localSheetId="9">'Rankine Cycle'!$B$7</definedName>
    <definedName name="Tcool">'[1]Rankine Cycle'!$C$7</definedName>
    <definedName name="TFGMAX" localSheetId="9">'Rankine Cycle'!$B$8</definedName>
    <definedName name="TFGMAX">'[1]Rankine Cycle'!$C$8</definedName>
    <definedName name="Unit" localSheetId="0">Properties!$B$9</definedName>
  </definedNames>
  <calcPr calcId="191029"/>
</workbook>
</file>

<file path=xl/calcChain.xml><?xml version="1.0" encoding="utf-8"?>
<calcChain xmlns="http://schemas.openxmlformats.org/spreadsheetml/2006/main">
  <c r="C18" i="29" l="1"/>
  <c r="D18" i="29"/>
  <c r="E18" i="29"/>
  <c r="D18" i="28"/>
  <c r="C18" i="28"/>
  <c r="C8" i="1"/>
  <c r="C7" i="97"/>
  <c r="C7" i="1"/>
  <c r="C6" i="97"/>
  <c r="J77" i="1"/>
  <c r="J42" i="1"/>
  <c r="C8" i="2"/>
  <c r="J14" i="1"/>
  <c r="C8" i="29"/>
  <c r="H4" i="97" a="1"/>
  <c r="C8" i="28"/>
  <c r="K4" i="97" l="1"/>
  <c r="AA4" i="97"/>
  <c r="R5" i="97"/>
  <c r="I6" i="97"/>
  <c r="Y6" i="97"/>
  <c r="P7" i="97"/>
  <c r="AF7" i="97"/>
  <c r="W8" i="97"/>
  <c r="N9" i="97"/>
  <c r="AD9" i="97"/>
  <c r="U10" i="97"/>
  <c r="H4" i="97"/>
  <c r="X4" i="97"/>
  <c r="O5" i="97"/>
  <c r="AE5" i="97"/>
  <c r="V6" i="97"/>
  <c r="M7" i="97"/>
  <c r="AC7" i="97"/>
  <c r="T8" i="97"/>
  <c r="K9" i="97"/>
  <c r="AA9" i="97"/>
  <c r="R10" i="97"/>
  <c r="I11" i="97"/>
  <c r="Y11" i="97"/>
  <c r="P12" i="97"/>
  <c r="AF12" i="97"/>
  <c r="W13" i="97"/>
  <c r="N14" i="97"/>
  <c r="AD14" i="97"/>
  <c r="U15" i="97"/>
  <c r="L16" i="97"/>
  <c r="AB16" i="97"/>
  <c r="S17" i="97"/>
  <c r="U4" i="97"/>
  <c r="L5" i="97"/>
  <c r="AB5" i="97"/>
  <c r="S6" i="97"/>
  <c r="J7" i="97"/>
  <c r="Z7" i="97"/>
  <c r="Q8" i="97"/>
  <c r="H9" i="97"/>
  <c r="X9" i="97"/>
  <c r="O10" i="97"/>
  <c r="AE10" i="97"/>
  <c r="V11" i="97"/>
  <c r="M12" i="97"/>
  <c r="AC12" i="97"/>
  <c r="T13" i="97"/>
  <c r="K14" i="97"/>
  <c r="AA14" i="97"/>
  <c r="R15" i="97"/>
  <c r="I16" i="97"/>
  <c r="Y16" i="97"/>
  <c r="P17" i="97"/>
  <c r="Q5" i="97"/>
  <c r="AE7" i="97"/>
  <c r="T10" i="97"/>
  <c r="J12" i="97"/>
  <c r="Q13" i="97"/>
  <c r="X14" i="97"/>
  <c r="AE15" i="97"/>
  <c r="M17" i="97"/>
  <c r="H18" i="97"/>
  <c r="X18" i="97"/>
  <c r="O19" i="97"/>
  <c r="AE19" i="97"/>
  <c r="V20" i="97"/>
  <c r="M21" i="97"/>
  <c r="AC21" i="97"/>
  <c r="T22" i="97"/>
  <c r="K23" i="97"/>
  <c r="AA23" i="97"/>
  <c r="R24" i="97"/>
  <c r="I25" i="97"/>
  <c r="Y25" i="97"/>
  <c r="AD4" i="97"/>
  <c r="S7" i="97"/>
  <c r="H10" i="97"/>
  <c r="AB11" i="97"/>
  <c r="J13" i="97"/>
  <c r="Q14" i="97"/>
  <c r="X15" i="97"/>
  <c r="AE16" i="97"/>
  <c r="AD17" i="97"/>
  <c r="U18" i="97"/>
  <c r="L19" i="97"/>
  <c r="AB19" i="97"/>
  <c r="O4" i="97"/>
  <c r="AE4" i="97"/>
  <c r="V5" i="97"/>
  <c r="M6" i="97"/>
  <c r="AC6" i="97"/>
  <c r="T7" i="97"/>
  <c r="K8" i="97"/>
  <c r="AA8" i="97"/>
  <c r="R9" i="97"/>
  <c r="I10" i="97"/>
  <c r="Y10" i="97"/>
  <c r="L4" i="97"/>
  <c r="AB4" i="97"/>
  <c r="S5" i="97"/>
  <c r="J6" i="97"/>
  <c r="Z6" i="97"/>
  <c r="Q7" i="97"/>
  <c r="H8" i="97"/>
  <c r="X8" i="97"/>
  <c r="O9" i="97"/>
  <c r="AE9" i="97"/>
  <c r="V10" i="97"/>
  <c r="M11" i="97"/>
  <c r="AC11" i="97"/>
  <c r="T12" i="97"/>
  <c r="K13" i="97"/>
  <c r="AA13" i="97"/>
  <c r="R14" i="97"/>
  <c r="I15" i="97"/>
  <c r="Y15" i="97"/>
  <c r="P16" i="97"/>
  <c r="AF16" i="97"/>
  <c r="I4" i="97"/>
  <c r="Y4" i="97"/>
  <c r="P5" i="97"/>
  <c r="AF5" i="97"/>
  <c r="W6" i="97"/>
  <c r="N7" i="97"/>
  <c r="AD7" i="97"/>
  <c r="U8" i="97"/>
  <c r="L9" i="97"/>
  <c r="AB9" i="97"/>
  <c r="S10" i="97"/>
  <c r="J11" i="97"/>
  <c r="Z11" i="97"/>
  <c r="Q12" i="97"/>
  <c r="H13" i="97"/>
  <c r="X13" i="97"/>
  <c r="O14" i="97"/>
  <c r="AE14" i="97"/>
  <c r="V15" i="97"/>
  <c r="M16" i="97"/>
  <c r="AC16" i="97"/>
  <c r="T17" i="97"/>
  <c r="H6" i="97"/>
  <c r="V8" i="97"/>
  <c r="K11" i="97"/>
  <c r="R12" i="97"/>
  <c r="Y13" i="97"/>
  <c r="AF14" i="97"/>
  <c r="N16" i="97"/>
  <c r="U17" i="97"/>
  <c r="L18" i="97"/>
  <c r="AB18" i="97"/>
  <c r="S19" i="97"/>
  <c r="J20" i="97"/>
  <c r="Z20" i="97"/>
  <c r="Q21" i="97"/>
  <c r="H22" i="97"/>
  <c r="X22" i="97"/>
  <c r="O23" i="97"/>
  <c r="AE23" i="97"/>
  <c r="V24" i="97"/>
  <c r="M25" i="97"/>
  <c r="AC25" i="97"/>
  <c r="U5" i="97"/>
  <c r="J8" i="97"/>
  <c r="X10" i="97"/>
  <c r="K12" i="97"/>
  <c r="R13" i="97"/>
  <c r="Y14" i="97"/>
  <c r="AF15" i="97"/>
  <c r="N17" i="97"/>
  <c r="I18" i="97"/>
  <c r="Y18" i="97"/>
  <c r="S4" i="97"/>
  <c r="J5" i="97"/>
  <c r="Z5" i="97"/>
  <c r="Q6" i="97"/>
  <c r="H7" i="97"/>
  <c r="X7" i="97"/>
  <c r="O8" i="97"/>
  <c r="AE8" i="97"/>
  <c r="V9" i="97"/>
  <c r="M10" i="97"/>
  <c r="AC10" i="97"/>
  <c r="P4" i="97"/>
  <c r="AF4" i="97"/>
  <c r="W5" i="97"/>
  <c r="N6" i="97"/>
  <c r="AD6" i="97"/>
  <c r="U7" i="97"/>
  <c r="L8" i="97"/>
  <c r="AB8" i="97"/>
  <c r="S9" i="97"/>
  <c r="J10" i="97"/>
  <c r="Z10" i="97"/>
  <c r="Q11" i="97"/>
  <c r="H12" i="97"/>
  <c r="X12" i="97"/>
  <c r="O13" i="97"/>
  <c r="AE13" i="97"/>
  <c r="V14" i="97"/>
  <c r="M15" i="97"/>
  <c r="AC15" i="97"/>
  <c r="T16" i="97"/>
  <c r="K17" i="97"/>
  <c r="M4" i="97"/>
  <c r="AC4" i="97"/>
  <c r="T5" i="97"/>
  <c r="K6" i="97"/>
  <c r="AA6" i="97"/>
  <c r="R7" i="97"/>
  <c r="I8" i="97"/>
  <c r="Y8" i="97"/>
  <c r="P9" i="97"/>
  <c r="AF9" i="97"/>
  <c r="W10" i="97"/>
  <c r="N11" i="97"/>
  <c r="AD11" i="97"/>
  <c r="U12" i="97"/>
  <c r="L13" i="97"/>
  <c r="AB13" i="97"/>
  <c r="S14" i="97"/>
  <c r="J15" i="97"/>
  <c r="Z15" i="97"/>
  <c r="Q16" i="97"/>
  <c r="H17" i="97"/>
  <c r="J4" i="97"/>
  <c r="X6" i="97"/>
  <c r="M9" i="97"/>
  <c r="S11" i="97"/>
  <c r="Z12" i="97"/>
  <c r="H14" i="97"/>
  <c r="O15" i="97"/>
  <c r="V16" i="97"/>
  <c r="Y17" i="97"/>
  <c r="P18" i="97"/>
  <c r="AF18" i="97"/>
  <c r="W19" i="97"/>
  <c r="N20" i="97"/>
  <c r="AD20" i="97"/>
  <c r="U21" i="97"/>
  <c r="L22" i="97"/>
  <c r="AB22" i="97"/>
  <c r="S23" i="97"/>
  <c r="J24" i="97"/>
  <c r="Z24" i="97"/>
  <c r="Q25" i="97"/>
  <c r="H26" i="97"/>
  <c r="L6" i="97"/>
  <c r="Z8" i="97"/>
  <c r="L11" i="97"/>
  <c r="S12" i="97"/>
  <c r="Z13" i="97"/>
  <c r="H15" i="97"/>
  <c r="O16" i="97"/>
  <c r="V17" i="97"/>
  <c r="M18" i="97"/>
  <c r="AC18" i="97"/>
  <c r="W4" i="97"/>
  <c r="L7" i="97"/>
  <c r="Z9" i="97"/>
  <c r="K5" i="97"/>
  <c r="Y7" i="97"/>
  <c r="N10" i="97"/>
  <c r="AB12" i="97"/>
  <c r="Q15" i="97"/>
  <c r="Q4" i="97"/>
  <c r="AE6" i="97"/>
  <c r="T9" i="97"/>
  <c r="I12" i="97"/>
  <c r="W14" i="97"/>
  <c r="L17" i="97"/>
  <c r="AA11" i="97"/>
  <c r="AD16" i="97"/>
  <c r="AA19" i="97"/>
  <c r="P22" i="97"/>
  <c r="AD24" i="97"/>
  <c r="Q9" i="97"/>
  <c r="P15" i="97"/>
  <c r="H19" i="97"/>
  <c r="AF19" i="97"/>
  <c r="W20" i="97"/>
  <c r="N21" i="97"/>
  <c r="AD21" i="97"/>
  <c r="U22" i="97"/>
  <c r="L23" i="97"/>
  <c r="AB23" i="97"/>
  <c r="S24" i="97"/>
  <c r="J25" i="97"/>
  <c r="Z25" i="97"/>
  <c r="Q26" i="97"/>
  <c r="H27" i="97"/>
  <c r="X27" i="97"/>
  <c r="N8" i="97"/>
  <c r="N12" i="97"/>
  <c r="AB14" i="97"/>
  <c r="Q17" i="97"/>
  <c r="Z18" i="97"/>
  <c r="H20" i="97"/>
  <c r="O21" i="97"/>
  <c r="V22" i="97"/>
  <c r="AC23" i="97"/>
  <c r="K25" i="97"/>
  <c r="O26" i="97"/>
  <c r="K27" i="97"/>
  <c r="AE27" i="97"/>
  <c r="V28" i="97"/>
  <c r="M29" i="97"/>
  <c r="AC29" i="97"/>
  <c r="T30" i="97"/>
  <c r="K31" i="97"/>
  <c r="AA31" i="97"/>
  <c r="R32" i="97"/>
  <c r="I33" i="97"/>
  <c r="Y33" i="97"/>
  <c r="P34" i="97"/>
  <c r="AF34" i="97"/>
  <c r="W35" i="97"/>
  <c r="N36" i="97"/>
  <c r="AD36" i="97"/>
  <c r="U37" i="97"/>
  <c r="L38" i="97"/>
  <c r="AB38" i="97"/>
  <c r="S39" i="97"/>
  <c r="J40" i="97"/>
  <c r="Z40" i="97"/>
  <c r="Q41" i="97"/>
  <c r="H42" i="97"/>
  <c r="X42" i="97"/>
  <c r="O43" i="97"/>
  <c r="AE43" i="97"/>
  <c r="V44" i="97"/>
  <c r="M45" i="97"/>
  <c r="AC45" i="97"/>
  <c r="T46" i="97"/>
  <c r="AC5" i="97"/>
  <c r="AF10" i="97"/>
  <c r="V13" i="97"/>
  <c r="K16" i="97"/>
  <c r="K18" i="97"/>
  <c r="R19" i="97"/>
  <c r="Y20" i="97"/>
  <c r="AF21" i="97"/>
  <c r="N23" i="97"/>
  <c r="N5" i="97"/>
  <c r="AB7" i="97"/>
  <c r="Q10" i="97"/>
  <c r="AA5" i="97"/>
  <c r="P8" i="97"/>
  <c r="AD10" i="97"/>
  <c r="S13" i="97"/>
  <c r="H16" i="97"/>
  <c r="H5" i="97"/>
  <c r="V7" i="97"/>
  <c r="K10" i="97"/>
  <c r="Y12" i="97"/>
  <c r="N15" i="97"/>
  <c r="Z4" i="97"/>
  <c r="I13" i="97"/>
  <c r="AC17" i="97"/>
  <c r="R20" i="97"/>
  <c r="AF22" i="97"/>
  <c r="U25" i="97"/>
  <c r="T11" i="97"/>
  <c r="W16" i="97"/>
  <c r="P19" i="97"/>
  <c r="K20" i="97"/>
  <c r="AA20" i="97"/>
  <c r="R21" i="97"/>
  <c r="I22" i="97"/>
  <c r="Y22" i="97"/>
  <c r="P23" i="97"/>
  <c r="AF23" i="97"/>
  <c r="W24" i="97"/>
  <c r="N25" i="97"/>
  <c r="AD25" i="97"/>
  <c r="U26" i="97"/>
  <c r="L27" i="97"/>
  <c r="R4" i="97"/>
  <c r="U9" i="97"/>
  <c r="AD12" i="97"/>
  <c r="S15" i="97"/>
  <c r="AA17" i="97"/>
  <c r="I19" i="97"/>
  <c r="P20" i="97"/>
  <c r="W21" i="97"/>
  <c r="AD22" i="97"/>
  <c r="L24" i="97"/>
  <c r="S25" i="97"/>
  <c r="T26" i="97"/>
  <c r="Q27" i="97"/>
  <c r="J28" i="97"/>
  <c r="Z28" i="97"/>
  <c r="Q29" i="97"/>
  <c r="H30" i="97"/>
  <c r="X30" i="97"/>
  <c r="O31" i="97"/>
  <c r="AE31" i="97"/>
  <c r="V32" i="97"/>
  <c r="M33" i="97"/>
  <c r="AC33" i="97"/>
  <c r="T34" i="97"/>
  <c r="K35" i="97"/>
  <c r="AA35" i="97"/>
  <c r="R36" i="97"/>
  <c r="I37" i="97"/>
  <c r="Y37" i="97"/>
  <c r="P38" i="97"/>
  <c r="AF38" i="97"/>
  <c r="W39" i="97"/>
  <c r="N40" i="97"/>
  <c r="AD40" i="97"/>
  <c r="U41" i="97"/>
  <c r="L42" i="97"/>
  <c r="AB42" i="97"/>
  <c r="S43" i="97"/>
  <c r="J44" i="97"/>
  <c r="Z44" i="97"/>
  <c r="Q45" i="97"/>
  <c r="H46" i="97"/>
  <c r="X46" i="97"/>
  <c r="K7" i="97"/>
  <c r="X11" i="97"/>
  <c r="M14" i="97"/>
  <c r="AA16" i="97"/>
  <c r="S18" i="97"/>
  <c r="Z19" i="97"/>
  <c r="H21" i="97"/>
  <c r="O22" i="97"/>
  <c r="V23" i="97"/>
  <c r="AD5" i="97"/>
  <c r="S8" i="97"/>
  <c r="H11" i="97"/>
  <c r="R6" i="97"/>
  <c r="AF8" i="97"/>
  <c r="U11" i="97"/>
  <c r="J14" i="97"/>
  <c r="X16" i="97"/>
  <c r="X5" i="97"/>
  <c r="M8" i="97"/>
  <c r="AA10" i="97"/>
  <c r="P13" i="97"/>
  <c r="AD15" i="97"/>
  <c r="O7" i="97"/>
  <c r="P14" i="97"/>
  <c r="T18" i="97"/>
  <c r="I21" i="97"/>
  <c r="W23" i="97"/>
  <c r="N4" i="97"/>
  <c r="AA12" i="97"/>
  <c r="Z17" i="97"/>
  <c r="T19" i="97"/>
  <c r="O20" i="97"/>
  <c r="AE20" i="97"/>
  <c r="V21" i="97"/>
  <c r="M22" i="97"/>
  <c r="AC22" i="97"/>
  <c r="T23" i="97"/>
  <c r="K24" i="97"/>
  <c r="AA24" i="97"/>
  <c r="R25" i="97"/>
  <c r="I26" i="97"/>
  <c r="Y26" i="97"/>
  <c r="P27" i="97"/>
  <c r="Y5" i="97"/>
  <c r="AB10" i="97"/>
  <c r="U13" i="97"/>
  <c r="J16" i="97"/>
  <c r="J18" i="97"/>
  <c r="Q19" i="97"/>
  <c r="X20" i="97"/>
  <c r="AE21" i="97"/>
  <c r="M23" i="97"/>
  <c r="T24" i="97"/>
  <c r="AA25" i="97"/>
  <c r="Z26" i="97"/>
  <c r="V27" i="97"/>
  <c r="N28" i="97"/>
  <c r="AD28" i="97"/>
  <c r="U29" i="97"/>
  <c r="L30" i="97"/>
  <c r="AB30" i="97"/>
  <c r="S31" i="97"/>
  <c r="J32" i="97"/>
  <c r="Z32" i="97"/>
  <c r="Q33" i="97"/>
  <c r="H34" i="97"/>
  <c r="X34" i="97"/>
  <c r="O35" i="97"/>
  <c r="AE35" i="97"/>
  <c r="V36" i="97"/>
  <c r="M37" i="97"/>
  <c r="AC37" i="97"/>
  <c r="T38" i="97"/>
  <c r="K39" i="97"/>
  <c r="AA39" i="97"/>
  <c r="R40" i="97"/>
  <c r="I41" i="97"/>
  <c r="Y41" i="97"/>
  <c r="P42" i="97"/>
  <c r="AF42" i="97"/>
  <c r="W43" i="97"/>
  <c r="N44" i="97"/>
  <c r="AD44" i="97"/>
  <c r="U45" i="97"/>
  <c r="L46" i="97"/>
  <c r="AB46" i="97"/>
  <c r="R8" i="97"/>
  <c r="O12" i="97"/>
  <c r="AC14" i="97"/>
  <c r="R17" i="97"/>
  <c r="AA18" i="97"/>
  <c r="I20" i="97"/>
  <c r="P21" i="97"/>
  <c r="W22" i="97"/>
  <c r="U6" i="97"/>
  <c r="J9" i="97"/>
  <c r="T4" i="97"/>
  <c r="I7" i="97"/>
  <c r="W9" i="97"/>
  <c r="L12" i="97"/>
  <c r="Z14" i="97"/>
  <c r="O17" i="97"/>
  <c r="O6" i="97"/>
  <c r="AC8" i="97"/>
  <c r="R11" i="97"/>
  <c r="AF13" i="97"/>
  <c r="U16" i="97"/>
  <c r="AC9" i="97"/>
  <c r="W15" i="97"/>
  <c r="K19" i="97"/>
  <c r="Y21" i="97"/>
  <c r="N24" i="97"/>
  <c r="AB6" i="97"/>
  <c r="I14" i="97"/>
  <c r="Q18" i="97"/>
  <c r="X19" i="97"/>
  <c r="S20" i="97"/>
  <c r="J21" i="97"/>
  <c r="Z21" i="97"/>
  <c r="Q22" i="97"/>
  <c r="H23" i="97"/>
  <c r="X23" i="97"/>
  <c r="O24" i="97"/>
  <c r="AE24" i="97"/>
  <c r="V25" i="97"/>
  <c r="M26" i="97"/>
  <c r="AC26" i="97"/>
  <c r="T27" i="97"/>
  <c r="AF6" i="97"/>
  <c r="W11" i="97"/>
  <c r="L14" i="97"/>
  <c r="Z16" i="97"/>
  <c r="R18" i="97"/>
  <c r="Y19" i="97"/>
  <c r="AF20" i="97"/>
  <c r="N22" i="97"/>
  <c r="U23" i="97"/>
  <c r="AB24" i="97"/>
  <c r="J26" i="97"/>
  <c r="AE26" i="97"/>
  <c r="AA27" i="97"/>
  <c r="R28" i="97"/>
  <c r="I29" i="97"/>
  <c r="Y29" i="97"/>
  <c r="P30" i="97"/>
  <c r="AF30" i="97"/>
  <c r="W31" i="97"/>
  <c r="N32" i="97"/>
  <c r="AD32" i="97"/>
  <c r="U33" i="97"/>
  <c r="L34" i="97"/>
  <c r="AB34" i="97"/>
  <c r="S35" i="97"/>
  <c r="J36" i="97"/>
  <c r="Z36" i="97"/>
  <c r="Q37" i="97"/>
  <c r="H38" i="97"/>
  <c r="X38" i="97"/>
  <c r="O39" i="97"/>
  <c r="AE39" i="97"/>
  <c r="V40" i="97"/>
  <c r="M41" i="97"/>
  <c r="AC41" i="97"/>
  <c r="T42" i="97"/>
  <c r="K43" i="97"/>
  <c r="AA43" i="97"/>
  <c r="R44" i="97"/>
  <c r="I45" i="97"/>
  <c r="Y45" i="97"/>
  <c r="P46" i="97"/>
  <c r="V4" i="97"/>
  <c r="Y9" i="97"/>
  <c r="AE12" i="97"/>
  <c r="T15" i="97"/>
  <c r="AB17" i="97"/>
  <c r="J19" i="97"/>
  <c r="Q20" i="97"/>
  <c r="X21" i="97"/>
  <c r="AE22" i="97"/>
  <c r="AD23" i="97"/>
  <c r="L25" i="97"/>
  <c r="P26" i="97"/>
  <c r="M27" i="97"/>
  <c r="AF27" i="97"/>
  <c r="W28" i="97"/>
  <c r="N29" i="97"/>
  <c r="AD29" i="97"/>
  <c r="U30" i="97"/>
  <c r="L31" i="97"/>
  <c r="AB31" i="97"/>
  <c r="S32" i="97"/>
  <c r="J33" i="97"/>
  <c r="Z33" i="97"/>
  <c r="Q34" i="97"/>
  <c r="H35" i="97"/>
  <c r="X35" i="97"/>
  <c r="O36" i="97"/>
  <c r="AE36" i="97"/>
  <c r="V37" i="97"/>
  <c r="M38" i="97"/>
  <c r="AC38" i="97"/>
  <c r="T39" i="97"/>
  <c r="K40" i="97"/>
  <c r="AA40" i="97"/>
  <c r="R41" i="97"/>
  <c r="I42" i="97"/>
  <c r="Y42" i="97"/>
  <c r="P43" i="97"/>
  <c r="AF43" i="97"/>
  <c r="W44" i="97"/>
  <c r="N45" i="97"/>
  <c r="AD45" i="97"/>
  <c r="U46" i="97"/>
  <c r="W7" i="97"/>
  <c r="T14" i="97"/>
  <c r="V18" i="97"/>
  <c r="K21" i="97"/>
  <c r="Y23" i="97"/>
  <c r="L26" i="97"/>
  <c r="AC27" i="97"/>
  <c r="K29" i="97"/>
  <c r="R30" i="97"/>
  <c r="Y31" i="97"/>
  <c r="AF32" i="97"/>
  <c r="N34" i="97"/>
  <c r="U35" i="97"/>
  <c r="AB36" i="97"/>
  <c r="J38" i="97"/>
  <c r="Q39" i="97"/>
  <c r="X40" i="97"/>
  <c r="AE41" i="97"/>
  <c r="M43" i="97"/>
  <c r="T44" i="97"/>
  <c r="AA45" i="97"/>
  <c r="AF46" i="97"/>
  <c r="W47" i="97"/>
  <c r="N48" i="97"/>
  <c r="AD48" i="97"/>
  <c r="U49" i="97"/>
  <c r="L50" i="97"/>
  <c r="AB50" i="97"/>
  <c r="S51" i="97"/>
  <c r="J52" i="97"/>
  <c r="Z52" i="97"/>
  <c r="Q53" i="97"/>
  <c r="H54" i="97"/>
  <c r="X54" i="97"/>
  <c r="O55" i="97"/>
  <c r="AE55" i="97"/>
  <c r="V56" i="97"/>
  <c r="M57" i="97"/>
  <c r="AC57" i="97"/>
  <c r="T58" i="97"/>
  <c r="K59" i="97"/>
  <c r="AA59" i="97"/>
  <c r="AF11" i="97"/>
  <c r="J17" i="97"/>
  <c r="AD19" i="97"/>
  <c r="S22" i="97"/>
  <c r="H25" i="97"/>
  <c r="J27" i="97"/>
  <c r="U28" i="97"/>
  <c r="AB29" i="97"/>
  <c r="J31" i="97"/>
  <c r="M24" i="97"/>
  <c r="T25" i="97"/>
  <c r="V26" i="97"/>
  <c r="R27" i="97"/>
  <c r="K28" i="97"/>
  <c r="AA28" i="97"/>
  <c r="R29" i="97"/>
  <c r="I30" i="97"/>
  <c r="Y30" i="97"/>
  <c r="P31" i="97"/>
  <c r="AF31" i="97"/>
  <c r="W32" i="97"/>
  <c r="N33" i="97"/>
  <c r="AD33" i="97"/>
  <c r="U34" i="97"/>
  <c r="L35" i="97"/>
  <c r="AB35" i="97"/>
  <c r="S36" i="97"/>
  <c r="J37" i="97"/>
  <c r="Z37" i="97"/>
  <c r="Q38" i="97"/>
  <c r="H39" i="97"/>
  <c r="X39" i="97"/>
  <c r="O40" i="97"/>
  <c r="AE40" i="97"/>
  <c r="V41" i="97"/>
  <c r="M42" i="97"/>
  <c r="AC42" i="97"/>
  <c r="T43" i="97"/>
  <c r="K44" i="97"/>
  <c r="AA44" i="97"/>
  <c r="R45" i="97"/>
  <c r="I46" i="97"/>
  <c r="Y46" i="97"/>
  <c r="L10" i="97"/>
  <c r="AA15" i="97"/>
  <c r="M19" i="97"/>
  <c r="AA21" i="97"/>
  <c r="P24" i="97"/>
  <c r="W26" i="97"/>
  <c r="L28" i="97"/>
  <c r="S29" i="97"/>
  <c r="Z30" i="97"/>
  <c r="H32" i="97"/>
  <c r="O33" i="97"/>
  <c r="V34" i="97"/>
  <c r="AC35" i="97"/>
  <c r="K37" i="97"/>
  <c r="R38" i="97"/>
  <c r="Y39" i="97"/>
  <c r="AF40" i="97"/>
  <c r="N42" i="97"/>
  <c r="U43" i="97"/>
  <c r="AB44" i="97"/>
  <c r="J46" i="97"/>
  <c r="K47" i="97"/>
  <c r="AA47" i="97"/>
  <c r="R48" i="97"/>
  <c r="I49" i="97"/>
  <c r="Y49" i="97"/>
  <c r="P50" i="97"/>
  <c r="AF50" i="97"/>
  <c r="W51" i="97"/>
  <c r="N52" i="97"/>
  <c r="AD52" i="97"/>
  <c r="U53" i="97"/>
  <c r="L54" i="97"/>
  <c r="AB54" i="97"/>
  <c r="S55" i="97"/>
  <c r="J56" i="97"/>
  <c r="Z56" i="97"/>
  <c r="Q57" i="97"/>
  <c r="H58" i="97"/>
  <c r="X58" i="97"/>
  <c r="O59" i="97"/>
  <c r="M5" i="97"/>
  <c r="N13" i="97"/>
  <c r="AF17" i="97"/>
  <c r="U20" i="97"/>
  <c r="J23" i="97"/>
  <c r="X25" i="97"/>
  <c r="U27" i="97"/>
  <c r="AC28" i="97"/>
  <c r="K30" i="97"/>
  <c r="R31" i="97"/>
  <c r="Y32" i="97"/>
  <c r="U24" i="97"/>
  <c r="AB25" i="97"/>
  <c r="AA26" i="97"/>
  <c r="W27" i="97"/>
  <c r="O28" i="97"/>
  <c r="AE28" i="97"/>
  <c r="V29" i="97"/>
  <c r="M30" i="97"/>
  <c r="AC30" i="97"/>
  <c r="T31" i="97"/>
  <c r="K32" i="97"/>
  <c r="AA32" i="97"/>
  <c r="R33" i="97"/>
  <c r="I34" i="97"/>
  <c r="Y34" i="97"/>
  <c r="P35" i="97"/>
  <c r="AF35" i="97"/>
  <c r="W36" i="97"/>
  <c r="N37" i="97"/>
  <c r="AD37" i="97"/>
  <c r="U38" i="97"/>
  <c r="L39" i="97"/>
  <c r="AB39" i="97"/>
  <c r="S40" i="97"/>
  <c r="J41" i="97"/>
  <c r="Z41" i="97"/>
  <c r="Q42" i="97"/>
  <c r="H43" i="97"/>
  <c r="X43" i="97"/>
  <c r="O44" i="97"/>
  <c r="AE44" i="97"/>
  <c r="V45" i="97"/>
  <c r="M46" i="97"/>
  <c r="AC46" i="97"/>
  <c r="AE11" i="97"/>
  <c r="I17" i="97"/>
  <c r="AC19" i="97"/>
  <c r="R22" i="97"/>
  <c r="AF24" i="97"/>
  <c r="I27" i="97"/>
  <c r="T28" i="97"/>
  <c r="AA29" i="97"/>
  <c r="I31" i="97"/>
  <c r="P32" i="97"/>
  <c r="W33" i="97"/>
  <c r="AD34" i="97"/>
  <c r="L36" i="97"/>
  <c r="S37" i="97"/>
  <c r="Z38" i="97"/>
  <c r="H40" i="97"/>
  <c r="O41" i="97"/>
  <c r="V42" i="97"/>
  <c r="AC43" i="97"/>
  <c r="K45" i="97"/>
  <c r="R46" i="97"/>
  <c r="O47" i="97"/>
  <c r="AE47" i="97"/>
  <c r="V48" i="97"/>
  <c r="M49" i="97"/>
  <c r="AC49" i="97"/>
  <c r="T50" i="97"/>
  <c r="K51" i="97"/>
  <c r="AA51" i="97"/>
  <c r="R52" i="97"/>
  <c r="I53" i="97"/>
  <c r="Y53" i="97"/>
  <c r="P54" i="97"/>
  <c r="AF54" i="97"/>
  <c r="W55" i="97"/>
  <c r="N56" i="97"/>
  <c r="AD56" i="97"/>
  <c r="U57" i="97"/>
  <c r="L58" i="97"/>
  <c r="AB58" i="97"/>
  <c r="S59" i="97"/>
  <c r="AA7" i="97"/>
  <c r="U14" i="97"/>
  <c r="W18" i="97"/>
  <c r="L21" i="97"/>
  <c r="Z23" i="97"/>
  <c r="N26" i="97"/>
  <c r="AD27" i="97"/>
  <c r="L29" i="97"/>
  <c r="S30" i="97"/>
  <c r="Z31" i="97"/>
  <c r="AC24" i="97"/>
  <c r="K26" i="97"/>
  <c r="AF26" i="97"/>
  <c r="AB27" i="97"/>
  <c r="S28" i="97"/>
  <c r="J29" i="97"/>
  <c r="Z29" i="97"/>
  <c r="Q30" i="97"/>
  <c r="H31" i="97"/>
  <c r="X31" i="97"/>
  <c r="O32" i="97"/>
  <c r="AE32" i="97"/>
  <c r="V33" i="97"/>
  <c r="M34" i="97"/>
  <c r="AC34" i="97"/>
  <c r="T35" i="97"/>
  <c r="K36" i="97"/>
  <c r="AA36" i="97"/>
  <c r="R37" i="97"/>
  <c r="I38" i="97"/>
  <c r="Y38" i="97"/>
  <c r="P39" i="97"/>
  <c r="AF39" i="97"/>
  <c r="W40" i="97"/>
  <c r="N41" i="97"/>
  <c r="AD41" i="97"/>
  <c r="U42" i="97"/>
  <c r="L43" i="97"/>
  <c r="AB43" i="97"/>
  <c r="S44" i="97"/>
  <c r="J45" i="97"/>
  <c r="Z45" i="97"/>
  <c r="Q46" i="97"/>
  <c r="I5" i="97"/>
  <c r="M13" i="97"/>
  <c r="AE17" i="97"/>
  <c r="T20" i="97"/>
  <c r="I23" i="97"/>
  <c r="W25" i="97"/>
  <c r="S27" i="97"/>
  <c r="AB28" i="97"/>
  <c r="J30" i="97"/>
  <c r="Q31" i="97"/>
  <c r="X32" i="97"/>
  <c r="AE33" i="97"/>
  <c r="M35" i="97"/>
  <c r="T36" i="97"/>
  <c r="AA37" i="97"/>
  <c r="I39" i="97"/>
  <c r="P40" i="97"/>
  <c r="W41" i="97"/>
  <c r="AD42" i="97"/>
  <c r="L44" i="97"/>
  <c r="S45" i="97"/>
  <c r="Z46" i="97"/>
  <c r="S47" i="97"/>
  <c r="J48" i="97"/>
  <c r="Z48" i="97"/>
  <c r="Q49" i="97"/>
  <c r="H50" i="97"/>
  <c r="X50" i="97"/>
  <c r="O51" i="97"/>
  <c r="AE51" i="97"/>
  <c r="V52" i="97"/>
  <c r="M53" i="97"/>
  <c r="AC53" i="97"/>
  <c r="T54" i="97"/>
  <c r="K55" i="97"/>
  <c r="AA55" i="97"/>
  <c r="R56" i="97"/>
  <c r="I57" i="97"/>
  <c r="Y57" i="97"/>
  <c r="P58" i="97"/>
  <c r="AF58" i="97"/>
  <c r="W59" i="97"/>
  <c r="P10" i="97"/>
  <c r="AB15" i="97"/>
  <c r="N19" i="97"/>
  <c r="AB21" i="97"/>
  <c r="Q24" i="97"/>
  <c r="X26" i="97"/>
  <c r="M28" i="97"/>
  <c r="T29" i="97"/>
  <c r="AA30" i="97"/>
  <c r="I32" i="97"/>
  <c r="Q32" i="97"/>
  <c r="AF33" i="97"/>
  <c r="N35" i="97"/>
  <c r="U36" i="97"/>
  <c r="AB37" i="97"/>
  <c r="J39" i="97"/>
  <c r="Q40" i="97"/>
  <c r="X41" i="97"/>
  <c r="AE42" i="97"/>
  <c r="M44" i="97"/>
  <c r="T45" i="97"/>
  <c r="AA46" i="97"/>
  <c r="T47" i="97"/>
  <c r="K48" i="97"/>
  <c r="AA48" i="97"/>
  <c r="R49" i="97"/>
  <c r="I50" i="97"/>
  <c r="Y50" i="97"/>
  <c r="P51" i="97"/>
  <c r="AF51" i="97"/>
  <c r="W52" i="97"/>
  <c r="N53" i="97"/>
  <c r="AD53" i="97"/>
  <c r="U54" i="97"/>
  <c r="L55" i="97"/>
  <c r="AB55" i="97"/>
  <c r="S56" i="97"/>
  <c r="J57" i="97"/>
  <c r="Z57" i="97"/>
  <c r="Q58" i="97"/>
  <c r="H59" i="97"/>
  <c r="X59" i="97"/>
  <c r="O60" i="97"/>
  <c r="AC13" i="97"/>
  <c r="AB20" i="97"/>
  <c r="AE25" i="97"/>
  <c r="AF28" i="97"/>
  <c r="U31" i="97"/>
  <c r="J34" i="97"/>
  <c r="X36" i="97"/>
  <c r="M39" i="97"/>
  <c r="AA41" i="97"/>
  <c r="P44" i="97"/>
  <c r="AD46" i="97"/>
  <c r="L48" i="97"/>
  <c r="S49" i="97"/>
  <c r="Z50" i="97"/>
  <c r="H52" i="97"/>
  <c r="O53" i="97"/>
  <c r="V54" i="97"/>
  <c r="AC55" i="97"/>
  <c r="K57" i="97"/>
  <c r="R58" i="97"/>
  <c r="Y59" i="97"/>
  <c r="V60" i="97"/>
  <c r="M61" i="97"/>
  <c r="AC61" i="97"/>
  <c r="T62" i="97"/>
  <c r="K63" i="97"/>
  <c r="AA63" i="97"/>
  <c r="R64" i="97"/>
  <c r="I65" i="97"/>
  <c r="Y65" i="97"/>
  <c r="P66" i="97"/>
  <c r="AF66" i="97"/>
  <c r="W67" i="97"/>
  <c r="N68" i="97"/>
  <c r="AD68" i="97"/>
  <c r="U69" i="97"/>
  <c r="L70" i="97"/>
  <c r="AB70" i="97"/>
  <c r="S71" i="97"/>
  <c r="J72" i="97"/>
  <c r="Z72" i="97"/>
  <c r="Q73" i="97"/>
  <c r="H74" i="97"/>
  <c r="X74" i="97"/>
  <c r="O75" i="97"/>
  <c r="AE75" i="97"/>
  <c r="V76" i="97"/>
  <c r="M77" i="97"/>
  <c r="AC77" i="97"/>
  <c r="T78" i="97"/>
  <c r="K79" i="97"/>
  <c r="AA79" i="97"/>
  <c r="R80" i="97"/>
  <c r="I81" i="97"/>
  <c r="Y81" i="97"/>
  <c r="P82" i="97"/>
  <c r="AF82" i="97"/>
  <c r="W83" i="97"/>
  <c r="N84" i="97"/>
  <c r="AD84" i="97"/>
  <c r="U85" i="97"/>
  <c r="L86" i="97"/>
  <c r="AB86" i="97"/>
  <c r="S87" i="97"/>
  <c r="J88" i="97"/>
  <c r="Z88" i="97"/>
  <c r="Q89" i="97"/>
  <c r="H90" i="97"/>
  <c r="X90" i="97"/>
  <c r="O91" i="97"/>
  <c r="AE91" i="97"/>
  <c r="V92" i="97"/>
  <c r="M93" i="97"/>
  <c r="AC93" i="97"/>
  <c r="T94" i="97"/>
  <c r="K95" i="97"/>
  <c r="AA95" i="97"/>
  <c r="R96" i="97"/>
  <c r="I97" i="97"/>
  <c r="Y97" i="97"/>
  <c r="P98" i="97"/>
  <c r="AF98" i="97"/>
  <c r="W99" i="97"/>
  <c r="N100" i="97"/>
  <c r="P11" i="97"/>
  <c r="V19" i="97"/>
  <c r="Y24" i="97"/>
  <c r="Q28" i="97"/>
  <c r="AE30" i="97"/>
  <c r="T33" i="97"/>
  <c r="I36" i="97"/>
  <c r="W38" i="97"/>
  <c r="L41" i="97"/>
  <c r="Z43" i="97"/>
  <c r="O46" i="97"/>
  <c r="AD47" i="97"/>
  <c r="L49" i="97"/>
  <c r="S50" i="97"/>
  <c r="Z51" i="97"/>
  <c r="H53" i="97"/>
  <c r="O54" i="97"/>
  <c r="V55" i="97"/>
  <c r="AC56" i="97"/>
  <c r="K58" i="97"/>
  <c r="R59" i="97"/>
  <c r="R60" i="97"/>
  <c r="J61" i="97"/>
  <c r="Z61" i="97"/>
  <c r="Q62" i="97"/>
  <c r="H63" i="97"/>
  <c r="X63" i="97"/>
  <c r="O64" i="97"/>
  <c r="AE64" i="97"/>
  <c r="V65" i="97"/>
  <c r="M66" i="97"/>
  <c r="AC66" i="97"/>
  <c r="T67" i="97"/>
  <c r="K68" i="97"/>
  <c r="AA68" i="97"/>
  <c r="R69" i="97"/>
  <c r="I70" i="97"/>
  <c r="Y70" i="97"/>
  <c r="P71" i="97"/>
  <c r="AF71" i="97"/>
  <c r="W72" i="97"/>
  <c r="N73" i="97"/>
  <c r="AD73" i="97"/>
  <c r="U74" i="97"/>
  <c r="L75" i="97"/>
  <c r="AB75" i="97"/>
  <c r="S76" i="97"/>
  <c r="J77" i="97"/>
  <c r="Z77" i="97"/>
  <c r="Q78" i="97"/>
  <c r="H79" i="97"/>
  <c r="X79" i="97"/>
  <c r="O80" i="97"/>
  <c r="H33" i="97"/>
  <c r="O34" i="97"/>
  <c r="V35" i="97"/>
  <c r="AC36" i="97"/>
  <c r="K38" i="97"/>
  <c r="R39" i="97"/>
  <c r="Y40" i="97"/>
  <c r="AF41" i="97"/>
  <c r="N43" i="97"/>
  <c r="U44" i="97"/>
  <c r="AB45" i="97"/>
  <c r="H47" i="97"/>
  <c r="X47" i="97"/>
  <c r="O48" i="97"/>
  <c r="AE48" i="97"/>
  <c r="V49" i="97"/>
  <c r="M50" i="97"/>
  <c r="AC50" i="97"/>
  <c r="T51" i="97"/>
  <c r="K52" i="97"/>
  <c r="AA52" i="97"/>
  <c r="R53" i="97"/>
  <c r="I54" i="97"/>
  <c r="Y54" i="97"/>
  <c r="P55" i="97"/>
  <c r="AF55" i="97"/>
  <c r="W56" i="97"/>
  <c r="N57" i="97"/>
  <c r="AD57" i="97"/>
  <c r="U58" i="97"/>
  <c r="L59" i="97"/>
  <c r="AB59" i="97"/>
  <c r="S60" i="97"/>
  <c r="R16" i="97"/>
  <c r="J22" i="97"/>
  <c r="AB26" i="97"/>
  <c r="W29" i="97"/>
  <c r="L32" i="97"/>
  <c r="Z34" i="97"/>
  <c r="O37" i="97"/>
  <c r="AC39" i="97"/>
  <c r="R42" i="97"/>
  <c r="AF44" i="97"/>
  <c r="M47" i="97"/>
  <c r="T48" i="97"/>
  <c r="AA49" i="97"/>
  <c r="I51" i="97"/>
  <c r="P52" i="97"/>
  <c r="W53" i="97"/>
  <c r="AD54" i="97"/>
  <c r="L56" i="97"/>
  <c r="S57" i="97"/>
  <c r="Z58" i="97"/>
  <c r="AE59" i="97"/>
  <c r="Z60" i="97"/>
  <c r="Q61" i="97"/>
  <c r="H62" i="97"/>
  <c r="X62" i="97"/>
  <c r="O63" i="97"/>
  <c r="AE63" i="97"/>
  <c r="V64" i="97"/>
  <c r="M65" i="97"/>
  <c r="AC65" i="97"/>
  <c r="T66" i="97"/>
  <c r="K67" i="97"/>
  <c r="AA67" i="97"/>
  <c r="R68" i="97"/>
  <c r="I69" i="97"/>
  <c r="Y69" i="97"/>
  <c r="P70" i="97"/>
  <c r="AF70" i="97"/>
  <c r="W71" i="97"/>
  <c r="N72" i="97"/>
  <c r="AD72" i="97"/>
  <c r="U73" i="97"/>
  <c r="L74" i="97"/>
  <c r="AB74" i="97"/>
  <c r="S75" i="97"/>
  <c r="J76" i="97"/>
  <c r="Z76" i="97"/>
  <c r="Q77" i="97"/>
  <c r="H78" i="97"/>
  <c r="X78" i="97"/>
  <c r="O79" i="97"/>
  <c r="AE79" i="97"/>
  <c r="V80" i="97"/>
  <c r="M81" i="97"/>
  <c r="AC81" i="97"/>
  <c r="T82" i="97"/>
  <c r="K83" i="97"/>
  <c r="AA83" i="97"/>
  <c r="R84" i="97"/>
  <c r="I85" i="97"/>
  <c r="Y85" i="97"/>
  <c r="P86" i="97"/>
  <c r="AF86" i="97"/>
  <c r="W87" i="97"/>
  <c r="N88" i="97"/>
  <c r="AD88" i="97"/>
  <c r="U89" i="97"/>
  <c r="L90" i="97"/>
  <c r="AB90" i="97"/>
  <c r="S91" i="97"/>
  <c r="J92" i="97"/>
  <c r="Z92" i="97"/>
  <c r="Q93" i="97"/>
  <c r="H94" i="97"/>
  <c r="X94" i="97"/>
  <c r="O95" i="97"/>
  <c r="AE95" i="97"/>
  <c r="V96" i="97"/>
  <c r="M97" i="97"/>
  <c r="AC97" i="97"/>
  <c r="T98" i="97"/>
  <c r="K99" i="97"/>
  <c r="AA99" i="97"/>
  <c r="R100" i="97"/>
  <c r="AD13" i="97"/>
  <c r="AC20" i="97"/>
  <c r="AF25" i="97"/>
  <c r="H29" i="97"/>
  <c r="V31" i="97"/>
  <c r="K34" i="97"/>
  <c r="Y36" i="97"/>
  <c r="N39" i="97"/>
  <c r="AB41" i="97"/>
  <c r="Q44" i="97"/>
  <c r="AE46" i="97"/>
  <c r="M48" i="97"/>
  <c r="T49" i="97"/>
  <c r="AA50" i="97"/>
  <c r="I52" i="97"/>
  <c r="P53" i="97"/>
  <c r="W54" i="97"/>
  <c r="AD55" i="97"/>
  <c r="L57" i="97"/>
  <c r="S58" i="97"/>
  <c r="Z59" i="97"/>
  <c r="W60" i="97"/>
  <c r="N61" i="97"/>
  <c r="AD61" i="97"/>
  <c r="U62" i="97"/>
  <c r="L63" i="97"/>
  <c r="AB63" i="97"/>
  <c r="S64" i="97"/>
  <c r="J65" i="97"/>
  <c r="Z65" i="97"/>
  <c r="Q66" i="97"/>
  <c r="H67" i="97"/>
  <c r="X67" i="97"/>
  <c r="O68" i="97"/>
  <c r="AE68" i="97"/>
  <c r="V69" i="97"/>
  <c r="M70" i="97"/>
  <c r="AC70" i="97"/>
  <c r="T71" i="97"/>
  <c r="K72" i="97"/>
  <c r="AA72" i="97"/>
  <c r="R73" i="97"/>
  <c r="I74" i="97"/>
  <c r="Y74" i="97"/>
  <c r="P75" i="97"/>
  <c r="AF75" i="97"/>
  <c r="W76" i="97"/>
  <c r="N77" i="97"/>
  <c r="AD77" i="97"/>
  <c r="U78" i="97"/>
  <c r="L79" i="97"/>
  <c r="AB79" i="97"/>
  <c r="S80" i="97"/>
  <c r="P33" i="97"/>
  <c r="W34" i="97"/>
  <c r="AD35" i="97"/>
  <c r="L37" i="97"/>
  <c r="S38" i="97"/>
  <c r="Z39" i="97"/>
  <c r="H41" i="97"/>
  <c r="O42" i="97"/>
  <c r="V43" i="97"/>
  <c r="AC44" i="97"/>
  <c r="K46" i="97"/>
  <c r="L47" i="97"/>
  <c r="AB47" i="97"/>
  <c r="S48" i="97"/>
  <c r="J49" i="97"/>
  <c r="Z49" i="97"/>
  <c r="Q50" i="97"/>
  <c r="H51" i="97"/>
  <c r="X51" i="97"/>
  <c r="O52" i="97"/>
  <c r="AE52" i="97"/>
  <c r="V53" i="97"/>
  <c r="M54" i="97"/>
  <c r="AC54" i="97"/>
  <c r="T55" i="97"/>
  <c r="K56" i="97"/>
  <c r="AA56" i="97"/>
  <c r="R57" i="97"/>
  <c r="I58" i="97"/>
  <c r="Y58" i="97"/>
  <c r="P59" i="97"/>
  <c r="AF59" i="97"/>
  <c r="P6" i="97"/>
  <c r="N18" i="97"/>
  <c r="Q23" i="97"/>
  <c r="Y27" i="97"/>
  <c r="N30" i="97"/>
  <c r="AB32" i="97"/>
  <c r="Q35" i="97"/>
  <c r="AE37" i="97"/>
  <c r="T40" i="97"/>
  <c r="I43" i="97"/>
  <c r="W45" i="97"/>
  <c r="U47" i="97"/>
  <c r="AB48" i="97"/>
  <c r="J50" i="97"/>
  <c r="Q51" i="97"/>
  <c r="X52" i="97"/>
  <c r="AE53" i="97"/>
  <c r="M55" i="97"/>
  <c r="T56" i="97"/>
  <c r="AA57" i="97"/>
  <c r="I59" i="97"/>
  <c r="L60" i="97"/>
  <c r="AD60" i="97"/>
  <c r="U61" i="97"/>
  <c r="L62" i="97"/>
  <c r="AB62" i="97"/>
  <c r="S63" i="97"/>
  <c r="J64" i="97"/>
  <c r="Z64" i="97"/>
  <c r="Q65" i="97"/>
  <c r="H66" i="97"/>
  <c r="X66" i="97"/>
  <c r="O67" i="97"/>
  <c r="AE67" i="97"/>
  <c r="V68" i="97"/>
  <c r="M69" i="97"/>
  <c r="AC69" i="97"/>
  <c r="T70" i="97"/>
  <c r="K71" i="97"/>
  <c r="AA71" i="97"/>
  <c r="R72" i="97"/>
  <c r="I73" i="97"/>
  <c r="Y73" i="97"/>
  <c r="P74" i="97"/>
  <c r="AF74" i="97"/>
  <c r="W75" i="97"/>
  <c r="N76" i="97"/>
  <c r="AD76" i="97"/>
  <c r="U77" i="97"/>
  <c r="L78" i="97"/>
  <c r="AB78" i="97"/>
  <c r="S79" i="97"/>
  <c r="J80" i="97"/>
  <c r="Z80" i="97"/>
  <c r="Q81" i="97"/>
  <c r="H82" i="97"/>
  <c r="X82" i="97"/>
  <c r="O83" i="97"/>
  <c r="AE83" i="97"/>
  <c r="V84" i="97"/>
  <c r="M85" i="97"/>
  <c r="AC85" i="97"/>
  <c r="T86" i="97"/>
  <c r="K87" i="97"/>
  <c r="AA87" i="97"/>
  <c r="R88" i="97"/>
  <c r="I89" i="97"/>
  <c r="Y89" i="97"/>
  <c r="P90" i="97"/>
  <c r="AF90" i="97"/>
  <c r="W91" i="97"/>
  <c r="N92" i="97"/>
  <c r="AD92" i="97"/>
  <c r="U93" i="97"/>
  <c r="L94" i="97"/>
  <c r="AB94" i="97"/>
  <c r="S95" i="97"/>
  <c r="J96" i="97"/>
  <c r="Z96" i="97"/>
  <c r="Q97" i="97"/>
  <c r="H98" i="97"/>
  <c r="X98" i="97"/>
  <c r="O99" i="97"/>
  <c r="AE99" i="97"/>
  <c r="V100" i="97"/>
  <c r="S16" i="97"/>
  <c r="K22" i="97"/>
  <c r="AD26" i="97"/>
  <c r="X29" i="97"/>
  <c r="M32" i="97"/>
  <c r="AA34" i="97"/>
  <c r="P37" i="97"/>
  <c r="AD39" i="97"/>
  <c r="S42" i="97"/>
  <c r="H45" i="97"/>
  <c r="N47" i="97"/>
  <c r="U48" i="97"/>
  <c r="AB49" i="97"/>
  <c r="J51" i="97"/>
  <c r="Q52" i="97"/>
  <c r="X53" i="97"/>
  <c r="AE54" i="97"/>
  <c r="M56" i="97"/>
  <c r="T57" i="97"/>
  <c r="AA58" i="97"/>
  <c r="H60" i="97"/>
  <c r="AA60" i="97"/>
  <c r="R61" i="97"/>
  <c r="I62" i="97"/>
  <c r="Y62" i="97"/>
  <c r="P63" i="97"/>
  <c r="AF63" i="97"/>
  <c r="W64" i="97"/>
  <c r="N65" i="97"/>
  <c r="AD65" i="97"/>
  <c r="U66" i="97"/>
  <c r="L67" i="97"/>
  <c r="AB67" i="97"/>
  <c r="S68" i="97"/>
  <c r="J69" i="97"/>
  <c r="Z69" i="97"/>
  <c r="Q70" i="97"/>
  <c r="H71" i="97"/>
  <c r="X71" i="97"/>
  <c r="O72" i="97"/>
  <c r="AE72" i="97"/>
  <c r="V73" i="97"/>
  <c r="M74" i="97"/>
  <c r="AC74" i="97"/>
  <c r="T75" i="97"/>
  <c r="K76" i="97"/>
  <c r="AA76" i="97"/>
  <c r="R77" i="97"/>
  <c r="I78" i="97"/>
  <c r="Y78" i="97"/>
  <c r="P79" i="97"/>
  <c r="AF79" i="97"/>
  <c r="W80" i="97"/>
  <c r="X33" i="97"/>
  <c r="AE34" i="97"/>
  <c r="M36" i="97"/>
  <c r="T37" i="97"/>
  <c r="AA38" i="97"/>
  <c r="I40" i="97"/>
  <c r="P41" i="97"/>
  <c r="W42" i="97"/>
  <c r="AD43" i="97"/>
  <c r="L45" i="97"/>
  <c r="S46" i="97"/>
  <c r="P47" i="97"/>
  <c r="AF47" i="97"/>
  <c r="W48" i="97"/>
  <c r="N49" i="97"/>
  <c r="AD49" i="97"/>
  <c r="U50" i="97"/>
  <c r="L51" i="97"/>
  <c r="AB51" i="97"/>
  <c r="S52" i="97"/>
  <c r="J53" i="97"/>
  <c r="Z53" i="97"/>
  <c r="Q54" i="97"/>
  <c r="H55" i="97"/>
  <c r="X55" i="97"/>
  <c r="O56" i="97"/>
  <c r="AE56" i="97"/>
  <c r="V57" i="97"/>
  <c r="M58" i="97"/>
  <c r="AC58" i="97"/>
  <c r="T59" i="97"/>
  <c r="K60" i="97"/>
  <c r="O11" i="97"/>
  <c r="U19" i="97"/>
  <c r="X24" i="97"/>
  <c r="P28" i="97"/>
  <c r="AD30" i="97"/>
  <c r="S33" i="97"/>
  <c r="H36" i="97"/>
  <c r="V38" i="97"/>
  <c r="K41" i="97"/>
  <c r="Y43" i="97"/>
  <c r="N46" i="97"/>
  <c r="AC47" i="97"/>
  <c r="K49" i="97"/>
  <c r="R50" i="97"/>
  <c r="Y51" i="97"/>
  <c r="AF52" i="97"/>
  <c r="N54" i="97"/>
  <c r="U55" i="97"/>
  <c r="AB56" i="97"/>
  <c r="J58" i="97"/>
  <c r="Q59" i="97"/>
  <c r="Q60" i="97"/>
  <c r="I61" i="97"/>
  <c r="Y61" i="97"/>
  <c r="P62" i="97"/>
  <c r="AF62" i="97"/>
  <c r="W63" i="97"/>
  <c r="N64" i="97"/>
  <c r="AD64" i="97"/>
  <c r="U65" i="97"/>
  <c r="L66" i="97"/>
  <c r="AB66" i="97"/>
  <c r="S67" i="97"/>
  <c r="J68" i="97"/>
  <c r="Z68" i="97"/>
  <c r="Q69" i="97"/>
  <c r="H70" i="97"/>
  <c r="X70" i="97"/>
  <c r="O71" i="97"/>
  <c r="AE71" i="97"/>
  <c r="V72" i="97"/>
  <c r="M73" i="97"/>
  <c r="AC73" i="97"/>
  <c r="T74" i="97"/>
  <c r="K75" i="97"/>
  <c r="AA75" i="97"/>
  <c r="R76" i="97"/>
  <c r="I77" i="97"/>
  <c r="Y77" i="97"/>
  <c r="P78" i="97"/>
  <c r="AF78" i="97"/>
  <c r="W79" i="97"/>
  <c r="N80" i="97"/>
  <c r="AD80" i="97"/>
  <c r="U81" i="97"/>
  <c r="L82" i="97"/>
  <c r="AB82" i="97"/>
  <c r="S83" i="97"/>
  <c r="J84" i="97"/>
  <c r="Z84" i="97"/>
  <c r="Q85" i="97"/>
  <c r="H86" i="97"/>
  <c r="X86" i="97"/>
  <c r="O87" i="97"/>
  <c r="AE87" i="97"/>
  <c r="V88" i="97"/>
  <c r="M89" i="97"/>
  <c r="AC89" i="97"/>
  <c r="T90" i="97"/>
  <c r="K91" i="97"/>
  <c r="AA91" i="97"/>
  <c r="R92" i="97"/>
  <c r="I93" i="97"/>
  <c r="Y93" i="97"/>
  <c r="P94" i="97"/>
  <c r="AF94" i="97"/>
  <c r="W95" i="97"/>
  <c r="N96" i="97"/>
  <c r="AD96" i="97"/>
  <c r="U97" i="97"/>
  <c r="L98" i="97"/>
  <c r="AB98" i="97"/>
  <c r="S99" i="97"/>
  <c r="J100" i="97"/>
  <c r="T6" i="97"/>
  <c r="O18" i="97"/>
  <c r="R23" i="97"/>
  <c r="Z27" i="97"/>
  <c r="O30" i="97"/>
  <c r="AC32" i="97"/>
  <c r="R35" i="97"/>
  <c r="AF37" i="97"/>
  <c r="U40" i="97"/>
  <c r="J43" i="97"/>
  <c r="X45" i="97"/>
  <c r="V47" i="97"/>
  <c r="AC48" i="97"/>
  <c r="K50" i="97"/>
  <c r="R51" i="97"/>
  <c r="Y52" i="97"/>
  <c r="AF53" i="97"/>
  <c r="N55" i="97"/>
  <c r="U56" i="97"/>
  <c r="AB57" i="97"/>
  <c r="J59" i="97"/>
  <c r="M60" i="97"/>
  <c r="AE60" i="97"/>
  <c r="V61" i="97"/>
  <c r="M62" i="97"/>
  <c r="AC62" i="97"/>
  <c r="T63" i="97"/>
  <c r="K64" i="97"/>
  <c r="AA64" i="97"/>
  <c r="R65" i="97"/>
  <c r="I66" i="97"/>
  <c r="Y66" i="97"/>
  <c r="P67" i="97"/>
  <c r="AF67" i="97"/>
  <c r="W68" i="97"/>
  <c r="N69" i="97"/>
  <c r="AD69" i="97"/>
  <c r="U70" i="97"/>
  <c r="L71" i="97"/>
  <c r="AB71" i="97"/>
  <c r="S72" i="97"/>
  <c r="J73" i="97"/>
  <c r="Z73" i="97"/>
  <c r="Q74" i="97"/>
  <c r="H75" i="97"/>
  <c r="X75" i="97"/>
  <c r="O76" i="97"/>
  <c r="AE76" i="97"/>
  <c r="V77" i="97"/>
  <c r="M78" i="97"/>
  <c r="AC78" i="97"/>
  <c r="T79" i="97"/>
  <c r="K80" i="97"/>
  <c r="AA80" i="97"/>
  <c r="AE80" i="97"/>
  <c r="V81" i="97"/>
  <c r="M82" i="97"/>
  <c r="AC82" i="97"/>
  <c r="T83" i="97"/>
  <c r="K84" i="97"/>
  <c r="AA84" i="97"/>
  <c r="R85" i="97"/>
  <c r="I86" i="97"/>
  <c r="Y86" i="97"/>
  <c r="P87" i="97"/>
  <c r="AF87" i="97"/>
  <c r="W88" i="97"/>
  <c r="N89" i="97"/>
  <c r="AD89" i="97"/>
  <c r="U90" i="97"/>
  <c r="L91" i="97"/>
  <c r="AB91" i="97"/>
  <c r="S92" i="97"/>
  <c r="J93" i="97"/>
  <c r="Z93" i="97"/>
  <c r="Q94" i="97"/>
  <c r="H95" i="97"/>
  <c r="X95" i="97"/>
  <c r="O96" i="97"/>
  <c r="AE96" i="97"/>
  <c r="V97" i="97"/>
  <c r="M98" i="97"/>
  <c r="AC98" i="97"/>
  <c r="T99" i="97"/>
  <c r="K100" i="97"/>
  <c r="AA100" i="97"/>
  <c r="AD8" i="97"/>
  <c r="AD18" i="97"/>
  <c r="H24" i="97"/>
  <c r="H28" i="97"/>
  <c r="V30" i="97"/>
  <c r="K33" i="97"/>
  <c r="Y35" i="97"/>
  <c r="N38" i="97"/>
  <c r="AB40" i="97"/>
  <c r="I9" i="97"/>
  <c r="W30" i="97"/>
  <c r="AC40" i="97"/>
  <c r="I47" i="97"/>
  <c r="W49" i="97"/>
  <c r="L52" i="97"/>
  <c r="Z54" i="97"/>
  <c r="O57" i="97"/>
  <c r="AC59" i="97"/>
  <c r="O61" i="97"/>
  <c r="V62" i="97"/>
  <c r="AC63" i="97"/>
  <c r="K65" i="97"/>
  <c r="R66" i="97"/>
  <c r="Y67" i="97"/>
  <c r="AF68" i="97"/>
  <c r="N70" i="97"/>
  <c r="W12" i="97"/>
  <c r="N31" i="97"/>
  <c r="T41" i="97"/>
  <c r="J47" i="97"/>
  <c r="X49" i="97"/>
  <c r="M52" i="97"/>
  <c r="AA54" i="97"/>
  <c r="P57" i="97"/>
  <c r="AD59" i="97"/>
  <c r="P61" i="97"/>
  <c r="W62" i="97"/>
  <c r="AD63" i="97"/>
  <c r="L65" i="97"/>
  <c r="S66" i="97"/>
  <c r="Z67" i="97"/>
  <c r="H69" i="97"/>
  <c r="O70" i="97"/>
  <c r="V71" i="97"/>
  <c r="AC72" i="97"/>
  <c r="K74" i="97"/>
  <c r="R75" i="97"/>
  <c r="Y76" i="97"/>
  <c r="S26" i="97"/>
  <c r="H37" i="97"/>
  <c r="O45" i="97"/>
  <c r="X48" i="97"/>
  <c r="M51" i="97"/>
  <c r="AA53" i="97"/>
  <c r="P56" i="97"/>
  <c r="AD58" i="97"/>
  <c r="AB60" i="97"/>
  <c r="J62" i="97"/>
  <c r="Q63" i="97"/>
  <c r="X64" i="97"/>
  <c r="AE65" i="97"/>
  <c r="M67" i="97"/>
  <c r="T68" i="97"/>
  <c r="AA69" i="97"/>
  <c r="I71" i="97"/>
  <c r="P72" i="97"/>
  <c r="W73" i="97"/>
  <c r="AD74" i="97"/>
  <c r="L76" i="97"/>
  <c r="U32" i="97"/>
  <c r="U52" i="97"/>
  <c r="T61" i="97"/>
  <c r="W66" i="97"/>
  <c r="U71" i="97"/>
  <c r="J74" i="97"/>
  <c r="X76" i="97"/>
  <c r="K78" i="97"/>
  <c r="R79" i="97"/>
  <c r="Y80" i="97"/>
  <c r="AF81" i="97"/>
  <c r="N83" i="97"/>
  <c r="U84" i="97"/>
  <c r="AB85" i="97"/>
  <c r="J87" i="97"/>
  <c r="Q88" i="97"/>
  <c r="X89" i="97"/>
  <c r="AE90" i="97"/>
  <c r="M92" i="97"/>
  <c r="T93" i="97"/>
  <c r="AA94" i="97"/>
  <c r="I96" i="97"/>
  <c r="P97" i="97"/>
  <c r="W98" i="97"/>
  <c r="AD99" i="97"/>
  <c r="H101" i="97"/>
  <c r="Z101" i="97"/>
  <c r="Q102" i="97"/>
  <c r="H103" i="97"/>
  <c r="X103" i="97"/>
  <c r="O104" i="97"/>
  <c r="AE104" i="97"/>
  <c r="V105" i="97"/>
  <c r="M106" i="97"/>
  <c r="AC106" i="97"/>
  <c r="T107" i="97"/>
  <c r="K108" i="97"/>
  <c r="AA108" i="97"/>
  <c r="R109" i="97"/>
  <c r="I110" i="97"/>
  <c r="Y110" i="97"/>
  <c r="P111" i="97"/>
  <c r="AF111" i="97"/>
  <c r="W112" i="97"/>
  <c r="N113" i="97"/>
  <c r="AD113" i="97"/>
  <c r="I44" i="97"/>
  <c r="Z55" i="97"/>
  <c r="J81" i="97"/>
  <c r="Z81" i="97"/>
  <c r="Q82" i="97"/>
  <c r="H83" i="97"/>
  <c r="X83" i="97"/>
  <c r="O84" i="97"/>
  <c r="AE84" i="97"/>
  <c r="V85" i="97"/>
  <c r="M86" i="97"/>
  <c r="AC86" i="97"/>
  <c r="T87" i="97"/>
  <c r="K88" i="97"/>
  <c r="AA88" i="97"/>
  <c r="R89" i="97"/>
  <c r="I90" i="97"/>
  <c r="Y90" i="97"/>
  <c r="P91" i="97"/>
  <c r="AF91" i="97"/>
  <c r="W92" i="97"/>
  <c r="N93" i="97"/>
  <c r="AD93" i="97"/>
  <c r="U94" i="97"/>
  <c r="L95" i="97"/>
  <c r="AB95" i="97"/>
  <c r="S96" i="97"/>
  <c r="J97" i="97"/>
  <c r="Z97" i="97"/>
  <c r="Q98" i="97"/>
  <c r="H99" i="97"/>
  <c r="X99" i="97"/>
  <c r="O100" i="97"/>
  <c r="AE100" i="97"/>
  <c r="V12" i="97"/>
  <c r="L20" i="97"/>
  <c r="O25" i="97"/>
  <c r="X28" i="97"/>
  <c r="M31" i="97"/>
  <c r="AA33" i="97"/>
  <c r="P36" i="97"/>
  <c r="AD38" i="97"/>
  <c r="S41" i="97"/>
  <c r="AE18" i="97"/>
  <c r="L33" i="97"/>
  <c r="Q43" i="97"/>
  <c r="Y47" i="97"/>
  <c r="N50" i="97"/>
  <c r="AB52" i="97"/>
  <c r="Q55" i="97"/>
  <c r="AE57" i="97"/>
  <c r="N60" i="97"/>
  <c r="W61" i="97"/>
  <c r="AD62" i="97"/>
  <c r="L64" i="97"/>
  <c r="S65" i="97"/>
  <c r="Z66" i="97"/>
  <c r="H68" i="97"/>
  <c r="O69" i="97"/>
  <c r="V70" i="97"/>
  <c r="M20" i="97"/>
  <c r="AB33" i="97"/>
  <c r="R43" i="97"/>
  <c r="Z47" i="97"/>
  <c r="O50" i="97"/>
  <c r="AC52" i="97"/>
  <c r="R55" i="97"/>
  <c r="AF57" i="97"/>
  <c r="P60" i="97"/>
  <c r="X61" i="97"/>
  <c r="AE62" i="97"/>
  <c r="M64" i="97"/>
  <c r="T65" i="97"/>
  <c r="AA66" i="97"/>
  <c r="I68" i="97"/>
  <c r="P69" i="97"/>
  <c r="W70" i="97"/>
  <c r="AD71" i="97"/>
  <c r="L73" i="97"/>
  <c r="S74" i="97"/>
  <c r="Z75" i="97"/>
  <c r="H77" i="97"/>
  <c r="P29" i="97"/>
  <c r="V39" i="97"/>
  <c r="V46" i="97"/>
  <c r="O49" i="97"/>
  <c r="AC51" i="97"/>
  <c r="R54" i="97"/>
  <c r="AF56" i="97"/>
  <c r="U59" i="97"/>
  <c r="K61" i="97"/>
  <c r="R62" i="97"/>
  <c r="Y63" i="97"/>
  <c r="AF64" i="97"/>
  <c r="N66" i="97"/>
  <c r="U67" i="97"/>
  <c r="AB68" i="97"/>
  <c r="J70" i="97"/>
  <c r="Q71" i="97"/>
  <c r="X72" i="97"/>
  <c r="AE73" i="97"/>
  <c r="M75" i="97"/>
  <c r="T76" i="97"/>
  <c r="AA42" i="97"/>
  <c r="J55" i="97"/>
  <c r="AA62" i="97"/>
  <c r="AD67" i="97"/>
  <c r="L72" i="97"/>
  <c r="Z74" i="97"/>
  <c r="L77" i="97"/>
  <c r="S78" i="97"/>
  <c r="Z79" i="97"/>
  <c r="H81" i="97"/>
  <c r="O82" i="97"/>
  <c r="V83" i="97"/>
  <c r="AC84" i="97"/>
  <c r="K86" i="97"/>
  <c r="R87" i="97"/>
  <c r="Y88" i="97"/>
  <c r="AF89" i="97"/>
  <c r="N91" i="97"/>
  <c r="U92" i="97"/>
  <c r="AB93" i="97"/>
  <c r="J95" i="97"/>
  <c r="Q96" i="97"/>
  <c r="X97" i="97"/>
  <c r="AE98" i="97"/>
  <c r="M100" i="97"/>
  <c r="M101" i="97"/>
  <c r="AD101" i="97"/>
  <c r="U102" i="97"/>
  <c r="L103" i="97"/>
  <c r="AB103" i="97"/>
  <c r="S104" i="97"/>
  <c r="J105" i="97"/>
  <c r="Z105" i="97"/>
  <c r="Q106" i="97"/>
  <c r="H107" i="97"/>
  <c r="X107" i="97"/>
  <c r="O108" i="97"/>
  <c r="AE108" i="97"/>
  <c r="V109" i="97"/>
  <c r="M110" i="97"/>
  <c r="AC110" i="97"/>
  <c r="T111" i="97"/>
  <c r="K112" i="97"/>
  <c r="AA112" i="97"/>
  <c r="R113" i="97"/>
  <c r="I114" i="97"/>
  <c r="I48" i="97"/>
  <c r="O58" i="97"/>
  <c r="Q64" i="97"/>
  <c r="T69" i="97"/>
  <c r="H73" i="97"/>
  <c r="V75" i="97"/>
  <c r="W77" i="97"/>
  <c r="AD78" i="97"/>
  <c r="L80" i="97"/>
  <c r="S81" i="97"/>
  <c r="Z82" i="97"/>
  <c r="H84" i="97"/>
  <c r="O85" i="97"/>
  <c r="V86" i="97"/>
  <c r="AC87" i="97"/>
  <c r="K89" i="97"/>
  <c r="R90" i="97"/>
  <c r="Y91" i="97"/>
  <c r="AF92" i="97"/>
  <c r="N94" i="97"/>
  <c r="U95" i="97"/>
  <c r="AB96" i="97"/>
  <c r="J98" i="97"/>
  <c r="Q99" i="97"/>
  <c r="N81" i="97"/>
  <c r="AD81" i="97"/>
  <c r="U82" i="97"/>
  <c r="L83" i="97"/>
  <c r="AB83" i="97"/>
  <c r="S84" i="97"/>
  <c r="J85" i="97"/>
  <c r="Z85" i="97"/>
  <c r="Q86" i="97"/>
  <c r="H87" i="97"/>
  <c r="X87" i="97"/>
  <c r="O88" i="97"/>
  <c r="AE88" i="97"/>
  <c r="V89" i="97"/>
  <c r="M90" i="97"/>
  <c r="AC90" i="97"/>
  <c r="T91" i="97"/>
  <c r="K92" i="97"/>
  <c r="AA92" i="97"/>
  <c r="R93" i="97"/>
  <c r="I94" i="97"/>
  <c r="Y94" i="97"/>
  <c r="P95" i="97"/>
  <c r="AF95" i="97"/>
  <c r="W96" i="97"/>
  <c r="N97" i="97"/>
  <c r="AD97" i="97"/>
  <c r="U98" i="97"/>
  <c r="L99" i="97"/>
  <c r="AB99" i="97"/>
  <c r="S100" i="97"/>
  <c r="J101" i="97"/>
  <c r="K15" i="97"/>
  <c r="S21" i="97"/>
  <c r="R26" i="97"/>
  <c r="O29" i="97"/>
  <c r="AC31" i="97"/>
  <c r="R34" i="97"/>
  <c r="AF36" i="97"/>
  <c r="U39" i="97"/>
  <c r="J42" i="97"/>
  <c r="I24" i="97"/>
  <c r="Z35" i="97"/>
  <c r="X44" i="97"/>
  <c r="P48" i="97"/>
  <c r="AD50" i="97"/>
  <c r="S53" i="97"/>
  <c r="H56" i="97"/>
  <c r="V58" i="97"/>
  <c r="X60" i="97"/>
  <c r="AE61" i="97"/>
  <c r="M63" i="97"/>
  <c r="T64" i="97"/>
  <c r="AA65" i="97"/>
  <c r="I67" i="97"/>
  <c r="P68" i="97"/>
  <c r="W69" i="97"/>
  <c r="AD70" i="97"/>
  <c r="P25" i="97"/>
  <c r="Q36" i="97"/>
  <c r="Y44" i="97"/>
  <c r="Q48" i="97"/>
  <c r="AE50" i="97"/>
  <c r="T53" i="97"/>
  <c r="I56" i="97"/>
  <c r="W58" i="97"/>
  <c r="Y60" i="97"/>
  <c r="AF61" i="97"/>
  <c r="N63" i="97"/>
  <c r="U64" i="97"/>
  <c r="AB65" i="97"/>
  <c r="J67" i="97"/>
  <c r="Q68" i="97"/>
  <c r="X69" i="97"/>
  <c r="AE70" i="97"/>
  <c r="M72" i="97"/>
  <c r="T73" i="97"/>
  <c r="AA74" i="97"/>
  <c r="I76" i="97"/>
  <c r="L15" i="97"/>
  <c r="AD31" i="97"/>
  <c r="K42" i="97"/>
  <c r="Q47" i="97"/>
  <c r="AE49" i="97"/>
  <c r="T52" i="97"/>
  <c r="I55" i="97"/>
  <c r="W57" i="97"/>
  <c r="I60" i="97"/>
  <c r="S61" i="97"/>
  <c r="Z62" i="97"/>
  <c r="H64" i="97"/>
  <c r="O65" i="97"/>
  <c r="V66" i="97"/>
  <c r="AC67" i="97"/>
  <c r="K69" i="97"/>
  <c r="R70" i="97"/>
  <c r="Y71" i="97"/>
  <c r="AF72" i="97"/>
  <c r="N74" i="97"/>
  <c r="U75" i="97"/>
  <c r="AB76" i="97"/>
  <c r="R47" i="97"/>
  <c r="X57" i="97"/>
  <c r="I64" i="97"/>
  <c r="L69" i="97"/>
  <c r="AB72" i="97"/>
  <c r="Q75" i="97"/>
  <c r="T77" i="97"/>
  <c r="AA78" i="97"/>
  <c r="I80" i="97"/>
  <c r="P81" i="97"/>
  <c r="W82" i="97"/>
  <c r="AD83" i="97"/>
  <c r="L85" i="97"/>
  <c r="S86" i="97"/>
  <c r="Z87" i="97"/>
  <c r="H89" i="97"/>
  <c r="O90" i="97"/>
  <c r="V91" i="97"/>
  <c r="AC92" i="97"/>
  <c r="K94" i="97"/>
  <c r="R95" i="97"/>
  <c r="Y96" i="97"/>
  <c r="AF97" i="97"/>
  <c r="N99" i="97"/>
  <c r="U100" i="97"/>
  <c r="R101" i="97"/>
  <c r="I102" i="97"/>
  <c r="Y102" i="97"/>
  <c r="P103" i="97"/>
  <c r="AF103" i="97"/>
  <c r="W104" i="97"/>
  <c r="N105" i="97"/>
  <c r="AD105" i="97"/>
  <c r="U106" i="97"/>
  <c r="L107" i="97"/>
  <c r="AB107" i="97"/>
  <c r="S108" i="97"/>
  <c r="J109" i="97"/>
  <c r="Z109" i="97"/>
  <c r="Q110" i="97"/>
  <c r="H111" i="97"/>
  <c r="X111" i="97"/>
  <c r="O112" i="97"/>
  <c r="AE112" i="97"/>
  <c r="V113" i="97"/>
  <c r="AA22" i="97"/>
  <c r="W50" i="97"/>
  <c r="R81" i="97"/>
  <c r="I82" i="97"/>
  <c r="Y82" i="97"/>
  <c r="P83" i="97"/>
  <c r="AF83" i="97"/>
  <c r="W84" i="97"/>
  <c r="N85" i="97"/>
  <c r="AD85" i="97"/>
  <c r="U86" i="97"/>
  <c r="L87" i="97"/>
  <c r="AB87" i="97"/>
  <c r="S88" i="97"/>
  <c r="J89" i="97"/>
  <c r="Z89" i="97"/>
  <c r="Q90" i="97"/>
  <c r="H91" i="97"/>
  <c r="X91" i="97"/>
  <c r="O92" i="97"/>
  <c r="AE92" i="97"/>
  <c r="V93" i="97"/>
  <c r="M94" i="97"/>
  <c r="AC94" i="97"/>
  <c r="T95" i="97"/>
  <c r="K96" i="97"/>
  <c r="AA96" i="97"/>
  <c r="R97" i="97"/>
  <c r="I98" i="97"/>
  <c r="Y98" i="97"/>
  <c r="P99" i="97"/>
  <c r="AF99" i="97"/>
  <c r="W100" i="97"/>
  <c r="N101" i="97"/>
  <c r="W17" i="97"/>
  <c r="Z22" i="97"/>
  <c r="N27" i="97"/>
  <c r="AE29" i="97"/>
  <c r="T32" i="97"/>
  <c r="I35" i="97"/>
  <c r="W37" i="97"/>
  <c r="L40" i="97"/>
  <c r="Z42" i="97"/>
  <c r="I28" i="97"/>
  <c r="O38" i="97"/>
  <c r="AE45" i="97"/>
  <c r="AF48" i="97"/>
  <c r="U51" i="97"/>
  <c r="J54" i="97"/>
  <c r="X56" i="97"/>
  <c r="M59" i="97"/>
  <c r="AF60" i="97"/>
  <c r="N62" i="97"/>
  <c r="U63" i="97"/>
  <c r="AB64" i="97"/>
  <c r="J66" i="97"/>
  <c r="Q67" i="97"/>
  <c r="X68" i="97"/>
  <c r="AE69" i="97"/>
  <c r="M71" i="97"/>
  <c r="Y28" i="97"/>
  <c r="AE38" i="97"/>
  <c r="AF45" i="97"/>
  <c r="H49" i="97"/>
  <c r="V51" i="97"/>
  <c r="K54" i="97"/>
  <c r="Y56" i="97"/>
  <c r="N59" i="97"/>
  <c r="H61" i="97"/>
  <c r="O62" i="97"/>
  <c r="V63" i="97"/>
  <c r="AC64" i="97"/>
  <c r="K66" i="97"/>
  <c r="R67" i="97"/>
  <c r="Y68" i="97"/>
  <c r="AF69" i="97"/>
  <c r="N71" i="97"/>
  <c r="U72" i="97"/>
  <c r="AB73" i="97"/>
  <c r="J75" i="97"/>
  <c r="Q76" i="97"/>
  <c r="T21" i="97"/>
  <c r="S34" i="97"/>
  <c r="H44" i="97"/>
  <c r="H48" i="97"/>
  <c r="V50" i="97"/>
  <c r="K53" i="97"/>
  <c r="Y55" i="97"/>
  <c r="N58" i="97"/>
  <c r="T60" i="97"/>
  <c r="AA61" i="97"/>
  <c r="I63" i="97"/>
  <c r="P64" i="97"/>
  <c r="W65" i="97"/>
  <c r="AD66" i="97"/>
  <c r="L68" i="97"/>
  <c r="S69" i="97"/>
  <c r="Z70" i="97"/>
  <c r="H72" i="97"/>
  <c r="O73" i="97"/>
  <c r="V74" i="97"/>
  <c r="AC75" i="97"/>
  <c r="X17" i="97"/>
  <c r="AF49" i="97"/>
  <c r="J60" i="97"/>
  <c r="P65" i="97"/>
  <c r="S70" i="97"/>
  <c r="S73" i="97"/>
  <c r="H76" i="97"/>
  <c r="AB77" i="97"/>
  <c r="J79" i="97"/>
  <c r="Q80" i="97"/>
  <c r="X81" i="97"/>
  <c r="AE82" i="97"/>
  <c r="M84" i="97"/>
  <c r="T85" i="97"/>
  <c r="AA86" i="97"/>
  <c r="I88" i="97"/>
  <c r="P89" i="97"/>
  <c r="W90" i="97"/>
  <c r="AD91" i="97"/>
  <c r="L93" i="97"/>
  <c r="S94" i="97"/>
  <c r="Z95" i="97"/>
  <c r="H97" i="97"/>
  <c r="O98" i="97"/>
  <c r="V99" i="97"/>
  <c r="AB100" i="97"/>
  <c r="V101" i="97"/>
  <c r="M102" i="97"/>
  <c r="AC102" i="97"/>
  <c r="T103" i="97"/>
  <c r="K104" i="97"/>
  <c r="AA104" i="97"/>
  <c r="R105" i="97"/>
  <c r="I106" i="97"/>
  <c r="Y106" i="97"/>
  <c r="P107" i="97"/>
  <c r="AF107" i="97"/>
  <c r="W108" i="97"/>
  <c r="N109" i="97"/>
  <c r="AD109" i="97"/>
  <c r="U110" i="97"/>
  <c r="L111" i="97"/>
  <c r="AB111" i="97"/>
  <c r="S112" i="97"/>
  <c r="J113" i="97"/>
  <c r="Z113" i="97"/>
  <c r="J35" i="97"/>
  <c r="L53" i="97"/>
  <c r="AB61" i="97"/>
  <c r="AE66" i="97"/>
  <c r="Z71" i="97"/>
  <c r="O74" i="97"/>
  <c r="AC76" i="97"/>
  <c r="N78" i="97"/>
  <c r="U79" i="97"/>
  <c r="AB80" i="97"/>
  <c r="J82" i="97"/>
  <c r="Q83" i="97"/>
  <c r="X84" i="97"/>
  <c r="AE85" i="97"/>
  <c r="M87" i="97"/>
  <c r="T88" i="97"/>
  <c r="AA89" i="97"/>
  <c r="I91" i="97"/>
  <c r="P92" i="97"/>
  <c r="W93" i="97"/>
  <c r="AD94" i="97"/>
  <c r="L96" i="97"/>
  <c r="S97" i="97"/>
  <c r="Z98" i="97"/>
  <c r="U60" i="97"/>
  <c r="AA70" i="97"/>
  <c r="M76" i="97"/>
  <c r="M79" i="97"/>
  <c r="AA81" i="97"/>
  <c r="P84" i="97"/>
  <c r="AD86" i="97"/>
  <c r="S89" i="97"/>
  <c r="H92" i="97"/>
  <c r="V94" i="97"/>
  <c r="K97" i="97"/>
  <c r="Y99" i="97"/>
  <c r="AC100" i="97"/>
  <c r="W101" i="97"/>
  <c r="N102" i="97"/>
  <c r="AD102" i="97"/>
  <c r="U103" i="97"/>
  <c r="L104" i="97"/>
  <c r="AB104" i="97"/>
  <c r="S105" i="97"/>
  <c r="J106" i="97"/>
  <c r="Z106" i="97"/>
  <c r="Q107" i="97"/>
  <c r="H108" i="97"/>
  <c r="X108" i="97"/>
  <c r="O109" i="97"/>
  <c r="AE109" i="97"/>
  <c r="V110" i="97"/>
  <c r="M111" i="97"/>
  <c r="AC111" i="97"/>
  <c r="T112" i="97"/>
  <c r="K113" i="97"/>
  <c r="AA113" i="97"/>
  <c r="P45" i="97"/>
  <c r="Q56" i="97"/>
  <c r="R63" i="97"/>
  <c r="U68" i="97"/>
  <c r="T72" i="97"/>
  <c r="I75" i="97"/>
  <c r="P77" i="97"/>
  <c r="W78" i="97"/>
  <c r="AD79" i="97"/>
  <c r="L81" i="97"/>
  <c r="S82" i="97"/>
  <c r="Z83" i="97"/>
  <c r="H85" i="97"/>
  <c r="O86" i="97"/>
  <c r="V87" i="97"/>
  <c r="AC88" i="97"/>
  <c r="K90" i="97"/>
  <c r="R91" i="97"/>
  <c r="Y92" i="97"/>
  <c r="AF93" i="97"/>
  <c r="N95" i="97"/>
  <c r="U96" i="97"/>
  <c r="AB97" i="97"/>
  <c r="J99" i="97"/>
  <c r="Q100" i="97"/>
  <c r="P101" i="97"/>
  <c r="AF101" i="97"/>
  <c r="W102" i="97"/>
  <c r="N103" i="97"/>
  <c r="AD103" i="97"/>
  <c r="U104" i="97"/>
  <c r="L105" i="97"/>
  <c r="AB105" i="97"/>
  <c r="S106" i="97"/>
  <c r="J107" i="97"/>
  <c r="Z107" i="97"/>
  <c r="Q108" i="97"/>
  <c r="H109" i="97"/>
  <c r="X109" i="97"/>
  <c r="O110" i="97"/>
  <c r="AE110" i="97"/>
  <c r="V111" i="97"/>
  <c r="AF29" i="97"/>
  <c r="R71" i="97"/>
  <c r="Q79" i="97"/>
  <c r="T84" i="97"/>
  <c r="W89" i="97"/>
  <c r="Z94" i="97"/>
  <c r="AC99" i="97"/>
  <c r="AF102" i="97"/>
  <c r="U105" i="97"/>
  <c r="J108" i="97"/>
  <c r="X110" i="97"/>
  <c r="Y112" i="97"/>
  <c r="AF113" i="97"/>
  <c r="X114" i="97"/>
  <c r="O115" i="97"/>
  <c r="AE115" i="97"/>
  <c r="V116" i="97"/>
  <c r="M117" i="97"/>
  <c r="AC117" i="97"/>
  <c r="T118" i="97"/>
  <c r="K119" i="97"/>
  <c r="AA119" i="97"/>
  <c r="R120" i="97"/>
  <c r="I121" i="97"/>
  <c r="Y121" i="97"/>
  <c r="P122" i="97"/>
  <c r="AF122" i="97"/>
  <c r="W123" i="97"/>
  <c r="N124" i="97"/>
  <c r="AD124" i="97"/>
  <c r="U125" i="97"/>
  <c r="L126" i="97"/>
  <c r="AB126" i="97"/>
  <c r="S127" i="97"/>
  <c r="J128" i="97"/>
  <c r="Z128" i="97"/>
  <c r="Q129" i="97"/>
  <c r="H130" i="97"/>
  <c r="X130" i="97"/>
  <c r="O131" i="97"/>
  <c r="AE131" i="97"/>
  <c r="V132" i="97"/>
  <c r="M133" i="97"/>
  <c r="AC133" i="97"/>
  <c r="T134" i="97"/>
  <c r="K135" i="97"/>
  <c r="AA135" i="97"/>
  <c r="R136" i="97"/>
  <c r="I137" i="97"/>
  <c r="Y137" i="97"/>
  <c r="P138" i="97"/>
  <c r="AF138" i="97"/>
  <c r="W139" i="97"/>
  <c r="N140" i="97"/>
  <c r="AD140" i="97"/>
  <c r="U141" i="97"/>
  <c r="L142" i="97"/>
  <c r="AB142" i="97"/>
  <c r="S143" i="97"/>
  <c r="J144" i="97"/>
  <c r="Z144" i="97"/>
  <c r="Q145" i="97"/>
  <c r="H146" i="97"/>
  <c r="X146" i="97"/>
  <c r="O147" i="97"/>
  <c r="AE147" i="97"/>
  <c r="V148" i="97"/>
  <c r="M149" i="97"/>
  <c r="AC149" i="97"/>
  <c r="T150" i="97"/>
  <c r="K151" i="97"/>
  <c r="S54" i="97"/>
  <c r="W74" i="97"/>
  <c r="AF80" i="97"/>
  <c r="J86" i="97"/>
  <c r="M91" i="97"/>
  <c r="P96" i="97"/>
  <c r="L101" i="97"/>
  <c r="AA103" i="97"/>
  <c r="P106" i="97"/>
  <c r="AD108" i="97"/>
  <c r="S111" i="97"/>
  <c r="I113" i="97"/>
  <c r="M114" i="97"/>
  <c r="AC114" i="97"/>
  <c r="T115" i="97"/>
  <c r="K116" i="97"/>
  <c r="AA116" i="97"/>
  <c r="R117" i="97"/>
  <c r="I118" i="97"/>
  <c r="Y118" i="97"/>
  <c r="P119" i="97"/>
  <c r="AF119" i="97"/>
  <c r="W120" i="97"/>
  <c r="N121" i="97"/>
  <c r="J63" i="97"/>
  <c r="Q72" i="97"/>
  <c r="O77" i="97"/>
  <c r="AC79" i="97"/>
  <c r="R82" i="97"/>
  <c r="AF84" i="97"/>
  <c r="U87" i="97"/>
  <c r="J90" i="97"/>
  <c r="X92" i="97"/>
  <c r="M95" i="97"/>
  <c r="AA97" i="97"/>
  <c r="H100" i="97"/>
  <c r="I101" i="97"/>
  <c r="AA101" i="97"/>
  <c r="R102" i="97"/>
  <c r="I103" i="97"/>
  <c r="Y103" i="97"/>
  <c r="P104" i="97"/>
  <c r="AF104" i="97"/>
  <c r="W105" i="97"/>
  <c r="N106" i="97"/>
  <c r="AD106" i="97"/>
  <c r="U107" i="97"/>
  <c r="L108" i="97"/>
  <c r="AB108" i="97"/>
  <c r="S109" i="97"/>
  <c r="J110" i="97"/>
  <c r="Z110" i="97"/>
  <c r="Q111" i="97"/>
  <c r="H112" i="97"/>
  <c r="X112" i="97"/>
  <c r="O113" i="97"/>
  <c r="AE113" i="97"/>
  <c r="Y48" i="97"/>
  <c r="AE58" i="97"/>
  <c r="Y64" i="97"/>
  <c r="AB69" i="97"/>
  <c r="K73" i="97"/>
  <c r="Y75" i="97"/>
  <c r="X77" i="97"/>
  <c r="AE78" i="97"/>
  <c r="M80" i="97"/>
  <c r="T81" i="97"/>
  <c r="AA82" i="97"/>
  <c r="I84" i="97"/>
  <c r="P85" i="97"/>
  <c r="W86" i="97"/>
  <c r="AD87" i="97"/>
  <c r="L89" i="97"/>
  <c r="S90" i="97"/>
  <c r="Z91" i="97"/>
  <c r="H93" i="97"/>
  <c r="O94" i="97"/>
  <c r="V95" i="97"/>
  <c r="AC96" i="97"/>
  <c r="K98" i="97"/>
  <c r="R99" i="97"/>
  <c r="Y100" i="97"/>
  <c r="T101" i="97"/>
  <c r="K102" i="97"/>
  <c r="AA102" i="97"/>
  <c r="R103" i="97"/>
  <c r="I104" i="97"/>
  <c r="Y104" i="97"/>
  <c r="P105" i="97"/>
  <c r="AF105" i="97"/>
  <c r="W106" i="97"/>
  <c r="N107" i="97"/>
  <c r="AD107" i="97"/>
  <c r="U108" i="97"/>
  <c r="L109" i="97"/>
  <c r="AB109" i="97"/>
  <c r="S110" i="97"/>
  <c r="J111" i="97"/>
  <c r="Z111" i="97"/>
  <c r="AD51" i="97"/>
  <c r="AF73" i="97"/>
  <c r="X80" i="97"/>
  <c r="AA85" i="97"/>
  <c r="AD90" i="97"/>
  <c r="H96" i="97"/>
  <c r="AF100" i="97"/>
  <c r="W103" i="97"/>
  <c r="L106" i="97"/>
  <c r="Z108" i="97"/>
  <c r="O111" i="97"/>
  <c r="H113" i="97"/>
  <c r="L114" i="97"/>
  <c r="AB114" i="97"/>
  <c r="S115" i="97"/>
  <c r="J116" i="97"/>
  <c r="Z116" i="97"/>
  <c r="Q117" i="97"/>
  <c r="H118" i="97"/>
  <c r="X118" i="97"/>
  <c r="O119" i="97"/>
  <c r="AE119" i="97"/>
  <c r="V120" i="97"/>
  <c r="M121" i="97"/>
  <c r="AC121" i="97"/>
  <c r="T122" i="97"/>
  <c r="K123" i="97"/>
  <c r="AA123" i="97"/>
  <c r="R124" i="97"/>
  <c r="I125" i="97"/>
  <c r="Y125" i="97"/>
  <c r="P126" i="97"/>
  <c r="AF126" i="97"/>
  <c r="W127" i="97"/>
  <c r="N128" i="97"/>
  <c r="AD128" i="97"/>
  <c r="U129" i="97"/>
  <c r="L130" i="97"/>
  <c r="AB130" i="97"/>
  <c r="S131" i="97"/>
  <c r="J132" i="97"/>
  <c r="Z132" i="97"/>
  <c r="Q133" i="97"/>
  <c r="H134" i="97"/>
  <c r="X134" i="97"/>
  <c r="O135" i="97"/>
  <c r="AE135" i="97"/>
  <c r="V136" i="97"/>
  <c r="M137" i="97"/>
  <c r="AC137" i="97"/>
  <c r="T138" i="97"/>
  <c r="K139" i="97"/>
  <c r="AA139" i="97"/>
  <c r="R140" i="97"/>
  <c r="I141" i="97"/>
  <c r="Y141" i="97"/>
  <c r="P142" i="97"/>
  <c r="AF142" i="97"/>
  <c r="W143" i="97"/>
  <c r="N144" i="97"/>
  <c r="AD144" i="97"/>
  <c r="U145" i="97"/>
  <c r="L146" i="97"/>
  <c r="AB146" i="97"/>
  <c r="S147" i="97"/>
  <c r="J148" i="97"/>
  <c r="Z148" i="97"/>
  <c r="Q149" i="97"/>
  <c r="H150" i="97"/>
  <c r="X150" i="97"/>
  <c r="O151" i="97"/>
  <c r="S62" i="97"/>
  <c r="K77" i="97"/>
  <c r="N82" i="97"/>
  <c r="Q87" i="97"/>
  <c r="T92" i="97"/>
  <c r="W97" i="97"/>
  <c r="AC101" i="97"/>
  <c r="R104" i="97"/>
  <c r="AF106" i="97"/>
  <c r="U109" i="97"/>
  <c r="J112" i="97"/>
  <c r="Q113" i="97"/>
  <c r="Q114" i="97"/>
  <c r="H115" i="97"/>
  <c r="X115" i="97"/>
  <c r="O116" i="97"/>
  <c r="AE116" i="97"/>
  <c r="V117" i="97"/>
  <c r="M118" i="97"/>
  <c r="AC118" i="97"/>
  <c r="T119" i="97"/>
  <c r="K120" i="97"/>
  <c r="AA120" i="97"/>
  <c r="X65" i="97"/>
  <c r="X73" i="97"/>
  <c r="AE77" i="97"/>
  <c r="T80" i="97"/>
  <c r="I83" i="97"/>
  <c r="W85" i="97"/>
  <c r="L88" i="97"/>
  <c r="Z90" i="97"/>
  <c r="O93" i="97"/>
  <c r="AC95" i="97"/>
  <c r="R98" i="97"/>
  <c r="P100" i="97"/>
  <c r="O101" i="97"/>
  <c r="AE101" i="97"/>
  <c r="V102" i="97"/>
  <c r="M103" i="97"/>
  <c r="AC103" i="97"/>
  <c r="T104" i="97"/>
  <c r="K105" i="97"/>
  <c r="AA105" i="97"/>
  <c r="R106" i="97"/>
  <c r="I107" i="97"/>
  <c r="Y107" i="97"/>
  <c r="P108" i="97"/>
  <c r="AF108" i="97"/>
  <c r="W109" i="97"/>
  <c r="N110" i="97"/>
  <c r="AD110" i="97"/>
  <c r="U111" i="97"/>
  <c r="L112" i="97"/>
  <c r="AB112" i="97"/>
  <c r="S113" i="97"/>
  <c r="O27" i="97"/>
  <c r="N51" i="97"/>
  <c r="AC60" i="97"/>
  <c r="AF65" i="97"/>
  <c r="J71" i="97"/>
  <c r="AA73" i="97"/>
  <c r="P76" i="97"/>
  <c r="AF77" i="97"/>
  <c r="N79" i="97"/>
  <c r="U80" i="97"/>
  <c r="AB81" i="97"/>
  <c r="J83" i="97"/>
  <c r="Q84" i="97"/>
  <c r="X85" i="97"/>
  <c r="AE86" i="97"/>
  <c r="M88" i="97"/>
  <c r="T89" i="97"/>
  <c r="AA90" i="97"/>
  <c r="I92" i="97"/>
  <c r="P93" i="97"/>
  <c r="W94" i="97"/>
  <c r="AD95" i="97"/>
  <c r="L97" i="97"/>
  <c r="S98" i="97"/>
  <c r="Z99" i="97"/>
  <c r="AD100" i="97"/>
  <c r="X101" i="97"/>
  <c r="O102" i="97"/>
  <c r="AE102" i="97"/>
  <c r="V103" i="97"/>
  <c r="M104" i="97"/>
  <c r="AC104" i="97"/>
  <c r="T105" i="97"/>
  <c r="K106" i="97"/>
  <c r="AA106" i="97"/>
  <c r="R107" i="97"/>
  <c r="I108" i="97"/>
  <c r="Y108" i="97"/>
  <c r="P109" i="97"/>
  <c r="AF109" i="97"/>
  <c r="W110" i="97"/>
  <c r="N111" i="97"/>
  <c r="AD111" i="97"/>
  <c r="L61" i="97"/>
  <c r="U76" i="97"/>
  <c r="AE81" i="97"/>
  <c r="I87" i="97"/>
  <c r="L92" i="97"/>
  <c r="O97" i="97"/>
  <c r="Y101" i="97"/>
  <c r="N104" i="97"/>
  <c r="AB106" i="97"/>
  <c r="Q109" i="97"/>
  <c r="AE111" i="97"/>
  <c r="P113" i="97"/>
  <c r="P114" i="97"/>
  <c r="AF114" i="97"/>
  <c r="W115" i="97"/>
  <c r="N116" i="97"/>
  <c r="AD116" i="97"/>
  <c r="U117" i="97"/>
  <c r="L118" i="97"/>
  <c r="AB118" i="97"/>
  <c r="S119" i="97"/>
  <c r="J120" i="97"/>
  <c r="Z120" i="97"/>
  <c r="Q121" i="97"/>
  <c r="H122" i="97"/>
  <c r="X122" i="97"/>
  <c r="O123" i="97"/>
  <c r="AE123" i="97"/>
  <c r="V124" i="97"/>
  <c r="M125" i="97"/>
  <c r="AC125" i="97"/>
  <c r="T126" i="97"/>
  <c r="K127" i="97"/>
  <c r="AA127" i="97"/>
  <c r="R128" i="97"/>
  <c r="I129" i="97"/>
  <c r="Y129" i="97"/>
  <c r="P130" i="97"/>
  <c r="AF130" i="97"/>
  <c r="W131" i="97"/>
  <c r="N132" i="97"/>
  <c r="AD132" i="97"/>
  <c r="U133" i="97"/>
  <c r="L134" i="97"/>
  <c r="AB134" i="97"/>
  <c r="S135" i="97"/>
  <c r="J136" i="97"/>
  <c r="Z136" i="97"/>
  <c r="Q137" i="97"/>
  <c r="H138" i="97"/>
  <c r="X138" i="97"/>
  <c r="O139" i="97"/>
  <c r="AE139" i="97"/>
  <c r="V140" i="97"/>
  <c r="M141" i="97"/>
  <c r="AC141" i="97"/>
  <c r="T142" i="97"/>
  <c r="K143" i="97"/>
  <c r="AA143" i="97"/>
  <c r="R144" i="97"/>
  <c r="I145" i="97"/>
  <c r="Y145" i="97"/>
  <c r="P146" i="97"/>
  <c r="AF146" i="97"/>
  <c r="W147" i="97"/>
  <c r="N148" i="97"/>
  <c r="AD148" i="97"/>
  <c r="U149" i="97"/>
  <c r="L150" i="97"/>
  <c r="AB150" i="97"/>
  <c r="S151" i="97"/>
  <c r="V67" i="97"/>
  <c r="R78" i="97"/>
  <c r="U83" i="97"/>
  <c r="X88" i="97"/>
  <c r="AA93" i="97"/>
  <c r="AD98" i="97"/>
  <c r="T102" i="97"/>
  <c r="I105" i="97"/>
  <c r="W107" i="97"/>
  <c r="L110" i="97"/>
  <c r="R112" i="97"/>
  <c r="Y113" i="97"/>
  <c r="U114" i="97"/>
  <c r="L115" i="97"/>
  <c r="AB115" i="97"/>
  <c r="S116" i="97"/>
  <c r="J117" i="97"/>
  <c r="Z117" i="97"/>
  <c r="Q118" i="97"/>
  <c r="H119" i="97"/>
  <c r="X119" i="97"/>
  <c r="O120" i="97"/>
  <c r="M68" i="97"/>
  <c r="AE74" i="97"/>
  <c r="V78" i="97"/>
  <c r="K81" i="97"/>
  <c r="Y83" i="97"/>
  <c r="N86" i="97"/>
  <c r="AB88" i="97"/>
  <c r="Q91" i="97"/>
  <c r="AE93" i="97"/>
  <c r="T96" i="97"/>
  <c r="I99" i="97"/>
  <c r="X100" i="97"/>
  <c r="S101" i="97"/>
  <c r="J102" i="97"/>
  <c r="Z102" i="97"/>
  <c r="Q103" i="97"/>
  <c r="H104" i="97"/>
  <c r="X104" i="97"/>
  <c r="O105" i="97"/>
  <c r="AE105" i="97"/>
  <c r="V106" i="97"/>
  <c r="M107" i="97"/>
  <c r="AC107" i="97"/>
  <c r="T108" i="97"/>
  <c r="K109" i="97"/>
  <c r="AA109" i="97"/>
  <c r="R110" i="97"/>
  <c r="I111" i="97"/>
  <c r="Y111" i="97"/>
  <c r="P112" i="97"/>
  <c r="AF112" i="97"/>
  <c r="W113" i="97"/>
  <c r="X37" i="97"/>
  <c r="AB53" i="97"/>
  <c r="K62" i="97"/>
  <c r="N67" i="97"/>
  <c r="AC71" i="97"/>
  <c r="R74" i="97"/>
  <c r="AF76" i="97"/>
  <c r="O78" i="97"/>
  <c r="V79" i="97"/>
  <c r="AC80" i="97"/>
  <c r="K82" i="97"/>
  <c r="R83" i="97"/>
  <c r="Y84" i="97"/>
  <c r="AF85" i="97"/>
  <c r="N87" i="97"/>
  <c r="U88" i="97"/>
  <c r="AB89" i="97"/>
  <c r="J91" i="97"/>
  <c r="Q92" i="97"/>
  <c r="X93" i="97"/>
  <c r="AE94" i="97"/>
  <c r="M96" i="97"/>
  <c r="T97" i="97"/>
  <c r="AA98" i="97"/>
  <c r="I100" i="97"/>
  <c r="K101" i="97"/>
  <c r="AB101" i="97"/>
  <c r="S102" i="97"/>
  <c r="J103" i="97"/>
  <c r="Z103" i="97"/>
  <c r="Q104" i="97"/>
  <c r="H105" i="97"/>
  <c r="X105" i="97"/>
  <c r="O106" i="97"/>
  <c r="AE106" i="97"/>
  <c r="V107" i="97"/>
  <c r="M108" i="97"/>
  <c r="AC108" i="97"/>
  <c r="T109" i="97"/>
  <c r="K110" i="97"/>
  <c r="AA110" i="97"/>
  <c r="R111" i="97"/>
  <c r="I112" i="97"/>
  <c r="O66" i="97"/>
  <c r="J78" i="97"/>
  <c r="M83" i="97"/>
  <c r="P88" i="97"/>
  <c r="S93" i="97"/>
  <c r="V98" i="97"/>
  <c r="P102" i="97"/>
  <c r="AD104" i="97"/>
  <c r="S107" i="97"/>
  <c r="H110" i="97"/>
  <c r="Q112" i="97"/>
  <c r="X113" i="97"/>
  <c r="T114" i="97"/>
  <c r="K115" i="97"/>
  <c r="AA115" i="97"/>
  <c r="R116" i="97"/>
  <c r="I117" i="97"/>
  <c r="Y117" i="97"/>
  <c r="P118" i="97"/>
  <c r="AF118" i="97"/>
  <c r="W119" i="97"/>
  <c r="N120" i="97"/>
  <c r="AD120" i="97"/>
  <c r="U121" i="97"/>
  <c r="L122" i="97"/>
  <c r="AB122" i="97"/>
  <c r="S123" i="97"/>
  <c r="J124" i="97"/>
  <c r="Z124" i="97"/>
  <c r="Q125" i="97"/>
  <c r="H126" i="97"/>
  <c r="X126" i="97"/>
  <c r="O127" i="97"/>
  <c r="AE127" i="97"/>
  <c r="V128" i="97"/>
  <c r="M129" i="97"/>
  <c r="AC129" i="97"/>
  <c r="T130" i="97"/>
  <c r="K131" i="97"/>
  <c r="AA131" i="97"/>
  <c r="R132" i="97"/>
  <c r="I133" i="97"/>
  <c r="Y133" i="97"/>
  <c r="P134" i="97"/>
  <c r="AF134" i="97"/>
  <c r="W135" i="97"/>
  <c r="N136" i="97"/>
  <c r="AD136" i="97"/>
  <c r="U137" i="97"/>
  <c r="L138" i="97"/>
  <c r="AB138" i="97"/>
  <c r="S139" i="97"/>
  <c r="J140" i="97"/>
  <c r="Z140" i="97"/>
  <c r="Q141" i="97"/>
  <c r="H142" i="97"/>
  <c r="X142" i="97"/>
  <c r="O143" i="97"/>
  <c r="AE143" i="97"/>
  <c r="V144" i="97"/>
  <c r="M145" i="97"/>
  <c r="AC145" i="97"/>
  <c r="T146" i="97"/>
  <c r="K147" i="97"/>
  <c r="AA147" i="97"/>
  <c r="R148" i="97"/>
  <c r="I149" i="97"/>
  <c r="Y149" i="97"/>
  <c r="P150" i="97"/>
  <c r="AF150" i="97"/>
  <c r="M40" i="97"/>
  <c r="I72" i="97"/>
  <c r="Y79" i="97"/>
  <c r="AB84" i="97"/>
  <c r="AE89" i="97"/>
  <c r="I95" i="97"/>
  <c r="L100" i="97"/>
  <c r="K103" i="97"/>
  <c r="Y105" i="97"/>
  <c r="N108" i="97"/>
  <c r="AB110" i="97"/>
  <c r="Z112" i="97"/>
  <c r="H114" i="97"/>
  <c r="Y114" i="97"/>
  <c r="P115" i="97"/>
  <c r="AF115" i="97"/>
  <c r="W116" i="97"/>
  <c r="N117" i="97"/>
  <c r="AD117" i="97"/>
  <c r="U118" i="97"/>
  <c r="L119" i="97"/>
  <c r="AB119" i="97"/>
  <c r="S120" i="97"/>
  <c r="J121" i="97"/>
  <c r="Z121" i="97"/>
  <c r="AE120" i="97"/>
  <c r="I122" i="97"/>
  <c r="Y122" i="97"/>
  <c r="P123" i="97"/>
  <c r="AF123" i="97"/>
  <c r="W124" i="97"/>
  <c r="N125" i="97"/>
  <c r="AD125" i="97"/>
  <c r="U126" i="97"/>
  <c r="L127" i="97"/>
  <c r="AB127" i="97"/>
  <c r="S128" i="97"/>
  <c r="J129" i="97"/>
  <c r="Z129" i="97"/>
  <c r="Q130" i="97"/>
  <c r="H131" i="97"/>
  <c r="X131" i="97"/>
  <c r="O132" i="97"/>
  <c r="AE132" i="97"/>
  <c r="V133" i="97"/>
  <c r="M134" i="97"/>
  <c r="AC134" i="97"/>
  <c r="T135" i="97"/>
  <c r="K136" i="97"/>
  <c r="AA136" i="97"/>
  <c r="R137" i="97"/>
  <c r="I138" i="97"/>
  <c r="Y138" i="97"/>
  <c r="P139" i="97"/>
  <c r="AF139" i="97"/>
  <c r="W140" i="97"/>
  <c r="N141" i="97"/>
  <c r="AD141" i="97"/>
  <c r="U142" i="97"/>
  <c r="L143" i="97"/>
  <c r="AB143" i="97"/>
  <c r="S144" i="97"/>
  <c r="J145" i="97"/>
  <c r="Z145" i="97"/>
  <c r="Q146" i="97"/>
  <c r="H147" i="97"/>
  <c r="X147" i="97"/>
  <c r="O148" i="97"/>
  <c r="AE148" i="97"/>
  <c r="V149" i="97"/>
  <c r="M150" i="97"/>
  <c r="AC150" i="97"/>
  <c r="T151" i="97"/>
  <c r="K152" i="97"/>
  <c r="AA152" i="97"/>
  <c r="R153" i="97"/>
  <c r="I154" i="97"/>
  <c r="Y154" i="97"/>
  <c r="P155" i="97"/>
  <c r="AF155" i="97"/>
  <c r="W156" i="97"/>
  <c r="N157" i="97"/>
  <c r="AD157" i="97"/>
  <c r="U158" i="97"/>
  <c r="L159" i="97"/>
  <c r="AB159" i="97"/>
  <c r="S160" i="97"/>
  <c r="W46" i="97"/>
  <c r="Y72" i="97"/>
  <c r="H80" i="97"/>
  <c r="K85" i="97"/>
  <c r="N90" i="97"/>
  <c r="Q95" i="97"/>
  <c r="T100" i="97"/>
  <c r="O103" i="97"/>
  <c r="AC105" i="97"/>
  <c r="R108" i="97"/>
  <c r="AF110" i="97"/>
  <c r="AC112" i="97"/>
  <c r="J114" i="97"/>
  <c r="Z114" i="97"/>
  <c r="Q115" i="97"/>
  <c r="H116" i="97"/>
  <c r="X116" i="97"/>
  <c r="O117" i="97"/>
  <c r="AE117" i="97"/>
  <c r="V118" i="97"/>
  <c r="M119" i="97"/>
  <c r="AC119" i="97"/>
  <c r="T120" i="97"/>
  <c r="K121" i="97"/>
  <c r="AA121" i="97"/>
  <c r="R122" i="97"/>
  <c r="I123" i="97"/>
  <c r="Y123" i="97"/>
  <c r="P124" i="97"/>
  <c r="AF124" i="97"/>
  <c r="W125" i="97"/>
  <c r="N126" i="97"/>
  <c r="AD126" i="97"/>
  <c r="U127" i="97"/>
  <c r="L128" i="97"/>
  <c r="AB128" i="97"/>
  <c r="S129" i="97"/>
  <c r="J130" i="97"/>
  <c r="Z130" i="97"/>
  <c r="Q131" i="97"/>
  <c r="H132" i="97"/>
  <c r="X132" i="97"/>
  <c r="O133" i="97"/>
  <c r="AE133" i="97"/>
  <c r="V134" i="97"/>
  <c r="M135" i="97"/>
  <c r="AC135" i="97"/>
  <c r="T136" i="97"/>
  <c r="K137" i="97"/>
  <c r="AA137" i="97"/>
  <c r="R138" i="97"/>
  <c r="I139" i="97"/>
  <c r="Y139" i="97"/>
  <c r="P140" i="97"/>
  <c r="AF140" i="97"/>
  <c r="W141" i="97"/>
  <c r="N142" i="97"/>
  <c r="AD142" i="97"/>
  <c r="U143" i="97"/>
  <c r="L144" i="97"/>
  <c r="AB144" i="97"/>
  <c r="S145" i="97"/>
  <c r="J146" i="97"/>
  <c r="Z146" i="97"/>
  <c r="Q147" i="97"/>
  <c r="H148" i="97"/>
  <c r="X148" i="97"/>
  <c r="O149" i="97"/>
  <c r="AE149" i="97"/>
  <c r="V150" i="97"/>
  <c r="M151" i="97"/>
  <c r="AC151" i="97"/>
  <c r="T152" i="97"/>
  <c r="K153" i="97"/>
  <c r="AA153" i="97"/>
  <c r="R154" i="97"/>
  <c r="I155" i="97"/>
  <c r="Y155" i="97"/>
  <c r="P156" i="97"/>
  <c r="AF156" i="97"/>
  <c r="W157" i="97"/>
  <c r="N158" i="97"/>
  <c r="AD158" i="97"/>
  <c r="U159" i="97"/>
  <c r="L160" i="97"/>
  <c r="AB160" i="97"/>
  <c r="S85" i="97"/>
  <c r="S103" i="97"/>
  <c r="AD112" i="97"/>
  <c r="I116" i="97"/>
  <c r="W118" i="97"/>
  <c r="L121" i="97"/>
  <c r="Z123" i="97"/>
  <c r="O126" i="97"/>
  <c r="AC128" i="97"/>
  <c r="R131" i="97"/>
  <c r="AF133" i="97"/>
  <c r="U136" i="97"/>
  <c r="J139" i="97"/>
  <c r="X141" i="97"/>
  <c r="M144" i="97"/>
  <c r="AA146" i="97"/>
  <c r="P149" i="97"/>
  <c r="Z151" i="97"/>
  <c r="H153" i="97"/>
  <c r="O154" i="97"/>
  <c r="V155" i="97"/>
  <c r="AC156" i="97"/>
  <c r="K158" i="97"/>
  <c r="R159" i="97"/>
  <c r="Y160" i="97"/>
  <c r="S161" i="97"/>
  <c r="J162" i="97"/>
  <c r="Z162" i="97"/>
  <c r="R121" i="97"/>
  <c r="M122" i="97"/>
  <c r="AC122" i="97"/>
  <c r="T123" i="97"/>
  <c r="K124" i="97"/>
  <c r="AA124" i="97"/>
  <c r="R125" i="97"/>
  <c r="I126" i="97"/>
  <c r="Y126" i="97"/>
  <c r="P127" i="97"/>
  <c r="AF127" i="97"/>
  <c r="W128" i="97"/>
  <c r="N129" i="97"/>
  <c r="AD129" i="97"/>
  <c r="U130" i="97"/>
  <c r="L131" i="97"/>
  <c r="AB131" i="97"/>
  <c r="S132" i="97"/>
  <c r="J133" i="97"/>
  <c r="Z133" i="97"/>
  <c r="Q134" i="97"/>
  <c r="H135" i="97"/>
  <c r="X135" i="97"/>
  <c r="O136" i="97"/>
  <c r="AE136" i="97"/>
  <c r="V137" i="97"/>
  <c r="M138" i="97"/>
  <c r="AC138" i="97"/>
  <c r="T139" i="97"/>
  <c r="K140" i="97"/>
  <c r="AA140" i="97"/>
  <c r="R141" i="97"/>
  <c r="I142" i="97"/>
  <c r="Y142" i="97"/>
  <c r="P143" i="97"/>
  <c r="AF143" i="97"/>
  <c r="W144" i="97"/>
  <c r="N145" i="97"/>
  <c r="AD145" i="97"/>
  <c r="U146" i="97"/>
  <c r="L147" i="97"/>
  <c r="AB147" i="97"/>
  <c r="S148" i="97"/>
  <c r="J149" i="97"/>
  <c r="Z149" i="97"/>
  <c r="Q150" i="97"/>
  <c r="H151" i="97"/>
  <c r="X151" i="97"/>
  <c r="O152" i="97"/>
  <c r="AE152" i="97"/>
  <c r="V153" i="97"/>
  <c r="M154" i="97"/>
  <c r="AC154" i="97"/>
  <c r="T155" i="97"/>
  <c r="K156" i="97"/>
  <c r="AA156" i="97"/>
  <c r="R157" i="97"/>
  <c r="I158" i="97"/>
  <c r="Y158" i="97"/>
  <c r="P159" i="97"/>
  <c r="AF159" i="97"/>
  <c r="W160" i="97"/>
  <c r="H57" i="97"/>
  <c r="N75" i="97"/>
  <c r="O81" i="97"/>
  <c r="R86" i="97"/>
  <c r="U91" i="97"/>
  <c r="X96" i="97"/>
  <c r="Q101" i="97"/>
  <c r="AE103" i="97"/>
  <c r="T106" i="97"/>
  <c r="I109" i="97"/>
  <c r="W111" i="97"/>
  <c r="L113" i="97"/>
  <c r="N114" i="97"/>
  <c r="AD114" i="97"/>
  <c r="U115" i="97"/>
  <c r="L116" i="97"/>
  <c r="AB116" i="97"/>
  <c r="S117" i="97"/>
  <c r="J118" i="97"/>
  <c r="Z118" i="97"/>
  <c r="Q119" i="97"/>
  <c r="H120" i="97"/>
  <c r="X120" i="97"/>
  <c r="O121" i="97"/>
  <c r="AE121" i="97"/>
  <c r="V122" i="97"/>
  <c r="M123" i="97"/>
  <c r="AC123" i="97"/>
  <c r="T124" i="97"/>
  <c r="K125" i="97"/>
  <c r="AA125" i="97"/>
  <c r="R126" i="97"/>
  <c r="I127" i="97"/>
  <c r="Y127" i="97"/>
  <c r="P128" i="97"/>
  <c r="AF128" i="97"/>
  <c r="W129" i="97"/>
  <c r="N130" i="97"/>
  <c r="AD130" i="97"/>
  <c r="U131" i="97"/>
  <c r="L132" i="97"/>
  <c r="AB132" i="97"/>
  <c r="S133" i="97"/>
  <c r="J134" i="97"/>
  <c r="Z134" i="97"/>
  <c r="Q135" i="97"/>
  <c r="H136" i="97"/>
  <c r="X136" i="97"/>
  <c r="O137" i="97"/>
  <c r="AE137" i="97"/>
  <c r="V138" i="97"/>
  <c r="M139" i="97"/>
  <c r="AC139" i="97"/>
  <c r="T140" i="97"/>
  <c r="K141" i="97"/>
  <c r="AA141" i="97"/>
  <c r="R142" i="97"/>
  <c r="I143" i="97"/>
  <c r="Y143" i="97"/>
  <c r="P144" i="97"/>
  <c r="AF144" i="97"/>
  <c r="W145" i="97"/>
  <c r="N146" i="97"/>
  <c r="AD146" i="97"/>
  <c r="U147" i="97"/>
  <c r="L148" i="97"/>
  <c r="AB148" i="97"/>
  <c r="S149" i="97"/>
  <c r="J150" i="97"/>
  <c r="Z150" i="97"/>
  <c r="Q151" i="97"/>
  <c r="H152" i="97"/>
  <c r="X152" i="97"/>
  <c r="O153" i="97"/>
  <c r="AE153" i="97"/>
  <c r="V154" i="97"/>
  <c r="M155" i="97"/>
  <c r="AC155" i="97"/>
  <c r="T156" i="97"/>
  <c r="K157" i="97"/>
  <c r="AA157" i="97"/>
  <c r="R158" i="97"/>
  <c r="I159" i="97"/>
  <c r="Y159" i="97"/>
  <c r="P160" i="97"/>
  <c r="P49" i="97"/>
  <c r="V90" i="97"/>
  <c r="H106" i="97"/>
  <c r="K114" i="97"/>
  <c r="Y116" i="97"/>
  <c r="N119" i="97"/>
  <c r="AB121" i="97"/>
  <c r="Q124" i="97"/>
  <c r="AE126" i="97"/>
  <c r="T129" i="97"/>
  <c r="I132" i="97"/>
  <c r="W134" i="97"/>
  <c r="L137" i="97"/>
  <c r="Z139" i="97"/>
  <c r="O142" i="97"/>
  <c r="AC144" i="97"/>
  <c r="R147" i="97"/>
  <c r="AF149" i="97"/>
  <c r="I152" i="97"/>
  <c r="P153" i="97"/>
  <c r="W154" i="97"/>
  <c r="AD155" i="97"/>
  <c r="L157" i="97"/>
  <c r="S158" i="97"/>
  <c r="V121" i="97"/>
  <c r="Q122" i="97"/>
  <c r="H123" i="97"/>
  <c r="X123" i="97"/>
  <c r="O124" i="97"/>
  <c r="AE124" i="97"/>
  <c r="V125" i="97"/>
  <c r="M126" i="97"/>
  <c r="AC126" i="97"/>
  <c r="T127" i="97"/>
  <c r="K128" i="97"/>
  <c r="AA128" i="97"/>
  <c r="R129" i="97"/>
  <c r="I130" i="97"/>
  <c r="Y130" i="97"/>
  <c r="P131" i="97"/>
  <c r="AF131" i="97"/>
  <c r="W132" i="97"/>
  <c r="N133" i="97"/>
  <c r="AD133" i="97"/>
  <c r="U134" i="97"/>
  <c r="L135" i="97"/>
  <c r="AB135" i="97"/>
  <c r="S136" i="97"/>
  <c r="J137" i="97"/>
  <c r="Z137" i="97"/>
  <c r="Q138" i="97"/>
  <c r="H139" i="97"/>
  <c r="X139" i="97"/>
  <c r="O140" i="97"/>
  <c r="AE140" i="97"/>
  <c r="V141" i="97"/>
  <c r="M142" i="97"/>
  <c r="AC142" i="97"/>
  <c r="T143" i="97"/>
  <c r="K144" i="97"/>
  <c r="AA144" i="97"/>
  <c r="R145" i="97"/>
  <c r="I146" i="97"/>
  <c r="Y146" i="97"/>
  <c r="P147" i="97"/>
  <c r="AF147" i="97"/>
  <c r="W148" i="97"/>
  <c r="N149" i="97"/>
  <c r="AD149" i="97"/>
  <c r="U150" i="97"/>
  <c r="L151" i="97"/>
  <c r="AB151" i="97"/>
  <c r="S152" i="97"/>
  <c r="J153" i="97"/>
  <c r="Z153" i="97"/>
  <c r="Q154" i="97"/>
  <c r="H155" i="97"/>
  <c r="X155" i="97"/>
  <c r="O156" i="97"/>
  <c r="AE156" i="97"/>
  <c r="V157" i="97"/>
  <c r="M158" i="97"/>
  <c r="AC158" i="97"/>
  <c r="T159" i="97"/>
  <c r="K160" i="97"/>
  <c r="AA160" i="97"/>
  <c r="Z63" i="97"/>
  <c r="S77" i="97"/>
  <c r="V82" i="97"/>
  <c r="Y87" i="97"/>
  <c r="AB92" i="97"/>
  <c r="AE97" i="97"/>
  <c r="H102" i="97"/>
  <c r="V104" i="97"/>
  <c r="K107" i="97"/>
  <c r="Y109" i="97"/>
  <c r="M112" i="97"/>
  <c r="T113" i="97"/>
  <c r="R114" i="97"/>
  <c r="I115" i="97"/>
  <c r="Y115" i="97"/>
  <c r="P116" i="97"/>
  <c r="AF116" i="97"/>
  <c r="W117" i="97"/>
  <c r="N118" i="97"/>
  <c r="AD118" i="97"/>
  <c r="U119" i="97"/>
  <c r="L120" i="97"/>
  <c r="AB120" i="97"/>
  <c r="S121" i="97"/>
  <c r="J122" i="97"/>
  <c r="Z122" i="97"/>
  <c r="Q123" i="97"/>
  <c r="H124" i="97"/>
  <c r="X124" i="97"/>
  <c r="O125" i="97"/>
  <c r="AE125" i="97"/>
  <c r="V126" i="97"/>
  <c r="M127" i="97"/>
  <c r="AC127" i="97"/>
  <c r="T128" i="97"/>
  <c r="K129" i="97"/>
  <c r="AA129" i="97"/>
  <c r="R130" i="97"/>
  <c r="I131" i="97"/>
  <c r="Y131" i="97"/>
  <c r="P132" i="97"/>
  <c r="AF132" i="97"/>
  <c r="W133" i="97"/>
  <c r="N134" i="97"/>
  <c r="AD134" i="97"/>
  <c r="U135" i="97"/>
  <c r="L136" i="97"/>
  <c r="AB136" i="97"/>
  <c r="S137" i="97"/>
  <c r="J138" i="97"/>
  <c r="Z138" i="97"/>
  <c r="Q139" i="97"/>
  <c r="H140" i="97"/>
  <c r="X140" i="97"/>
  <c r="O141" i="97"/>
  <c r="AE141" i="97"/>
  <c r="V142" i="97"/>
  <c r="M143" i="97"/>
  <c r="AC143" i="97"/>
  <c r="T144" i="97"/>
  <c r="K145" i="97"/>
  <c r="AA145" i="97"/>
  <c r="R146" i="97"/>
  <c r="I147" i="97"/>
  <c r="Y147" i="97"/>
  <c r="P148" i="97"/>
  <c r="AF148" i="97"/>
  <c r="W149" i="97"/>
  <c r="N150" i="97"/>
  <c r="AD150" i="97"/>
  <c r="U151" i="97"/>
  <c r="L152" i="97"/>
  <c r="AB152" i="97"/>
  <c r="S153" i="97"/>
  <c r="J154" i="97"/>
  <c r="Z154" i="97"/>
  <c r="Q155" i="97"/>
  <c r="H156" i="97"/>
  <c r="X156" i="97"/>
  <c r="O157" i="97"/>
  <c r="AE157" i="97"/>
  <c r="V158" i="97"/>
  <c r="M159" i="97"/>
  <c r="AC159" i="97"/>
  <c r="T160" i="97"/>
  <c r="P73" i="97"/>
  <c r="Y95" i="97"/>
  <c r="V108" i="97"/>
  <c r="AA114" i="97"/>
  <c r="P117" i="97"/>
  <c r="AD119" i="97"/>
  <c r="S122" i="97"/>
  <c r="H125" i="97"/>
  <c r="V127" i="97"/>
  <c r="K130" i="97"/>
  <c r="Y132" i="97"/>
  <c r="N135" i="97"/>
  <c r="AB137" i="97"/>
  <c r="Q140" i="97"/>
  <c r="AE142" i="97"/>
  <c r="T145" i="97"/>
  <c r="I148" i="97"/>
  <c r="W150" i="97"/>
  <c r="Q152" i="97"/>
  <c r="X153" i="97"/>
  <c r="AE154" i="97"/>
  <c r="M156" i="97"/>
  <c r="T157" i="97"/>
  <c r="AD121" i="97"/>
  <c r="U122" i="97"/>
  <c r="L123" i="97"/>
  <c r="AB123" i="97"/>
  <c r="S124" i="97"/>
  <c r="J125" i="97"/>
  <c r="Z125" i="97"/>
  <c r="Q126" i="97"/>
  <c r="H127" i="97"/>
  <c r="X127" i="97"/>
  <c r="O128" i="97"/>
  <c r="AE128" i="97"/>
  <c r="V129" i="97"/>
  <c r="M130" i="97"/>
  <c r="AC130" i="97"/>
  <c r="T131" i="97"/>
  <c r="K132" i="97"/>
  <c r="AA132" i="97"/>
  <c r="R133" i="97"/>
  <c r="I134" i="97"/>
  <c r="Y134" i="97"/>
  <c r="P135" i="97"/>
  <c r="AF135" i="97"/>
  <c r="W136" i="97"/>
  <c r="N137" i="97"/>
  <c r="AD137" i="97"/>
  <c r="U138" i="97"/>
  <c r="L139" i="97"/>
  <c r="AB139" i="97"/>
  <c r="S140" i="97"/>
  <c r="J141" i="97"/>
  <c r="Z141" i="97"/>
  <c r="Q142" i="97"/>
  <c r="H143" i="97"/>
  <c r="X143" i="97"/>
  <c r="O144" i="97"/>
  <c r="AE144" i="97"/>
  <c r="V145" i="97"/>
  <c r="M146" i="97"/>
  <c r="AC146" i="97"/>
  <c r="T147" i="97"/>
  <c r="K148" i="97"/>
  <c r="AA148" i="97"/>
  <c r="R149" i="97"/>
  <c r="I150" i="97"/>
  <c r="Y150" i="97"/>
  <c r="P151" i="97"/>
  <c r="AF151" i="97"/>
  <c r="W152" i="97"/>
  <c r="N153" i="97"/>
  <c r="AD153" i="97"/>
  <c r="U154" i="97"/>
  <c r="L155" i="97"/>
  <c r="AB155" i="97"/>
  <c r="S156" i="97"/>
  <c r="J157" i="97"/>
  <c r="Z157" i="97"/>
  <c r="Q158" i="97"/>
  <c r="H159" i="97"/>
  <c r="X159" i="97"/>
  <c r="O160" i="97"/>
  <c r="AE160" i="97"/>
  <c r="AC68" i="97"/>
  <c r="Z78" i="97"/>
  <c r="AC83" i="97"/>
  <c r="AF88" i="97"/>
  <c r="J94" i="97"/>
  <c r="M99" i="97"/>
  <c r="X102" i="97"/>
  <c r="M105" i="97"/>
  <c r="AA107" i="97"/>
  <c r="P110" i="97"/>
  <c r="U112" i="97"/>
  <c r="AB113" i="97"/>
  <c r="V114" i="97"/>
  <c r="M115" i="97"/>
  <c r="AC115" i="97"/>
  <c r="T116" i="97"/>
  <c r="K117" i="97"/>
  <c r="AA117" i="97"/>
  <c r="R118" i="97"/>
  <c r="I119" i="97"/>
  <c r="Y119" i="97"/>
  <c r="P120" i="97"/>
  <c r="AF120" i="97"/>
  <c r="W121" i="97"/>
  <c r="N122" i="97"/>
  <c r="AD122" i="97"/>
  <c r="U123" i="97"/>
  <c r="L124" i="97"/>
  <c r="AB124" i="97"/>
  <c r="S125" i="97"/>
  <c r="J126" i="97"/>
  <c r="Z126" i="97"/>
  <c r="Q127" i="97"/>
  <c r="H128" i="97"/>
  <c r="X128" i="97"/>
  <c r="O129" i="97"/>
  <c r="AE129" i="97"/>
  <c r="V130" i="97"/>
  <c r="M131" i="97"/>
  <c r="AC131" i="97"/>
  <c r="T132" i="97"/>
  <c r="K133" i="97"/>
  <c r="AA133" i="97"/>
  <c r="R134" i="97"/>
  <c r="I135" i="97"/>
  <c r="Y135" i="97"/>
  <c r="P136" i="97"/>
  <c r="AF136" i="97"/>
  <c r="W137" i="97"/>
  <c r="N138" i="97"/>
  <c r="AD138" i="97"/>
  <c r="U139" i="97"/>
  <c r="L140" i="97"/>
  <c r="AB140" i="97"/>
  <c r="S141" i="97"/>
  <c r="J142" i="97"/>
  <c r="Z142" i="97"/>
  <c r="Q143" i="97"/>
  <c r="H144" i="97"/>
  <c r="X144" i="97"/>
  <c r="O145" i="97"/>
  <c r="AE145" i="97"/>
  <c r="V146" i="97"/>
  <c r="M147" i="97"/>
  <c r="AC147" i="97"/>
  <c r="T148" i="97"/>
  <c r="K149" i="97"/>
  <c r="AA149" i="97"/>
  <c r="R150" i="97"/>
  <c r="I151" i="97"/>
  <c r="Y151" i="97"/>
  <c r="P152" i="97"/>
  <c r="AF152" i="97"/>
  <c r="W153" i="97"/>
  <c r="N154" i="97"/>
  <c r="AD154" i="97"/>
  <c r="U155" i="97"/>
  <c r="L156" i="97"/>
  <c r="AB156" i="97"/>
  <c r="S157" i="97"/>
  <c r="J158" i="97"/>
  <c r="Z158" i="97"/>
  <c r="Q159" i="97"/>
  <c r="H160" i="97"/>
  <c r="X160" i="97"/>
  <c r="P80" i="97"/>
  <c r="Z100" i="97"/>
  <c r="K111" i="97"/>
  <c r="R115" i="97"/>
  <c r="AF117" i="97"/>
  <c r="U120" i="97"/>
  <c r="J123" i="97"/>
  <c r="X125" i="97"/>
  <c r="M128" i="97"/>
  <c r="AA130" i="97"/>
  <c r="P133" i="97"/>
  <c r="AD135" i="97"/>
  <c r="S138" i="97"/>
  <c r="H141" i="97"/>
  <c r="V143" i="97"/>
  <c r="K146" i="97"/>
  <c r="Y148" i="97"/>
  <c r="N151" i="97"/>
  <c r="Y152" i="97"/>
  <c r="AF153" i="97"/>
  <c r="N155" i="97"/>
  <c r="U156" i="97"/>
  <c r="AB157" i="97"/>
  <c r="J159" i="97"/>
  <c r="Q160" i="97"/>
  <c r="O161" i="97"/>
  <c r="AE161" i="97"/>
  <c r="V162" i="97"/>
  <c r="AA158" i="97"/>
  <c r="K161" i="97"/>
  <c r="R162" i="97"/>
  <c r="Q163" i="97"/>
  <c r="H164" i="97"/>
  <c r="X164" i="97"/>
  <c r="O165" i="97"/>
  <c r="AE165" i="97"/>
  <c r="V166" i="97"/>
  <c r="M167" i="97"/>
  <c r="AC167" i="97"/>
  <c r="T168" i="97"/>
  <c r="K169" i="97"/>
  <c r="AA169" i="97"/>
  <c r="R170" i="97"/>
  <c r="I171" i="97"/>
  <c r="Y171" i="97"/>
  <c r="P172" i="97"/>
  <c r="AF172" i="97"/>
  <c r="W173" i="97"/>
  <c r="N174" i="97"/>
  <c r="AD174" i="97"/>
  <c r="U175" i="97"/>
  <c r="L176" i="97"/>
  <c r="AB176" i="97"/>
  <c r="S177" i="97"/>
  <c r="J178" i="97"/>
  <c r="Z178" i="97"/>
  <c r="Q179" i="97"/>
  <c r="H180" i="97"/>
  <c r="X180" i="97"/>
  <c r="O181" i="97"/>
  <c r="AE181" i="97"/>
  <c r="V182" i="97"/>
  <c r="M183" i="97"/>
  <c r="AC183" i="97"/>
  <c r="T184" i="97"/>
  <c r="K185" i="97"/>
  <c r="AA185" i="97"/>
  <c r="R186" i="97"/>
  <c r="I187" i="97"/>
  <c r="Y187" i="97"/>
  <c r="P188" i="97"/>
  <c r="AF188" i="97"/>
  <c r="W189" i="97"/>
  <c r="N190" i="97"/>
  <c r="AD190" i="97"/>
  <c r="U191" i="97"/>
  <c r="L192" i="97"/>
  <c r="AB192" i="97"/>
  <c r="S193" i="97"/>
  <c r="J194" i="97"/>
  <c r="Z194" i="97"/>
  <c r="Q195" i="97"/>
  <c r="H196" i="97"/>
  <c r="X196" i="97"/>
  <c r="O197" i="97"/>
  <c r="AE197" i="97"/>
  <c r="V198" i="97"/>
  <c r="M199" i="97"/>
  <c r="W81" i="97"/>
  <c r="U101" i="97"/>
  <c r="AA111" i="97"/>
  <c r="V115" i="97"/>
  <c r="K118" i="97"/>
  <c r="Y120" i="97"/>
  <c r="N123" i="97"/>
  <c r="AB125" i="97"/>
  <c r="Q128" i="97"/>
  <c r="AE130" i="97"/>
  <c r="T133" i="97"/>
  <c r="I136" i="97"/>
  <c r="W138" i="97"/>
  <c r="L141" i="97"/>
  <c r="Z143" i="97"/>
  <c r="O146" i="97"/>
  <c r="AC148" i="97"/>
  <c r="R151" i="97"/>
  <c r="Z152" i="97"/>
  <c r="H154" i="97"/>
  <c r="O155" i="97"/>
  <c r="V156" i="97"/>
  <c r="AC157" i="97"/>
  <c r="K159" i="97"/>
  <c r="R160" i="97"/>
  <c r="P161" i="97"/>
  <c r="AF161" i="97"/>
  <c r="W162" i="97"/>
  <c r="N163" i="97"/>
  <c r="AD163" i="97"/>
  <c r="U164" i="97"/>
  <c r="L165" i="97"/>
  <c r="AB165" i="97"/>
  <c r="S166" i="97"/>
  <c r="J167" i="97"/>
  <c r="Z167" i="97"/>
  <c r="Q168" i="97"/>
  <c r="H169" i="97"/>
  <c r="X169" i="97"/>
  <c r="O170" i="97"/>
  <c r="AE170" i="97"/>
  <c r="V171" i="97"/>
  <c r="M172" i="97"/>
  <c r="AC172" i="97"/>
  <c r="T173" i="97"/>
  <c r="K174" i="97"/>
  <c r="AA174" i="97"/>
  <c r="R175" i="97"/>
  <c r="I176" i="97"/>
  <c r="Y176" i="97"/>
  <c r="P177" i="97"/>
  <c r="AF177" i="97"/>
  <c r="W178" i="97"/>
  <c r="N179" i="97"/>
  <c r="AD179" i="97"/>
  <c r="U180" i="97"/>
  <c r="L181" i="97"/>
  <c r="AB181" i="97"/>
  <c r="S182" i="97"/>
  <c r="J183" i="97"/>
  <c r="Z183" i="97"/>
  <c r="Q184" i="97"/>
  <c r="H185" i="97"/>
  <c r="X185" i="97"/>
  <c r="O186" i="97"/>
  <c r="AE186" i="97"/>
  <c r="V187" i="97"/>
  <c r="M188" i="97"/>
  <c r="AC188" i="97"/>
  <c r="T189" i="97"/>
  <c r="K190" i="97"/>
  <c r="AA190" i="97"/>
  <c r="R191" i="97"/>
  <c r="I192" i="97"/>
  <c r="Y192" i="97"/>
  <c r="P193" i="97"/>
  <c r="AF193" i="97"/>
  <c r="W194" i="97"/>
  <c r="N195" i="97"/>
  <c r="AD195" i="97"/>
  <c r="U196" i="97"/>
  <c r="L197" i="97"/>
  <c r="AB197" i="97"/>
  <c r="S198" i="97"/>
  <c r="J199" i="97"/>
  <c r="H65" i="97"/>
  <c r="K93" i="97"/>
  <c r="O107" i="97"/>
  <c r="S114" i="97"/>
  <c r="H117" i="97"/>
  <c r="V119" i="97"/>
  <c r="K122" i="97"/>
  <c r="Y124" i="97"/>
  <c r="N127" i="97"/>
  <c r="AB129" i="97"/>
  <c r="Q132" i="97"/>
  <c r="AE134" i="97"/>
  <c r="T137" i="97"/>
  <c r="I140" i="97"/>
  <c r="W142" i="97"/>
  <c r="L145" i="97"/>
  <c r="Z147" i="97"/>
  <c r="O150" i="97"/>
  <c r="M152" i="97"/>
  <c r="T153" i="97"/>
  <c r="AA154" i="97"/>
  <c r="I156" i="97"/>
  <c r="P157" i="97"/>
  <c r="W158" i="97"/>
  <c r="AD159" i="97"/>
  <c r="I161" i="97"/>
  <c r="Y161" i="97"/>
  <c r="P162" i="97"/>
  <c r="AF162" i="97"/>
  <c r="W163" i="97"/>
  <c r="N164" i="97"/>
  <c r="AD164" i="97"/>
  <c r="U165" i="97"/>
  <c r="L166" i="97"/>
  <c r="AB166" i="97"/>
  <c r="S167" i="97"/>
  <c r="J168" i="97"/>
  <c r="Z168" i="97"/>
  <c r="Q169" i="97"/>
  <c r="H170" i="97"/>
  <c r="X170" i="97"/>
  <c r="O171" i="97"/>
  <c r="AE171" i="97"/>
  <c r="V172" i="97"/>
  <c r="M173" i="97"/>
  <c r="AC173" i="97"/>
  <c r="T174" i="97"/>
  <c r="K175" i="97"/>
  <c r="AA175" i="97"/>
  <c r="R176" i="97"/>
  <c r="I177" i="97"/>
  <c r="Y177" i="97"/>
  <c r="P178" i="97"/>
  <c r="AF178" i="97"/>
  <c r="W179" i="97"/>
  <c r="N180" i="97"/>
  <c r="AD180" i="97"/>
  <c r="U181" i="97"/>
  <c r="L182" i="97"/>
  <c r="AB182" i="97"/>
  <c r="S183" i="97"/>
  <c r="J184" i="97"/>
  <c r="Z184" i="97"/>
  <c r="Q185" i="97"/>
  <c r="H186" i="97"/>
  <c r="X186" i="97"/>
  <c r="O187" i="97"/>
  <c r="AE187" i="97"/>
  <c r="V188" i="97"/>
  <c r="M189" i="97"/>
  <c r="AC189" i="97"/>
  <c r="T190" i="97"/>
  <c r="K191" i="97"/>
  <c r="AA191" i="97"/>
  <c r="R192" i="97"/>
  <c r="I193" i="97"/>
  <c r="Y193" i="97"/>
  <c r="P194" i="97"/>
  <c r="AF194" i="97"/>
  <c r="W195" i="97"/>
  <c r="N196" i="97"/>
  <c r="AD196" i="97"/>
  <c r="U197" i="97"/>
  <c r="L198" i="97"/>
  <c r="AE107" i="97"/>
  <c r="O122" i="97"/>
  <c r="U132" i="97"/>
  <c r="AA142" i="97"/>
  <c r="N152" i="97"/>
  <c r="Q157" i="97"/>
  <c r="Z161" i="97"/>
  <c r="O164" i="97"/>
  <c r="AC166" i="97"/>
  <c r="R169" i="97"/>
  <c r="AF171" i="97"/>
  <c r="U174" i="97"/>
  <c r="J177" i="97"/>
  <c r="X179" i="97"/>
  <c r="M182" i="97"/>
  <c r="AA184" i="97"/>
  <c r="P187" i="97"/>
  <c r="AD189" i="97"/>
  <c r="S192" i="97"/>
  <c r="H195" i="97"/>
  <c r="V197" i="97"/>
  <c r="O199" i="97"/>
  <c r="I200" i="97"/>
  <c r="Y200" i="97"/>
  <c r="P201" i="97"/>
  <c r="AF201" i="97"/>
  <c r="W202" i="97"/>
  <c r="N203" i="97"/>
  <c r="AD203" i="97"/>
  <c r="U204" i="97"/>
  <c r="L205" i="97"/>
  <c r="AB205" i="97"/>
  <c r="S206" i="97"/>
  <c r="J207" i="97"/>
  <c r="Z207" i="97"/>
  <c r="Q208" i="97"/>
  <c r="H209" i="97"/>
  <c r="X209" i="97"/>
  <c r="O210" i="97"/>
  <c r="AE210" i="97"/>
  <c r="V211" i="97"/>
  <c r="M212" i="97"/>
  <c r="AC212" i="97"/>
  <c r="T213" i="97"/>
  <c r="K214" i="97"/>
  <c r="AA214" i="97"/>
  <c r="R215" i="97"/>
  <c r="I216" i="97"/>
  <c r="Y216" i="97"/>
  <c r="P217" i="97"/>
  <c r="AF217" i="97"/>
  <c r="W218" i="97"/>
  <c r="N219" i="97"/>
  <c r="AD219" i="97"/>
  <c r="U220" i="97"/>
  <c r="L221" i="97"/>
  <c r="AB221" i="97"/>
  <c r="S222" i="97"/>
  <c r="J223" i="97"/>
  <c r="Z223" i="97"/>
  <c r="Q224" i="97"/>
  <c r="H225" i="97"/>
  <c r="X225" i="97"/>
  <c r="O226" i="97"/>
  <c r="AE226" i="97"/>
  <c r="V227" i="97"/>
  <c r="M228" i="97"/>
  <c r="AC228" i="97"/>
  <c r="T229" i="97"/>
  <c r="K230" i="97"/>
  <c r="AA230" i="97"/>
  <c r="R231" i="97"/>
  <c r="I232" i="97"/>
  <c r="Y232" i="97"/>
  <c r="P233" i="97"/>
  <c r="AF233" i="97"/>
  <c r="W234" i="97"/>
  <c r="N235" i="97"/>
  <c r="AD235" i="97"/>
  <c r="U236" i="97"/>
  <c r="L237" i="97"/>
  <c r="AB237" i="97"/>
  <c r="S238" i="97"/>
  <c r="J239" i="97"/>
  <c r="Z239" i="97"/>
  <c r="Q240" i="97"/>
  <c r="H241" i="97"/>
  <c r="X241" i="97"/>
  <c r="O242" i="97"/>
  <c r="AE242" i="97"/>
  <c r="V243" i="97"/>
  <c r="M244" i="97"/>
  <c r="AC244" i="97"/>
  <c r="T245" i="97"/>
  <c r="K246" i="97"/>
  <c r="AA246" i="97"/>
  <c r="R247" i="97"/>
  <c r="I248" i="97"/>
  <c r="Y248" i="97"/>
  <c r="P249" i="97"/>
  <c r="AF249" i="97"/>
  <c r="W250" i="97"/>
  <c r="N251" i="97"/>
  <c r="AD251" i="97"/>
  <c r="U252" i="97"/>
  <c r="L253" i="97"/>
  <c r="AB253" i="97"/>
  <c r="S254" i="97"/>
  <c r="J255" i="97"/>
  <c r="Z255" i="97"/>
  <c r="Q256" i="97"/>
  <c r="H257" i="97"/>
  <c r="Z159" i="97"/>
  <c r="W161" i="97"/>
  <c r="AD162" i="97"/>
  <c r="U163" i="97"/>
  <c r="L164" i="97"/>
  <c r="AB164" i="97"/>
  <c r="S165" i="97"/>
  <c r="J166" i="97"/>
  <c r="Z166" i="97"/>
  <c r="Q167" i="97"/>
  <c r="H168" i="97"/>
  <c r="X168" i="97"/>
  <c r="O169" i="97"/>
  <c r="AE169" i="97"/>
  <c r="V170" i="97"/>
  <c r="M171" i="97"/>
  <c r="AC171" i="97"/>
  <c r="T172" i="97"/>
  <c r="K173" i="97"/>
  <c r="AA173" i="97"/>
  <c r="R174" i="97"/>
  <c r="I175" i="97"/>
  <c r="Y175" i="97"/>
  <c r="P176" i="97"/>
  <c r="AF176" i="97"/>
  <c r="W177" i="97"/>
  <c r="N178" i="97"/>
  <c r="AD178" i="97"/>
  <c r="U179" i="97"/>
  <c r="L180" i="97"/>
  <c r="AB180" i="97"/>
  <c r="S181" i="97"/>
  <c r="J182" i="97"/>
  <c r="Z182" i="97"/>
  <c r="Q183" i="97"/>
  <c r="H184" i="97"/>
  <c r="X184" i="97"/>
  <c r="O185" i="97"/>
  <c r="AE185" i="97"/>
  <c r="V186" i="97"/>
  <c r="M187" i="97"/>
  <c r="AC187" i="97"/>
  <c r="T188" i="97"/>
  <c r="K189" i="97"/>
  <c r="AA189" i="97"/>
  <c r="R190" i="97"/>
  <c r="I191" i="97"/>
  <c r="Y191" i="97"/>
  <c r="P192" i="97"/>
  <c r="AF192" i="97"/>
  <c r="W193" i="97"/>
  <c r="N194" i="97"/>
  <c r="AD194" i="97"/>
  <c r="U195" i="97"/>
  <c r="L196" i="97"/>
  <c r="AB196" i="97"/>
  <c r="S197" i="97"/>
  <c r="J198" i="97"/>
  <c r="Z198" i="97"/>
  <c r="Q199" i="97"/>
  <c r="Z86" i="97"/>
  <c r="J104" i="97"/>
  <c r="M113" i="97"/>
  <c r="M116" i="97"/>
  <c r="AA118" i="97"/>
  <c r="P121" i="97"/>
  <c r="AD123" i="97"/>
  <c r="S126" i="97"/>
  <c r="H129" i="97"/>
  <c r="V131" i="97"/>
  <c r="K134" i="97"/>
  <c r="Y136" i="97"/>
  <c r="N139" i="97"/>
  <c r="AB141" i="97"/>
  <c r="Q144" i="97"/>
  <c r="AE146" i="97"/>
  <c r="T149" i="97"/>
  <c r="AA151" i="97"/>
  <c r="I153" i="97"/>
  <c r="P154" i="97"/>
  <c r="W155" i="97"/>
  <c r="AD156" i="97"/>
  <c r="L158" i="97"/>
  <c r="S159" i="97"/>
  <c r="Z160" i="97"/>
  <c r="T161" i="97"/>
  <c r="K162" i="97"/>
  <c r="AA162" i="97"/>
  <c r="R163" i="97"/>
  <c r="I164" i="97"/>
  <c r="Y164" i="97"/>
  <c r="P165" i="97"/>
  <c r="AF165" i="97"/>
  <c r="W166" i="97"/>
  <c r="N167" i="97"/>
  <c r="AD167" i="97"/>
  <c r="U168" i="97"/>
  <c r="L169" i="97"/>
  <c r="AB169" i="97"/>
  <c r="S170" i="97"/>
  <c r="J171" i="97"/>
  <c r="Z171" i="97"/>
  <c r="Q172" i="97"/>
  <c r="H173" i="97"/>
  <c r="X173" i="97"/>
  <c r="O174" i="97"/>
  <c r="AE174" i="97"/>
  <c r="V175" i="97"/>
  <c r="M176" i="97"/>
  <c r="AC176" i="97"/>
  <c r="T177" i="97"/>
  <c r="K178" i="97"/>
  <c r="AA178" i="97"/>
  <c r="R179" i="97"/>
  <c r="I180" i="97"/>
  <c r="Y180" i="97"/>
  <c r="P181" i="97"/>
  <c r="AF181" i="97"/>
  <c r="W182" i="97"/>
  <c r="N183" i="97"/>
  <c r="AD183" i="97"/>
  <c r="U184" i="97"/>
  <c r="L185" i="97"/>
  <c r="AB185" i="97"/>
  <c r="S186" i="97"/>
  <c r="J187" i="97"/>
  <c r="Z187" i="97"/>
  <c r="Q188" i="97"/>
  <c r="H189" i="97"/>
  <c r="X189" i="97"/>
  <c r="O190" i="97"/>
  <c r="AE190" i="97"/>
  <c r="V191" i="97"/>
  <c r="M192" i="97"/>
  <c r="AC192" i="97"/>
  <c r="T193" i="97"/>
  <c r="K194" i="97"/>
  <c r="AA194" i="97"/>
  <c r="R195" i="97"/>
  <c r="I196" i="97"/>
  <c r="Y196" i="97"/>
  <c r="P197" i="97"/>
  <c r="AF197" i="97"/>
  <c r="W198" i="97"/>
  <c r="N199" i="97"/>
  <c r="AA77" i="97"/>
  <c r="N98" i="97"/>
  <c r="AC109" i="97"/>
  <c r="J115" i="97"/>
  <c r="X117" i="97"/>
  <c r="M120" i="97"/>
  <c r="AA122" i="97"/>
  <c r="P125" i="97"/>
  <c r="AD127" i="97"/>
  <c r="S130" i="97"/>
  <c r="H133" i="97"/>
  <c r="V135" i="97"/>
  <c r="K138" i="97"/>
  <c r="Y140" i="97"/>
  <c r="N143" i="97"/>
  <c r="AB145" i="97"/>
  <c r="Q148" i="97"/>
  <c r="AE150" i="97"/>
  <c r="U152" i="97"/>
  <c r="AB153" i="97"/>
  <c r="J155" i="97"/>
  <c r="Q156" i="97"/>
  <c r="X157" i="97"/>
  <c r="AE158" i="97"/>
  <c r="M160" i="97"/>
  <c r="M161" i="97"/>
  <c r="AC161" i="97"/>
  <c r="T162" i="97"/>
  <c r="K163" i="97"/>
  <c r="AA163" i="97"/>
  <c r="R164" i="97"/>
  <c r="I165" i="97"/>
  <c r="Y165" i="97"/>
  <c r="P166" i="97"/>
  <c r="AF166" i="97"/>
  <c r="W167" i="97"/>
  <c r="N168" i="97"/>
  <c r="AD168" i="97"/>
  <c r="U169" i="97"/>
  <c r="L170" i="97"/>
  <c r="AB170" i="97"/>
  <c r="S171" i="97"/>
  <c r="J172" i="97"/>
  <c r="Z172" i="97"/>
  <c r="Q173" i="97"/>
  <c r="H174" i="97"/>
  <c r="X174" i="97"/>
  <c r="O175" i="97"/>
  <c r="AE175" i="97"/>
  <c r="V176" i="97"/>
  <c r="M177" i="97"/>
  <c r="AC177" i="97"/>
  <c r="T178" i="97"/>
  <c r="K179" i="97"/>
  <c r="AA179" i="97"/>
  <c r="R180" i="97"/>
  <c r="I181" i="97"/>
  <c r="Y181" i="97"/>
  <c r="P182" i="97"/>
  <c r="AF182" i="97"/>
  <c r="W183" i="97"/>
  <c r="N184" i="97"/>
  <c r="AD184" i="97"/>
  <c r="U185" i="97"/>
  <c r="L186" i="97"/>
  <c r="AB186" i="97"/>
  <c r="S187" i="97"/>
  <c r="J188" i="97"/>
  <c r="Z188" i="97"/>
  <c r="Q189" i="97"/>
  <c r="H190" i="97"/>
  <c r="X190" i="97"/>
  <c r="O191" i="97"/>
  <c r="AE191" i="97"/>
  <c r="V192" i="97"/>
  <c r="M193" i="97"/>
  <c r="AC193" i="97"/>
  <c r="T194" i="97"/>
  <c r="K195" i="97"/>
  <c r="AA195" i="97"/>
  <c r="R196" i="97"/>
  <c r="I197" i="97"/>
  <c r="Y197" i="97"/>
  <c r="P198" i="97"/>
  <c r="W114" i="97"/>
  <c r="AC124" i="97"/>
  <c r="J135" i="97"/>
  <c r="P145" i="97"/>
  <c r="U153" i="97"/>
  <c r="X158" i="97"/>
  <c r="Q162" i="97"/>
  <c r="AE164" i="97"/>
  <c r="T167" i="97"/>
  <c r="I170" i="97"/>
  <c r="W172" i="97"/>
  <c r="L175" i="97"/>
  <c r="Z177" i="97"/>
  <c r="O180" i="97"/>
  <c r="AC182" i="97"/>
  <c r="R185" i="97"/>
  <c r="AF187" i="97"/>
  <c r="U190" i="97"/>
  <c r="J193" i="97"/>
  <c r="X195" i="97"/>
  <c r="M198" i="97"/>
  <c r="U199" i="97"/>
  <c r="M200" i="97"/>
  <c r="AC200" i="97"/>
  <c r="T201" i="97"/>
  <c r="K202" i="97"/>
  <c r="AA202" i="97"/>
  <c r="R203" i="97"/>
  <c r="I204" i="97"/>
  <c r="Y204" i="97"/>
  <c r="P205" i="97"/>
  <c r="AF205" i="97"/>
  <c r="W206" i="97"/>
  <c r="N207" i="97"/>
  <c r="AD207" i="97"/>
  <c r="U208" i="97"/>
  <c r="L209" i="97"/>
  <c r="AB209" i="97"/>
  <c r="S210" i="97"/>
  <c r="J211" i="97"/>
  <c r="Z211" i="97"/>
  <c r="Q212" i="97"/>
  <c r="H213" i="97"/>
  <c r="X213" i="97"/>
  <c r="O214" i="97"/>
  <c r="AE214" i="97"/>
  <c r="V215" i="97"/>
  <c r="M216" i="97"/>
  <c r="AC216" i="97"/>
  <c r="T217" i="97"/>
  <c r="K218" i="97"/>
  <c r="AA218" i="97"/>
  <c r="R219" i="97"/>
  <c r="I220" i="97"/>
  <c r="Y220" i="97"/>
  <c r="P221" i="97"/>
  <c r="AF221" i="97"/>
  <c r="W222" i="97"/>
  <c r="N223" i="97"/>
  <c r="AD223" i="97"/>
  <c r="U224" i="97"/>
  <c r="L225" i="97"/>
  <c r="AB225" i="97"/>
  <c r="S226" i="97"/>
  <c r="J227" i="97"/>
  <c r="Z227" i="97"/>
  <c r="Q228" i="97"/>
  <c r="H229" i="97"/>
  <c r="X229" i="97"/>
  <c r="O230" i="97"/>
  <c r="AE230" i="97"/>
  <c r="V231" i="97"/>
  <c r="M232" i="97"/>
  <c r="AC232" i="97"/>
  <c r="T233" i="97"/>
  <c r="K234" i="97"/>
  <c r="AA234" i="97"/>
  <c r="R235" i="97"/>
  <c r="I236" i="97"/>
  <c r="Y236" i="97"/>
  <c r="P237" i="97"/>
  <c r="AF237" i="97"/>
  <c r="W238" i="97"/>
  <c r="N239" i="97"/>
  <c r="AD239" i="97"/>
  <c r="U240" i="97"/>
  <c r="L241" i="97"/>
  <c r="AB241" i="97"/>
  <c r="S242" i="97"/>
  <c r="J243" i="97"/>
  <c r="Z243" i="97"/>
  <c r="Q244" i="97"/>
  <c r="H245" i="97"/>
  <c r="X245" i="97"/>
  <c r="O246" i="97"/>
  <c r="AE246" i="97"/>
  <c r="V247" i="97"/>
  <c r="M248" i="97"/>
  <c r="AC248" i="97"/>
  <c r="T249" i="97"/>
  <c r="K250" i="97"/>
  <c r="AA250" i="97"/>
  <c r="R251" i="97"/>
  <c r="I252" i="97"/>
  <c r="Y252" i="97"/>
  <c r="P253" i="97"/>
  <c r="AF253" i="97"/>
  <c r="W254" i="97"/>
  <c r="N255" i="97"/>
  <c r="AD255" i="97"/>
  <c r="U256" i="97"/>
  <c r="L257" i="97"/>
  <c r="I160" i="97"/>
  <c r="AA161" i="97"/>
  <c r="I163" i="97"/>
  <c r="Y163" i="97"/>
  <c r="P164" i="97"/>
  <c r="AF164" i="97"/>
  <c r="W165" i="97"/>
  <c r="N166" i="97"/>
  <c r="AD166" i="97"/>
  <c r="U167" i="97"/>
  <c r="L168" i="97"/>
  <c r="AB168" i="97"/>
  <c r="S169" i="97"/>
  <c r="J170" i="97"/>
  <c r="Z170" i="97"/>
  <c r="Q171" i="97"/>
  <c r="H172" i="97"/>
  <c r="X172" i="97"/>
  <c r="O173" i="97"/>
  <c r="AE173" i="97"/>
  <c r="V174" i="97"/>
  <c r="M175" i="97"/>
  <c r="AC175" i="97"/>
  <c r="T176" i="97"/>
  <c r="K177" i="97"/>
  <c r="AA177" i="97"/>
  <c r="R178" i="97"/>
  <c r="I179" i="97"/>
  <c r="Y179" i="97"/>
  <c r="P180" i="97"/>
  <c r="AF180" i="97"/>
  <c r="W181" i="97"/>
  <c r="N182" i="97"/>
  <c r="AD182" i="97"/>
  <c r="U183" i="97"/>
  <c r="L184" i="97"/>
  <c r="AB184" i="97"/>
  <c r="S185" i="97"/>
  <c r="J186" i="97"/>
  <c r="Z186" i="97"/>
  <c r="Q187" i="97"/>
  <c r="H188" i="97"/>
  <c r="X188" i="97"/>
  <c r="O189" i="97"/>
  <c r="AE189" i="97"/>
  <c r="V190" i="97"/>
  <c r="M191" i="97"/>
  <c r="AC191" i="97"/>
  <c r="T192" i="97"/>
  <c r="K193" i="97"/>
  <c r="AA193" i="97"/>
  <c r="R194" i="97"/>
  <c r="I195" i="97"/>
  <c r="Y195" i="97"/>
  <c r="P196" i="97"/>
  <c r="AF196" i="97"/>
  <c r="W197" i="97"/>
  <c r="N198" i="97"/>
  <c r="AD198" i="97"/>
  <c r="V59" i="97"/>
  <c r="AC91" i="97"/>
  <c r="X106" i="97"/>
  <c r="O114" i="97"/>
  <c r="AC116" i="97"/>
  <c r="R119" i="97"/>
  <c r="AF121" i="97"/>
  <c r="U124" i="97"/>
  <c r="J127" i="97"/>
  <c r="X129" i="97"/>
  <c r="M132" i="97"/>
  <c r="AA134" i="97"/>
  <c r="P137" i="97"/>
  <c r="AD139" i="97"/>
  <c r="S142" i="97"/>
  <c r="H145" i="97"/>
  <c r="V147" i="97"/>
  <c r="K150" i="97"/>
  <c r="J152" i="97"/>
  <c r="Q153" i="97"/>
  <c r="X154" i="97"/>
  <c r="AE155" i="97"/>
  <c r="M157" i="97"/>
  <c r="T158" i="97"/>
  <c r="AA159" i="97"/>
  <c r="H161" i="97"/>
  <c r="X161" i="97"/>
  <c r="O162" i="97"/>
  <c r="AE162" i="97"/>
  <c r="V163" i="97"/>
  <c r="M164" i="97"/>
  <c r="AC164" i="97"/>
  <c r="T165" i="97"/>
  <c r="K166" i="97"/>
  <c r="AA166" i="97"/>
  <c r="R167" i="97"/>
  <c r="I168" i="97"/>
  <c r="Y168" i="97"/>
  <c r="P169" i="97"/>
  <c r="AF169" i="97"/>
  <c r="W170" i="97"/>
  <c r="N171" i="97"/>
  <c r="AD171" i="97"/>
  <c r="U172" i="97"/>
  <c r="L173" i="97"/>
  <c r="AB173" i="97"/>
  <c r="S174" i="97"/>
  <c r="J175" i="97"/>
  <c r="Z175" i="97"/>
  <c r="Q176" i="97"/>
  <c r="H177" i="97"/>
  <c r="X177" i="97"/>
  <c r="O178" i="97"/>
  <c r="AE178" i="97"/>
  <c r="V179" i="97"/>
  <c r="M180" i="97"/>
  <c r="AC180" i="97"/>
  <c r="T181" i="97"/>
  <c r="K182" i="97"/>
  <c r="AA182" i="97"/>
  <c r="R183" i="97"/>
  <c r="I184" i="97"/>
  <c r="Y184" i="97"/>
  <c r="P185" i="97"/>
  <c r="AF185" i="97"/>
  <c r="W186" i="97"/>
  <c r="N187" i="97"/>
  <c r="AD187" i="97"/>
  <c r="U188" i="97"/>
  <c r="L189" i="97"/>
  <c r="AB189" i="97"/>
  <c r="S190" i="97"/>
  <c r="J191" i="97"/>
  <c r="Z191" i="97"/>
  <c r="Q192" i="97"/>
  <c r="H193" i="97"/>
  <c r="X193" i="97"/>
  <c r="O194" i="97"/>
  <c r="AE194" i="97"/>
  <c r="V195" i="97"/>
  <c r="M196" i="97"/>
  <c r="AC196" i="97"/>
  <c r="T197" i="97"/>
  <c r="K198" i="97"/>
  <c r="AA198" i="97"/>
  <c r="R199" i="97"/>
  <c r="AD82" i="97"/>
  <c r="L102" i="97"/>
  <c r="N112" i="97"/>
  <c r="Z115" i="97"/>
  <c r="O118" i="97"/>
  <c r="AC120" i="97"/>
  <c r="R123" i="97"/>
  <c r="AF125" i="97"/>
  <c r="U128" i="97"/>
  <c r="J131" i="97"/>
  <c r="X133" i="97"/>
  <c r="M136" i="97"/>
  <c r="AA138" i="97"/>
  <c r="P141" i="97"/>
  <c r="AD143" i="97"/>
  <c r="S146" i="97"/>
  <c r="H149" i="97"/>
  <c r="V151" i="97"/>
  <c r="AC152" i="97"/>
  <c r="K154" i="97"/>
  <c r="R155" i="97"/>
  <c r="Y156" i="97"/>
  <c r="AF157" i="97"/>
  <c r="N159" i="97"/>
  <c r="U160" i="97"/>
  <c r="Q161" i="97"/>
  <c r="H162" i="97"/>
  <c r="X162" i="97"/>
  <c r="O163" i="97"/>
  <c r="AE163" i="97"/>
  <c r="V164" i="97"/>
  <c r="M165" i="97"/>
  <c r="AC165" i="97"/>
  <c r="T166" i="97"/>
  <c r="K167" i="97"/>
  <c r="AA167" i="97"/>
  <c r="R168" i="97"/>
  <c r="I169" i="97"/>
  <c r="Y169" i="97"/>
  <c r="P170" i="97"/>
  <c r="AF170" i="97"/>
  <c r="W171" i="97"/>
  <c r="N172" i="97"/>
  <c r="AD172" i="97"/>
  <c r="U173" i="97"/>
  <c r="L174" i="97"/>
  <c r="AB174" i="97"/>
  <c r="S175" i="97"/>
  <c r="J176" i="97"/>
  <c r="Z176" i="97"/>
  <c r="Q177" i="97"/>
  <c r="H178" i="97"/>
  <c r="X178" i="97"/>
  <c r="O179" i="97"/>
  <c r="AE179" i="97"/>
  <c r="V180" i="97"/>
  <c r="M181" i="97"/>
  <c r="AC181" i="97"/>
  <c r="T182" i="97"/>
  <c r="K183" i="97"/>
  <c r="AA183" i="97"/>
  <c r="R184" i="97"/>
  <c r="I185" i="97"/>
  <c r="Y185" i="97"/>
  <c r="P186" i="97"/>
  <c r="AF186" i="97"/>
  <c r="W187" i="97"/>
  <c r="N188" i="97"/>
  <c r="AD188" i="97"/>
  <c r="U189" i="97"/>
  <c r="L190" i="97"/>
  <c r="AB190" i="97"/>
  <c r="S191" i="97"/>
  <c r="J192" i="97"/>
  <c r="Z192" i="97"/>
  <c r="Q193" i="97"/>
  <c r="H194" i="97"/>
  <c r="X194" i="97"/>
  <c r="O195" i="97"/>
  <c r="AE195" i="97"/>
  <c r="V196" i="97"/>
  <c r="M197" i="97"/>
  <c r="AC197" i="97"/>
  <c r="K70" i="97"/>
  <c r="L117" i="97"/>
  <c r="R127" i="97"/>
  <c r="X137" i="97"/>
  <c r="AD147" i="97"/>
  <c r="AB154" i="97"/>
  <c r="AE159" i="97"/>
  <c r="H163" i="97"/>
  <c r="V165" i="97"/>
  <c r="K168" i="97"/>
  <c r="Y170" i="97"/>
  <c r="N173" i="97"/>
  <c r="AB175" i="97"/>
  <c r="Q178" i="97"/>
  <c r="AE180" i="97"/>
  <c r="T183" i="97"/>
  <c r="I186" i="97"/>
  <c r="W188" i="97"/>
  <c r="L191" i="97"/>
  <c r="Z193" i="97"/>
  <c r="O196" i="97"/>
  <c r="X198" i="97"/>
  <c r="Z199" i="97"/>
  <c r="Q200" i="97"/>
  <c r="H201" i="97"/>
  <c r="X201" i="97"/>
  <c r="O202" i="97"/>
  <c r="AE202" i="97"/>
  <c r="V203" i="97"/>
  <c r="M204" i="97"/>
  <c r="AC204" i="97"/>
  <c r="T205" i="97"/>
  <c r="K206" i="97"/>
  <c r="AA206" i="97"/>
  <c r="R207" i="97"/>
  <c r="I208" i="97"/>
  <c r="Y208" i="97"/>
  <c r="P209" i="97"/>
  <c r="AF209" i="97"/>
  <c r="W210" i="97"/>
  <c r="N211" i="97"/>
  <c r="AD211" i="97"/>
  <c r="U212" i="97"/>
  <c r="L213" i="97"/>
  <c r="AB213" i="97"/>
  <c r="S214" i="97"/>
  <c r="J215" i="97"/>
  <c r="Z215" i="97"/>
  <c r="Q216" i="97"/>
  <c r="H217" i="97"/>
  <c r="X217" i="97"/>
  <c r="O218" i="97"/>
  <c r="AE218" i="97"/>
  <c r="V219" i="97"/>
  <c r="M220" i="97"/>
  <c r="AC220" i="97"/>
  <c r="T221" i="97"/>
  <c r="K222" i="97"/>
  <c r="AA222" i="97"/>
  <c r="R223" i="97"/>
  <c r="I224" i="97"/>
  <c r="Y224" i="97"/>
  <c r="P225" i="97"/>
  <c r="AF225" i="97"/>
  <c r="W226" i="97"/>
  <c r="N227" i="97"/>
  <c r="AD227" i="97"/>
  <c r="U228" i="97"/>
  <c r="L229" i="97"/>
  <c r="AB229" i="97"/>
  <c r="S230" i="97"/>
  <c r="J231" i="97"/>
  <c r="Z231" i="97"/>
  <c r="Q232" i="97"/>
  <c r="H233" i="97"/>
  <c r="X233" i="97"/>
  <c r="O234" i="97"/>
  <c r="AE234" i="97"/>
  <c r="V235" i="97"/>
  <c r="M236" i="97"/>
  <c r="AC236" i="97"/>
  <c r="T237" i="97"/>
  <c r="K238" i="97"/>
  <c r="AA238" i="97"/>
  <c r="R239" i="97"/>
  <c r="I240" i="97"/>
  <c r="Y240" i="97"/>
  <c r="P241" i="97"/>
  <c r="AF241" i="97"/>
  <c r="W242" i="97"/>
  <c r="N243" i="97"/>
  <c r="AD243" i="97"/>
  <c r="U244" i="97"/>
  <c r="L245" i="97"/>
  <c r="AB245" i="97"/>
  <c r="S246" i="97"/>
  <c r="J247" i="97"/>
  <c r="Z247" i="97"/>
  <c r="Q248" i="97"/>
  <c r="H249" i="97"/>
  <c r="X249" i="97"/>
  <c r="O250" i="97"/>
  <c r="AE250" i="97"/>
  <c r="V251" i="97"/>
  <c r="M252" i="97"/>
  <c r="AC252" i="97"/>
  <c r="T253" i="97"/>
  <c r="K254" i="97"/>
  <c r="AA254" i="97"/>
  <c r="R255" i="97"/>
  <c r="I256" i="97"/>
  <c r="Y256" i="97"/>
  <c r="P257" i="97"/>
  <c r="AF160" i="97"/>
  <c r="N162" i="97"/>
  <c r="M163" i="97"/>
  <c r="AC163" i="97"/>
  <c r="T164" i="97"/>
  <c r="K165" i="97"/>
  <c r="AA165" i="97"/>
  <c r="R166" i="97"/>
  <c r="I167" i="97"/>
  <c r="Y167" i="97"/>
  <c r="P168" i="97"/>
  <c r="AF168" i="97"/>
  <c r="W169" i="97"/>
  <c r="N170" i="97"/>
  <c r="AD170" i="97"/>
  <c r="U171" i="97"/>
  <c r="L172" i="97"/>
  <c r="AB172" i="97"/>
  <c r="S173" i="97"/>
  <c r="J174" i="97"/>
  <c r="Z174" i="97"/>
  <c r="Q175" i="97"/>
  <c r="H176" i="97"/>
  <c r="X176" i="97"/>
  <c r="O177" i="97"/>
  <c r="AE177" i="97"/>
  <c r="V178" i="97"/>
  <c r="M179" i="97"/>
  <c r="AC179" i="97"/>
  <c r="T180" i="97"/>
  <c r="K181" i="97"/>
  <c r="AA181" i="97"/>
  <c r="R182" i="97"/>
  <c r="I183" i="97"/>
  <c r="Y183" i="97"/>
  <c r="P184" i="97"/>
  <c r="AF184" i="97"/>
  <c r="W185" i="97"/>
  <c r="N186" i="97"/>
  <c r="AD186" i="97"/>
  <c r="U187" i="97"/>
  <c r="L188" i="97"/>
  <c r="AB188" i="97"/>
  <c r="S189" i="97"/>
  <c r="J190" i="97"/>
  <c r="Z190" i="97"/>
  <c r="Q191" i="97"/>
  <c r="H192" i="97"/>
  <c r="X192" i="97"/>
  <c r="O193" i="97"/>
  <c r="AE193" i="97"/>
  <c r="V194" i="97"/>
  <c r="M195" i="97"/>
  <c r="AC195" i="97"/>
  <c r="T196" i="97"/>
  <c r="K197" i="97"/>
  <c r="AA197" i="97"/>
  <c r="R198" i="97"/>
  <c r="I199" i="97"/>
  <c r="AD75" i="97"/>
  <c r="AF96" i="97"/>
  <c r="M109" i="97"/>
  <c r="AE114" i="97"/>
  <c r="T117" i="97"/>
  <c r="I120" i="97"/>
  <c r="W122" i="97"/>
  <c r="L125" i="97"/>
  <c r="Z127" i="97"/>
  <c r="O130" i="97"/>
  <c r="AC132" i="97"/>
  <c r="R135" i="97"/>
  <c r="AF137" i="97"/>
  <c r="U140" i="97"/>
  <c r="J143" i="97"/>
  <c r="X145" i="97"/>
  <c r="M148" i="97"/>
  <c r="AA150" i="97"/>
  <c r="R152" i="97"/>
  <c r="Y153" i="97"/>
  <c r="AF154" i="97"/>
  <c r="N156" i="97"/>
  <c r="U157" i="97"/>
  <c r="AB158" i="97"/>
  <c r="J160" i="97"/>
  <c r="L161" i="97"/>
  <c r="AB161" i="97"/>
  <c r="S162" i="97"/>
  <c r="J163" i="97"/>
  <c r="Z163" i="97"/>
  <c r="Q164" i="97"/>
  <c r="H165" i="97"/>
  <c r="X165" i="97"/>
  <c r="O166" i="97"/>
  <c r="AE166" i="97"/>
  <c r="V167" i="97"/>
  <c r="M168" i="97"/>
  <c r="AC168" i="97"/>
  <c r="T169" i="97"/>
  <c r="K170" i="97"/>
  <c r="AA170" i="97"/>
  <c r="R171" i="97"/>
  <c r="I172" i="97"/>
  <c r="Y172" i="97"/>
  <c r="P173" i="97"/>
  <c r="AF173" i="97"/>
  <c r="W174" i="97"/>
  <c r="N175" i="97"/>
  <c r="AD175" i="97"/>
  <c r="U176" i="97"/>
  <c r="L177" i="97"/>
  <c r="AB177" i="97"/>
  <c r="S178" i="97"/>
  <c r="J179" i="97"/>
  <c r="Z179" i="97"/>
  <c r="Q180" i="97"/>
  <c r="H181" i="97"/>
  <c r="X181" i="97"/>
  <c r="O182" i="97"/>
  <c r="AE182" i="97"/>
  <c r="V183" i="97"/>
  <c r="M184" i="97"/>
  <c r="AC184" i="97"/>
  <c r="T185" i="97"/>
  <c r="K186" i="97"/>
  <c r="AA186" i="97"/>
  <c r="R187" i="97"/>
  <c r="I188" i="97"/>
  <c r="Y188" i="97"/>
  <c r="P189" i="97"/>
  <c r="AF189" i="97"/>
  <c r="W190" i="97"/>
  <c r="N191" i="97"/>
  <c r="AD191" i="97"/>
  <c r="U192" i="97"/>
  <c r="L193" i="97"/>
  <c r="AB193" i="97"/>
  <c r="S194" i="97"/>
  <c r="J195" i="97"/>
  <c r="Z195" i="97"/>
  <c r="Q196" i="97"/>
  <c r="H197" i="97"/>
  <c r="X197" i="97"/>
  <c r="O198" i="97"/>
  <c r="AE198" i="97"/>
  <c r="V199" i="97"/>
  <c r="H88" i="97"/>
  <c r="Z104" i="97"/>
  <c r="U113" i="97"/>
  <c r="Q116" i="97"/>
  <c r="AE118" i="97"/>
  <c r="T121" i="97"/>
  <c r="I124" i="97"/>
  <c r="W126" i="97"/>
  <c r="L129" i="97"/>
  <c r="Z131" i="97"/>
  <c r="O134" i="97"/>
  <c r="AC136" i="97"/>
  <c r="R139" i="97"/>
  <c r="AF141" i="97"/>
  <c r="U144" i="97"/>
  <c r="J147" i="97"/>
  <c r="X149" i="97"/>
  <c r="AD151" i="97"/>
  <c r="L153" i="97"/>
  <c r="S154" i="97"/>
  <c r="Z155" i="97"/>
  <c r="H157" i="97"/>
  <c r="O158" i="97"/>
  <c r="V159" i="97"/>
  <c r="AC160" i="97"/>
  <c r="U161" i="97"/>
  <c r="L162" i="97"/>
  <c r="AB162" i="97"/>
  <c r="S163" i="97"/>
  <c r="J164" i="97"/>
  <c r="Z164" i="97"/>
  <c r="Q165" i="97"/>
  <c r="H166" i="97"/>
  <c r="X166" i="97"/>
  <c r="O167" i="97"/>
  <c r="AE167" i="97"/>
  <c r="V168" i="97"/>
  <c r="M169" i="97"/>
  <c r="AC169" i="97"/>
  <c r="T170" i="97"/>
  <c r="K171" i="97"/>
  <c r="AA171" i="97"/>
  <c r="R172" i="97"/>
  <c r="I173" i="97"/>
  <c r="Y173" i="97"/>
  <c r="P174" i="97"/>
  <c r="AF174" i="97"/>
  <c r="W175" i="97"/>
  <c r="N176" i="97"/>
  <c r="AD176" i="97"/>
  <c r="U177" i="97"/>
  <c r="L178" i="97"/>
  <c r="AB178" i="97"/>
  <c r="S179" i="97"/>
  <c r="J180" i="97"/>
  <c r="Z180" i="97"/>
  <c r="Q181" i="97"/>
  <c r="H182" i="97"/>
  <c r="X182" i="97"/>
  <c r="O183" i="97"/>
  <c r="AE183" i="97"/>
  <c r="V184" i="97"/>
  <c r="M185" i="97"/>
  <c r="AC185" i="97"/>
  <c r="T186" i="97"/>
  <c r="K187" i="97"/>
  <c r="AA187" i="97"/>
  <c r="R188" i="97"/>
  <c r="I189" i="97"/>
  <c r="Y189" i="97"/>
  <c r="P190" i="97"/>
  <c r="AF190" i="97"/>
  <c r="W191" i="97"/>
  <c r="N192" i="97"/>
  <c r="AD192" i="97"/>
  <c r="U193" i="97"/>
  <c r="L194" i="97"/>
  <c r="AB194" i="97"/>
  <c r="S195" i="97"/>
  <c r="J196" i="97"/>
  <c r="Z196" i="97"/>
  <c r="Q197" i="97"/>
  <c r="H198" i="97"/>
  <c r="R94" i="97"/>
  <c r="Z119" i="97"/>
  <c r="AF129" i="97"/>
  <c r="M140" i="97"/>
  <c r="S150" i="97"/>
  <c r="J156" i="97"/>
  <c r="J161" i="97"/>
  <c r="X163" i="97"/>
  <c r="M166" i="97"/>
  <c r="AA168" i="97"/>
  <c r="P171" i="97"/>
  <c r="AD173" i="97"/>
  <c r="S176" i="97"/>
  <c r="H179" i="97"/>
  <c r="V181" i="97"/>
  <c r="K184" i="97"/>
  <c r="Y186" i="97"/>
  <c r="N189" i="97"/>
  <c r="AB191" i="97"/>
  <c r="Q194" i="97"/>
  <c r="AE196" i="97"/>
  <c r="AF198" i="97"/>
  <c r="AD199" i="97"/>
  <c r="U200" i="97"/>
  <c r="L201" i="97"/>
  <c r="AB201" i="97"/>
  <c r="S202" i="97"/>
  <c r="J203" i="97"/>
  <c r="Z203" i="97"/>
  <c r="Q204" i="97"/>
  <c r="H205" i="97"/>
  <c r="X205" i="97"/>
  <c r="O206" i="97"/>
  <c r="AE206" i="97"/>
  <c r="V207" i="97"/>
  <c r="M208" i="97"/>
  <c r="AC208" i="97"/>
  <c r="T209" i="97"/>
  <c r="K210" i="97"/>
  <c r="AA210" i="97"/>
  <c r="R211" i="97"/>
  <c r="I212" i="97"/>
  <c r="Y212" i="97"/>
  <c r="P213" i="97"/>
  <c r="AF213" i="97"/>
  <c r="W214" i="97"/>
  <c r="N215" i="97"/>
  <c r="AD215" i="97"/>
  <c r="U216" i="97"/>
  <c r="L217" i="97"/>
  <c r="AB217" i="97"/>
  <c r="S218" i="97"/>
  <c r="J219" i="97"/>
  <c r="Z219" i="97"/>
  <c r="Q220" i="97"/>
  <c r="H221" i="97"/>
  <c r="X221" i="97"/>
  <c r="O222" i="97"/>
  <c r="AE222" i="97"/>
  <c r="V223" i="97"/>
  <c r="M224" i="97"/>
  <c r="AC224" i="97"/>
  <c r="T225" i="97"/>
  <c r="K226" i="97"/>
  <c r="AA226" i="97"/>
  <c r="R227" i="97"/>
  <c r="I228" i="97"/>
  <c r="Y228" i="97"/>
  <c r="P229" i="97"/>
  <c r="AF229" i="97"/>
  <c r="W230" i="97"/>
  <c r="N231" i="97"/>
  <c r="AD231" i="97"/>
  <c r="U232" i="97"/>
  <c r="L233" i="97"/>
  <c r="AB233" i="97"/>
  <c r="S234" i="97"/>
  <c r="J235" i="97"/>
  <c r="Z235" i="97"/>
  <c r="Q236" i="97"/>
  <c r="H237" i="97"/>
  <c r="X237" i="97"/>
  <c r="O238" i="97"/>
  <c r="AE238" i="97"/>
  <c r="V239" i="97"/>
  <c r="M240" i="97"/>
  <c r="AC240" i="97"/>
  <c r="T241" i="97"/>
  <c r="K242" i="97"/>
  <c r="AA242" i="97"/>
  <c r="R243" i="97"/>
  <c r="I244" i="97"/>
  <c r="Y244" i="97"/>
  <c r="P245" i="97"/>
  <c r="AF245" i="97"/>
  <c r="W246" i="97"/>
  <c r="N247" i="97"/>
  <c r="AD247" i="97"/>
  <c r="U248" i="97"/>
  <c r="L249" i="97"/>
  <c r="AB249" i="97"/>
  <c r="S250" i="97"/>
  <c r="J251" i="97"/>
  <c r="Z251" i="97"/>
  <c r="Q252" i="97"/>
  <c r="H253" i="97"/>
  <c r="X253" i="97"/>
  <c r="O254" i="97"/>
  <c r="AE254" i="97"/>
  <c r="V255" i="97"/>
  <c r="M256" i="97"/>
  <c r="AC256" i="97"/>
  <c r="T257" i="97"/>
  <c r="X257" i="97"/>
  <c r="O258" i="97"/>
  <c r="AE258" i="97"/>
  <c r="V259" i="97"/>
  <c r="M260" i="97"/>
  <c r="AC260" i="97"/>
  <c r="T261" i="97"/>
  <c r="K262" i="97"/>
  <c r="AA262" i="97"/>
  <c r="R263" i="97"/>
  <c r="I264" i="97"/>
  <c r="Y264" i="97"/>
  <c r="P265" i="97"/>
  <c r="AF265" i="97"/>
  <c r="W266" i="97"/>
  <c r="N267" i="97"/>
  <c r="AD267" i="97"/>
  <c r="U268" i="97"/>
  <c r="L269" i="97"/>
  <c r="AB269" i="97"/>
  <c r="S270" i="97"/>
  <c r="J271" i="97"/>
  <c r="Z271" i="97"/>
  <c r="Q272" i="97"/>
  <c r="H273" i="97"/>
  <c r="X273" i="97"/>
  <c r="O274" i="97"/>
  <c r="AE274" i="97"/>
  <c r="V275" i="97"/>
  <c r="M276" i="97"/>
  <c r="AC276" i="97"/>
  <c r="T277" i="97"/>
  <c r="K278" i="97"/>
  <c r="AA278" i="97"/>
  <c r="R279" i="97"/>
  <c r="I280" i="97"/>
  <c r="Y280" i="97"/>
  <c r="P281" i="97"/>
  <c r="AF281" i="97"/>
  <c r="W282" i="97"/>
  <c r="N283" i="97"/>
  <c r="AD283" i="97"/>
  <c r="N115" i="97"/>
  <c r="T125" i="97"/>
  <c r="Z135" i="97"/>
  <c r="AF145" i="97"/>
  <c r="AC153" i="97"/>
  <c r="AF158" i="97"/>
  <c r="U162" i="97"/>
  <c r="J165" i="97"/>
  <c r="X167" i="97"/>
  <c r="M170" i="97"/>
  <c r="AA172" i="97"/>
  <c r="P175" i="97"/>
  <c r="AD177" i="97"/>
  <c r="S180" i="97"/>
  <c r="H183" i="97"/>
  <c r="V185" i="97"/>
  <c r="K188" i="97"/>
  <c r="Y190" i="97"/>
  <c r="N193" i="97"/>
  <c r="AB195" i="97"/>
  <c r="Q198" i="97"/>
  <c r="W199" i="97"/>
  <c r="N200" i="97"/>
  <c r="AD200" i="97"/>
  <c r="U201" i="97"/>
  <c r="L202" i="97"/>
  <c r="AB202" i="97"/>
  <c r="S203" i="97"/>
  <c r="J204" i="97"/>
  <c r="Z204" i="97"/>
  <c r="Q205" i="97"/>
  <c r="H206" i="97"/>
  <c r="X206" i="97"/>
  <c r="O207" i="97"/>
  <c r="AE207" i="97"/>
  <c r="V208" i="97"/>
  <c r="M209" i="97"/>
  <c r="AC209" i="97"/>
  <c r="T210" i="97"/>
  <c r="K211" i="97"/>
  <c r="AA211" i="97"/>
  <c r="R212" i="97"/>
  <c r="I213" i="97"/>
  <c r="Y213" i="97"/>
  <c r="P214" i="97"/>
  <c r="AF214" i="97"/>
  <c r="W215" i="97"/>
  <c r="N216" i="97"/>
  <c r="AD216" i="97"/>
  <c r="U217" i="97"/>
  <c r="L218" i="97"/>
  <c r="AB218" i="97"/>
  <c r="S219" i="97"/>
  <c r="J220" i="97"/>
  <c r="Z220" i="97"/>
  <c r="Q221" i="97"/>
  <c r="H222" i="97"/>
  <c r="X222" i="97"/>
  <c r="O223" i="97"/>
  <c r="AE223" i="97"/>
  <c r="V224" i="97"/>
  <c r="M225" i="97"/>
  <c r="AC225" i="97"/>
  <c r="T226" i="97"/>
  <c r="K227" i="97"/>
  <c r="AA227" i="97"/>
  <c r="R228" i="97"/>
  <c r="I229" i="97"/>
  <c r="Y229" i="97"/>
  <c r="P230" i="97"/>
  <c r="AF230" i="97"/>
  <c r="W231" i="97"/>
  <c r="N232" i="97"/>
  <c r="AD232" i="97"/>
  <c r="U233" i="97"/>
  <c r="L234" i="97"/>
  <c r="AB234" i="97"/>
  <c r="S235" i="97"/>
  <c r="J236" i="97"/>
  <c r="Z236" i="97"/>
  <c r="Q237" i="97"/>
  <c r="H238" i="97"/>
  <c r="X238" i="97"/>
  <c r="O239" i="97"/>
  <c r="AE239" i="97"/>
  <c r="V240" i="97"/>
  <c r="M241" i="97"/>
  <c r="AC241" i="97"/>
  <c r="T242" i="97"/>
  <c r="K243" i="97"/>
  <c r="AA243" i="97"/>
  <c r="R244" i="97"/>
  <c r="I245" i="97"/>
  <c r="Y245" i="97"/>
  <c r="P246" i="97"/>
  <c r="AF246" i="97"/>
  <c r="W247" i="97"/>
  <c r="N248" i="97"/>
  <c r="AD248" i="97"/>
  <c r="U249" i="97"/>
  <c r="L250" i="97"/>
  <c r="AB250" i="97"/>
  <c r="S251" i="97"/>
  <c r="J252" i="97"/>
  <c r="Z252" i="97"/>
  <c r="Q253" i="97"/>
  <c r="H254" i="97"/>
  <c r="X254" i="97"/>
  <c r="O255" i="97"/>
  <c r="AE255" i="97"/>
  <c r="V256" i="97"/>
  <c r="M257" i="97"/>
  <c r="AC257" i="97"/>
  <c r="T258" i="97"/>
  <c r="K259" i="97"/>
  <c r="AA259" i="97"/>
  <c r="R260" i="97"/>
  <c r="I261" i="97"/>
  <c r="Y261" i="97"/>
  <c r="P262" i="97"/>
  <c r="AF262" i="97"/>
  <c r="W263" i="97"/>
  <c r="N264" i="97"/>
  <c r="AD264" i="97"/>
  <c r="U265" i="97"/>
  <c r="L266" i="97"/>
  <c r="AB266" i="97"/>
  <c r="S267" i="97"/>
  <c r="J268" i="97"/>
  <c r="Z268" i="97"/>
  <c r="Q269" i="97"/>
  <c r="H270" i="97"/>
  <c r="X270" i="97"/>
  <c r="O271" i="97"/>
  <c r="AE271" i="97"/>
  <c r="V272" i="97"/>
  <c r="M273" i="97"/>
  <c r="AC273" i="97"/>
  <c r="T274" i="97"/>
  <c r="K275" i="97"/>
  <c r="AA275" i="97"/>
  <c r="R276" i="97"/>
  <c r="I277" i="97"/>
  <c r="Y277" i="97"/>
  <c r="P278" i="97"/>
  <c r="AF278" i="97"/>
  <c r="W279" i="97"/>
  <c r="N280" i="97"/>
  <c r="AD280" i="97"/>
  <c r="U281" i="97"/>
  <c r="L282" i="97"/>
  <c r="AB282" i="97"/>
  <c r="S283" i="97"/>
  <c r="J284" i="97"/>
  <c r="Z284" i="97"/>
  <c r="Q285" i="97"/>
  <c r="H286" i="97"/>
  <c r="X286" i="97"/>
  <c r="O287" i="97"/>
  <c r="AE287" i="97"/>
  <c r="V288" i="97"/>
  <c r="M289" i="97"/>
  <c r="AC289" i="97"/>
  <c r="T290" i="97"/>
  <c r="K291" i="97"/>
  <c r="AA291" i="97"/>
  <c r="R292" i="97"/>
  <c r="I293" i="97"/>
  <c r="Y293" i="97"/>
  <c r="P294" i="97"/>
  <c r="AB102" i="97"/>
  <c r="H121" i="97"/>
  <c r="N131" i="97"/>
  <c r="T141" i="97"/>
  <c r="W151" i="97"/>
  <c r="Z156" i="97"/>
  <c r="R161" i="97"/>
  <c r="AF163" i="97"/>
  <c r="U166" i="97"/>
  <c r="J169" i="97"/>
  <c r="X171" i="97"/>
  <c r="M174" i="97"/>
  <c r="AA176" i="97"/>
  <c r="P179" i="97"/>
  <c r="AD181" i="97"/>
  <c r="S184" i="97"/>
  <c r="H187" i="97"/>
  <c r="V189" i="97"/>
  <c r="K192" i="97"/>
  <c r="Y194" i="97"/>
  <c r="N197" i="97"/>
  <c r="K199" i="97"/>
  <c r="AF199" i="97"/>
  <c r="W200" i="97"/>
  <c r="N201" i="97"/>
  <c r="AD201" i="97"/>
  <c r="U202" i="97"/>
  <c r="L203" i="97"/>
  <c r="AB203" i="97"/>
  <c r="S204" i="97"/>
  <c r="J205" i="97"/>
  <c r="Z205" i="97"/>
  <c r="Q206" i="97"/>
  <c r="H207" i="97"/>
  <c r="X207" i="97"/>
  <c r="O208" i="97"/>
  <c r="AE208" i="97"/>
  <c r="V209" i="97"/>
  <c r="M210" i="97"/>
  <c r="AC210" i="97"/>
  <c r="T211" i="97"/>
  <c r="K212" i="97"/>
  <c r="AA212" i="97"/>
  <c r="R213" i="97"/>
  <c r="I214" i="97"/>
  <c r="Y214" i="97"/>
  <c r="P215" i="97"/>
  <c r="AF215" i="97"/>
  <c r="W216" i="97"/>
  <c r="N217" i="97"/>
  <c r="AD217" i="97"/>
  <c r="U218" i="97"/>
  <c r="L219" i="97"/>
  <c r="AB219" i="97"/>
  <c r="S220" i="97"/>
  <c r="J221" i="97"/>
  <c r="Z221" i="97"/>
  <c r="Q222" i="97"/>
  <c r="H223" i="97"/>
  <c r="X223" i="97"/>
  <c r="O224" i="97"/>
  <c r="AE224" i="97"/>
  <c r="V225" i="97"/>
  <c r="M226" i="97"/>
  <c r="AC226" i="97"/>
  <c r="T227" i="97"/>
  <c r="K228" i="97"/>
  <c r="AA228" i="97"/>
  <c r="R229" i="97"/>
  <c r="I230" i="97"/>
  <c r="Y230" i="97"/>
  <c r="P231" i="97"/>
  <c r="AF231" i="97"/>
  <c r="W232" i="97"/>
  <c r="N233" i="97"/>
  <c r="AD233" i="97"/>
  <c r="U234" i="97"/>
  <c r="L235" i="97"/>
  <c r="AB235" i="97"/>
  <c r="S236" i="97"/>
  <c r="J237" i="97"/>
  <c r="Z237" i="97"/>
  <c r="Q238" i="97"/>
  <c r="H239" i="97"/>
  <c r="X239" i="97"/>
  <c r="O240" i="97"/>
  <c r="AE240" i="97"/>
  <c r="V241" i="97"/>
  <c r="M242" i="97"/>
  <c r="AC242" i="97"/>
  <c r="T243" i="97"/>
  <c r="K244" i="97"/>
  <c r="AA244" i="97"/>
  <c r="R245" i="97"/>
  <c r="I246" i="97"/>
  <c r="Y246" i="97"/>
  <c r="P247" i="97"/>
  <c r="AF247" i="97"/>
  <c r="W248" i="97"/>
  <c r="N249" i="97"/>
  <c r="AD249" i="97"/>
  <c r="U250" i="97"/>
  <c r="L251" i="97"/>
  <c r="AB251" i="97"/>
  <c r="S252" i="97"/>
  <c r="J253" i="97"/>
  <c r="Z253" i="97"/>
  <c r="Q254" i="97"/>
  <c r="H255" i="97"/>
  <c r="X255" i="97"/>
  <c r="O256" i="97"/>
  <c r="AE256" i="97"/>
  <c r="V257" i="97"/>
  <c r="M258" i="97"/>
  <c r="AC258" i="97"/>
  <c r="T259" i="97"/>
  <c r="K260" i="97"/>
  <c r="AA260" i="97"/>
  <c r="R261" i="97"/>
  <c r="I262" i="97"/>
  <c r="Y262" i="97"/>
  <c r="P263" i="97"/>
  <c r="AF263" i="97"/>
  <c r="W264" i="97"/>
  <c r="N265" i="97"/>
  <c r="AD265" i="97"/>
  <c r="AB257" i="97"/>
  <c r="S258" i="97"/>
  <c r="J259" i="97"/>
  <c r="Z259" i="97"/>
  <c r="Q260" i="97"/>
  <c r="H261" i="97"/>
  <c r="X261" i="97"/>
  <c r="O262" i="97"/>
  <c r="AE262" i="97"/>
  <c r="V263" i="97"/>
  <c r="M264" i="97"/>
  <c r="AC264" i="97"/>
  <c r="T265" i="97"/>
  <c r="K266" i="97"/>
  <c r="AA266" i="97"/>
  <c r="R267" i="97"/>
  <c r="I268" i="97"/>
  <c r="Y268" i="97"/>
  <c r="P269" i="97"/>
  <c r="AF269" i="97"/>
  <c r="W270" i="97"/>
  <c r="N271" i="97"/>
  <c r="AD271" i="97"/>
  <c r="U272" i="97"/>
  <c r="L273" i="97"/>
  <c r="AB273" i="97"/>
  <c r="S274" i="97"/>
  <c r="J275" i="97"/>
  <c r="Z275" i="97"/>
  <c r="Q276" i="97"/>
  <c r="H277" i="97"/>
  <c r="X277" i="97"/>
  <c r="O278" i="97"/>
  <c r="AE278" i="97"/>
  <c r="V279" i="97"/>
  <c r="M280" i="97"/>
  <c r="AC280" i="97"/>
  <c r="T281" i="97"/>
  <c r="K282" i="97"/>
  <c r="AA282" i="97"/>
  <c r="R283" i="97"/>
  <c r="I79" i="97"/>
  <c r="AB117" i="97"/>
  <c r="I128" i="97"/>
  <c r="O138" i="97"/>
  <c r="U148" i="97"/>
  <c r="K155" i="97"/>
  <c r="N160" i="97"/>
  <c r="L163" i="97"/>
  <c r="Z165" i="97"/>
  <c r="O168" i="97"/>
  <c r="AC170" i="97"/>
  <c r="R173" i="97"/>
  <c r="AF175" i="97"/>
  <c r="U178" i="97"/>
  <c r="J181" i="97"/>
  <c r="X183" i="97"/>
  <c r="M186" i="97"/>
  <c r="AA188" i="97"/>
  <c r="P191" i="97"/>
  <c r="AD193" i="97"/>
  <c r="S196" i="97"/>
  <c r="Y198" i="97"/>
  <c r="AA199" i="97"/>
  <c r="R200" i="97"/>
  <c r="I201" i="97"/>
  <c r="Y201" i="97"/>
  <c r="P202" i="97"/>
  <c r="AF202" i="97"/>
  <c r="W203" i="97"/>
  <c r="N204" i="97"/>
  <c r="AD204" i="97"/>
  <c r="U205" i="97"/>
  <c r="L206" i="97"/>
  <c r="AB206" i="97"/>
  <c r="S207" i="97"/>
  <c r="J208" i="97"/>
  <c r="Z208" i="97"/>
  <c r="Q209" i="97"/>
  <c r="H210" i="97"/>
  <c r="X210" i="97"/>
  <c r="O211" i="97"/>
  <c r="AE211" i="97"/>
  <c r="V212" i="97"/>
  <c r="M213" i="97"/>
  <c r="AC213" i="97"/>
  <c r="T214" i="97"/>
  <c r="K215" i="97"/>
  <c r="AA215" i="97"/>
  <c r="R216" i="97"/>
  <c r="I217" i="97"/>
  <c r="Y217" i="97"/>
  <c r="P218" i="97"/>
  <c r="AF218" i="97"/>
  <c r="W219" i="97"/>
  <c r="N220" i="97"/>
  <c r="AD220" i="97"/>
  <c r="U221" i="97"/>
  <c r="L222" i="97"/>
  <c r="AB222" i="97"/>
  <c r="S223" i="97"/>
  <c r="J224" i="97"/>
  <c r="Z224" i="97"/>
  <c r="Q225" i="97"/>
  <c r="H226" i="97"/>
  <c r="X226" i="97"/>
  <c r="O227" i="97"/>
  <c r="AE227" i="97"/>
  <c r="V228" i="97"/>
  <c r="M229" i="97"/>
  <c r="AC229" i="97"/>
  <c r="T230" i="97"/>
  <c r="K231" i="97"/>
  <c r="AA231" i="97"/>
  <c r="R232" i="97"/>
  <c r="I233" i="97"/>
  <c r="Y233" i="97"/>
  <c r="P234" i="97"/>
  <c r="AF234" i="97"/>
  <c r="W235" i="97"/>
  <c r="N236" i="97"/>
  <c r="AD236" i="97"/>
  <c r="U237" i="97"/>
  <c r="L238" i="97"/>
  <c r="AB238" i="97"/>
  <c r="S239" i="97"/>
  <c r="J240" i="97"/>
  <c r="Z240" i="97"/>
  <c r="Q241" i="97"/>
  <c r="H242" i="97"/>
  <c r="X242" i="97"/>
  <c r="O243" i="97"/>
  <c r="AE243" i="97"/>
  <c r="V244" i="97"/>
  <c r="M245" i="97"/>
  <c r="AC245" i="97"/>
  <c r="T246" i="97"/>
  <c r="K247" i="97"/>
  <c r="AA247" i="97"/>
  <c r="R248" i="97"/>
  <c r="I249" i="97"/>
  <c r="Y249" i="97"/>
  <c r="P250" i="97"/>
  <c r="AF250" i="97"/>
  <c r="W251" i="97"/>
  <c r="N252" i="97"/>
  <c r="AD252" i="97"/>
  <c r="U253" i="97"/>
  <c r="L254" i="97"/>
  <c r="AB254" i="97"/>
  <c r="S255" i="97"/>
  <c r="J256" i="97"/>
  <c r="Z256" i="97"/>
  <c r="Q257" i="97"/>
  <c r="H258" i="97"/>
  <c r="X258" i="97"/>
  <c r="O259" i="97"/>
  <c r="AE259" i="97"/>
  <c r="V260" i="97"/>
  <c r="M261" i="97"/>
  <c r="AC261" i="97"/>
  <c r="T262" i="97"/>
  <c r="K263" i="97"/>
  <c r="AA263" i="97"/>
  <c r="R264" i="97"/>
  <c r="I265" i="97"/>
  <c r="Y265" i="97"/>
  <c r="P266" i="97"/>
  <c r="AF266" i="97"/>
  <c r="W267" i="97"/>
  <c r="N268" i="97"/>
  <c r="AD268" i="97"/>
  <c r="U269" i="97"/>
  <c r="L270" i="97"/>
  <c r="AB270" i="97"/>
  <c r="S271" i="97"/>
  <c r="J272" i="97"/>
  <c r="Z272" i="97"/>
  <c r="Q273" i="97"/>
  <c r="H274" i="97"/>
  <c r="X274" i="97"/>
  <c r="O275" i="97"/>
  <c r="AE275" i="97"/>
  <c r="V276" i="97"/>
  <c r="M277" i="97"/>
  <c r="AC277" i="97"/>
  <c r="T278" i="97"/>
  <c r="K279" i="97"/>
  <c r="AA279" i="97"/>
  <c r="R280" i="97"/>
  <c r="I281" i="97"/>
  <c r="Y281" i="97"/>
  <c r="P282" i="97"/>
  <c r="AF282" i="97"/>
  <c r="W283" i="97"/>
  <c r="N284" i="97"/>
  <c r="AD284" i="97"/>
  <c r="U285" i="97"/>
  <c r="L286" i="97"/>
  <c r="AB286" i="97"/>
  <c r="S287" i="97"/>
  <c r="J288" i="97"/>
  <c r="Z288" i="97"/>
  <c r="Q289" i="97"/>
  <c r="H290" i="97"/>
  <c r="X290" i="97"/>
  <c r="O291" i="97"/>
  <c r="AE291" i="97"/>
  <c r="V292" i="97"/>
  <c r="M293" i="97"/>
  <c r="AC293" i="97"/>
  <c r="T294" i="97"/>
  <c r="V112" i="97"/>
  <c r="V123" i="97"/>
  <c r="AB133" i="97"/>
  <c r="I144" i="97"/>
  <c r="AD152" i="97"/>
  <c r="H158" i="97"/>
  <c r="I162" i="97"/>
  <c r="W164" i="97"/>
  <c r="L167" i="97"/>
  <c r="Z169" i="97"/>
  <c r="O172" i="97"/>
  <c r="AC174" i="97"/>
  <c r="R177" i="97"/>
  <c r="AF179" i="97"/>
  <c r="U182" i="97"/>
  <c r="J185" i="97"/>
  <c r="X187" i="97"/>
  <c r="M190" i="97"/>
  <c r="AA192" i="97"/>
  <c r="P195" i="97"/>
  <c r="AD197" i="97"/>
  <c r="S199" i="97"/>
  <c r="K200" i="97"/>
  <c r="AA200" i="97"/>
  <c r="R201" i="97"/>
  <c r="I202" i="97"/>
  <c r="Y202" i="97"/>
  <c r="P203" i="97"/>
  <c r="AF203" i="97"/>
  <c r="W204" i="97"/>
  <c r="N205" i="97"/>
  <c r="AD205" i="97"/>
  <c r="U206" i="97"/>
  <c r="L207" i="97"/>
  <c r="AB207" i="97"/>
  <c r="S208" i="97"/>
  <c r="J209" i="97"/>
  <c r="Z209" i="97"/>
  <c r="Q210" i="97"/>
  <c r="H211" i="97"/>
  <c r="X211" i="97"/>
  <c r="O212" i="97"/>
  <c r="AE212" i="97"/>
  <c r="V213" i="97"/>
  <c r="M214" i="97"/>
  <c r="AC214" i="97"/>
  <c r="T215" i="97"/>
  <c r="K216" i="97"/>
  <c r="AA216" i="97"/>
  <c r="R217" i="97"/>
  <c r="I218" i="97"/>
  <c r="Y218" i="97"/>
  <c r="P219" i="97"/>
  <c r="AF219" i="97"/>
  <c r="W220" i="97"/>
  <c r="N221" i="97"/>
  <c r="AD221" i="97"/>
  <c r="U222" i="97"/>
  <c r="L223" i="97"/>
  <c r="AB223" i="97"/>
  <c r="S224" i="97"/>
  <c r="J225" i="97"/>
  <c r="Z225" i="97"/>
  <c r="Q226" i="97"/>
  <c r="H227" i="97"/>
  <c r="X227" i="97"/>
  <c r="O228" i="97"/>
  <c r="AE228" i="97"/>
  <c r="V229" i="97"/>
  <c r="M230" i="97"/>
  <c r="AC230" i="97"/>
  <c r="T231" i="97"/>
  <c r="K232" i="97"/>
  <c r="AA232" i="97"/>
  <c r="R233" i="97"/>
  <c r="I234" i="97"/>
  <c r="Y234" i="97"/>
  <c r="P235" i="97"/>
  <c r="AF235" i="97"/>
  <c r="W236" i="97"/>
  <c r="N237" i="97"/>
  <c r="AD237" i="97"/>
  <c r="U238" i="97"/>
  <c r="L239" i="97"/>
  <c r="AB239" i="97"/>
  <c r="S240" i="97"/>
  <c r="J241" i="97"/>
  <c r="Z241" i="97"/>
  <c r="Q242" i="97"/>
  <c r="H243" i="97"/>
  <c r="X243" i="97"/>
  <c r="O244" i="97"/>
  <c r="AE244" i="97"/>
  <c r="V245" i="97"/>
  <c r="M246" i="97"/>
  <c r="AC246" i="97"/>
  <c r="T247" i="97"/>
  <c r="K248" i="97"/>
  <c r="AA248" i="97"/>
  <c r="R249" i="97"/>
  <c r="I250" i="97"/>
  <c r="Y250" i="97"/>
  <c r="P251" i="97"/>
  <c r="AF251" i="97"/>
  <c r="W252" i="97"/>
  <c r="N253" i="97"/>
  <c r="AD253" i="97"/>
  <c r="U254" i="97"/>
  <c r="L255" i="97"/>
  <c r="AB255" i="97"/>
  <c r="S256" i="97"/>
  <c r="J257" i="97"/>
  <c r="Z257" i="97"/>
  <c r="Q258" i="97"/>
  <c r="H259" i="97"/>
  <c r="X259" i="97"/>
  <c r="O260" i="97"/>
  <c r="AE260" i="97"/>
  <c r="V261" i="97"/>
  <c r="M262" i="97"/>
  <c r="AC262" i="97"/>
  <c r="T263" i="97"/>
  <c r="AF257" i="97"/>
  <c r="W258" i="97"/>
  <c r="N259" i="97"/>
  <c r="AD259" i="97"/>
  <c r="U260" i="97"/>
  <c r="L261" i="97"/>
  <c r="AB261" i="97"/>
  <c r="S262" i="97"/>
  <c r="J263" i="97"/>
  <c r="Z263" i="97"/>
  <c r="Q264" i="97"/>
  <c r="H265" i="97"/>
  <c r="X265" i="97"/>
  <c r="O266" i="97"/>
  <c r="AE266" i="97"/>
  <c r="V267" i="97"/>
  <c r="M268" i="97"/>
  <c r="AC268" i="97"/>
  <c r="T269" i="97"/>
  <c r="K270" i="97"/>
  <c r="AA270" i="97"/>
  <c r="R271" i="97"/>
  <c r="I272" i="97"/>
  <c r="Y272" i="97"/>
  <c r="P273" i="97"/>
  <c r="AF273" i="97"/>
  <c r="W274" i="97"/>
  <c r="N275" i="97"/>
  <c r="AD275" i="97"/>
  <c r="U276" i="97"/>
  <c r="L277" i="97"/>
  <c r="AB277" i="97"/>
  <c r="S278" i="97"/>
  <c r="J279" i="97"/>
  <c r="Z279" i="97"/>
  <c r="Q280" i="97"/>
  <c r="H281" i="97"/>
  <c r="X281" i="97"/>
  <c r="O282" i="97"/>
  <c r="AE282" i="97"/>
  <c r="V283" i="97"/>
  <c r="U99" i="97"/>
  <c r="Q120" i="97"/>
  <c r="W130" i="97"/>
  <c r="AC140" i="97"/>
  <c r="J151" i="97"/>
  <c r="R156" i="97"/>
  <c r="N161" i="97"/>
  <c r="AB163" i="97"/>
  <c r="Q166" i="97"/>
  <c r="AE168" i="97"/>
  <c r="T171" i="97"/>
  <c r="I174" i="97"/>
  <c r="W176" i="97"/>
  <c r="L179" i="97"/>
  <c r="Z181" i="97"/>
  <c r="O184" i="97"/>
  <c r="AC186" i="97"/>
  <c r="R189" i="97"/>
  <c r="AF191" i="97"/>
  <c r="U194" i="97"/>
  <c r="J197" i="97"/>
  <c r="H199" i="97"/>
  <c r="AE199" i="97"/>
  <c r="V200" i="97"/>
  <c r="M201" i="97"/>
  <c r="AC201" i="97"/>
  <c r="T202" i="97"/>
  <c r="K203" i="97"/>
  <c r="AA203" i="97"/>
  <c r="R204" i="97"/>
  <c r="I205" i="97"/>
  <c r="Y205" i="97"/>
  <c r="P206" i="97"/>
  <c r="AF206" i="97"/>
  <c r="W207" i="97"/>
  <c r="N208" i="97"/>
  <c r="AD208" i="97"/>
  <c r="U209" i="97"/>
  <c r="L210" i="97"/>
  <c r="AB210" i="97"/>
  <c r="S211" i="97"/>
  <c r="J212" i="97"/>
  <c r="Z212" i="97"/>
  <c r="Q213" i="97"/>
  <c r="H214" i="97"/>
  <c r="X214" i="97"/>
  <c r="O215" i="97"/>
  <c r="AE215" i="97"/>
  <c r="V216" i="97"/>
  <c r="M217" i="97"/>
  <c r="AC217" i="97"/>
  <c r="T218" i="97"/>
  <c r="K219" i="97"/>
  <c r="AA219" i="97"/>
  <c r="R220" i="97"/>
  <c r="I221" i="97"/>
  <c r="Y221" i="97"/>
  <c r="P222" i="97"/>
  <c r="AF222" i="97"/>
  <c r="W223" i="97"/>
  <c r="N224" i="97"/>
  <c r="AD224" i="97"/>
  <c r="U225" i="97"/>
  <c r="L226" i="97"/>
  <c r="AB226" i="97"/>
  <c r="S227" i="97"/>
  <c r="J228" i="97"/>
  <c r="Z228" i="97"/>
  <c r="Q229" i="97"/>
  <c r="H230" i="97"/>
  <c r="X230" i="97"/>
  <c r="O231" i="97"/>
  <c r="AE231" i="97"/>
  <c r="V232" i="97"/>
  <c r="M233" i="97"/>
  <c r="AC233" i="97"/>
  <c r="T234" i="97"/>
  <c r="K235" i="97"/>
  <c r="AA235" i="97"/>
  <c r="R236" i="97"/>
  <c r="I237" i="97"/>
  <c r="Y237" i="97"/>
  <c r="P238" i="97"/>
  <c r="AF238" i="97"/>
  <c r="W239" i="97"/>
  <c r="N240" i="97"/>
  <c r="AD240" i="97"/>
  <c r="U241" i="97"/>
  <c r="L242" i="97"/>
  <c r="AB242" i="97"/>
  <c r="S243" i="97"/>
  <c r="J244" i="97"/>
  <c r="Z244" i="97"/>
  <c r="Q245" i="97"/>
  <c r="H246" i="97"/>
  <c r="X246" i="97"/>
  <c r="O247" i="97"/>
  <c r="AE247" i="97"/>
  <c r="V248" i="97"/>
  <c r="M249" i="97"/>
  <c r="AC249" i="97"/>
  <c r="T250" i="97"/>
  <c r="K251" i="97"/>
  <c r="AA251" i="97"/>
  <c r="R252" i="97"/>
  <c r="I253" i="97"/>
  <c r="Y253" i="97"/>
  <c r="P254" i="97"/>
  <c r="AF254" i="97"/>
  <c r="W255" i="97"/>
  <c r="N256" i="97"/>
  <c r="AD256" i="97"/>
  <c r="U257" i="97"/>
  <c r="L258" i="97"/>
  <c r="AB258" i="97"/>
  <c r="S259" i="97"/>
  <c r="J260" i="97"/>
  <c r="Z260" i="97"/>
  <c r="Q261" i="97"/>
  <c r="H262" i="97"/>
  <c r="X262" i="97"/>
  <c r="O263" i="97"/>
  <c r="AE263" i="97"/>
  <c r="V264" i="97"/>
  <c r="M265" i="97"/>
  <c r="AC265" i="97"/>
  <c r="T266" i="97"/>
  <c r="K267" i="97"/>
  <c r="AA267" i="97"/>
  <c r="R268" i="97"/>
  <c r="I269" i="97"/>
  <c r="Y269" i="97"/>
  <c r="P270" i="97"/>
  <c r="AF270" i="97"/>
  <c r="W271" i="97"/>
  <c r="N272" i="97"/>
  <c r="AD272" i="97"/>
  <c r="U273" i="97"/>
  <c r="L274" i="97"/>
  <c r="AB274" i="97"/>
  <c r="S275" i="97"/>
  <c r="J276" i="97"/>
  <c r="Z276" i="97"/>
  <c r="Q277" i="97"/>
  <c r="H278" i="97"/>
  <c r="X278" i="97"/>
  <c r="O279" i="97"/>
  <c r="AE279" i="97"/>
  <c r="V280" i="97"/>
  <c r="M281" i="97"/>
  <c r="AC281" i="97"/>
  <c r="T282" i="97"/>
  <c r="K283" i="97"/>
  <c r="AA283" i="97"/>
  <c r="R284" i="97"/>
  <c r="I285" i="97"/>
  <c r="Y285" i="97"/>
  <c r="P286" i="97"/>
  <c r="AF286" i="97"/>
  <c r="W287" i="97"/>
  <c r="N288" i="97"/>
  <c r="AD288" i="97"/>
  <c r="U289" i="97"/>
  <c r="L290" i="97"/>
  <c r="AB290" i="97"/>
  <c r="S291" i="97"/>
  <c r="J292" i="97"/>
  <c r="Z292" i="97"/>
  <c r="Q293" i="97"/>
  <c r="H294" i="97"/>
  <c r="X294" i="97"/>
  <c r="AD115" i="97"/>
  <c r="K126" i="97"/>
  <c r="Q136" i="97"/>
  <c r="W146" i="97"/>
  <c r="L154" i="97"/>
  <c r="O159" i="97"/>
  <c r="Y162" i="97"/>
  <c r="N165" i="97"/>
  <c r="AB167" i="97"/>
  <c r="Q170" i="97"/>
  <c r="AE172" i="97"/>
  <c r="T175" i="97"/>
  <c r="I178" i="97"/>
  <c r="W180" i="97"/>
  <c r="L183" i="97"/>
  <c r="Z185" i="97"/>
  <c r="O188" i="97"/>
  <c r="AC190" i="97"/>
  <c r="R193" i="97"/>
  <c r="AF195" i="97"/>
  <c r="T198" i="97"/>
  <c r="X199" i="97"/>
  <c r="O200" i="97"/>
  <c r="AE200" i="97"/>
  <c r="V201" i="97"/>
  <c r="M202" i="97"/>
  <c r="AC202" i="97"/>
  <c r="T203" i="97"/>
  <c r="K204" i="97"/>
  <c r="AA204" i="97"/>
  <c r="R205" i="97"/>
  <c r="I206" i="97"/>
  <c r="Y206" i="97"/>
  <c r="P207" i="97"/>
  <c r="AF207" i="97"/>
  <c r="W208" i="97"/>
  <c r="N209" i="97"/>
  <c r="AD209" i="97"/>
  <c r="U210" i="97"/>
  <c r="L211" i="97"/>
  <c r="AB211" i="97"/>
  <c r="S212" i="97"/>
  <c r="J213" i="97"/>
  <c r="Z213" i="97"/>
  <c r="Q214" i="97"/>
  <c r="H215" i="97"/>
  <c r="X215" i="97"/>
  <c r="O216" i="97"/>
  <c r="AE216" i="97"/>
  <c r="V217" i="97"/>
  <c r="M218" i="97"/>
  <c r="AC218" i="97"/>
  <c r="T219" i="97"/>
  <c r="K220" i="97"/>
  <c r="AA220" i="97"/>
  <c r="R221" i="97"/>
  <c r="I222" i="97"/>
  <c r="Y222" i="97"/>
  <c r="P223" i="97"/>
  <c r="AF223" i="97"/>
  <c r="W224" i="97"/>
  <c r="N225" i="97"/>
  <c r="AD225" i="97"/>
  <c r="U226" i="97"/>
  <c r="L227" i="97"/>
  <c r="AB227" i="97"/>
  <c r="S228" i="97"/>
  <c r="J229" i="97"/>
  <c r="Z229" i="97"/>
  <c r="Q230" i="97"/>
  <c r="H231" i="97"/>
  <c r="X231" i="97"/>
  <c r="O232" i="97"/>
  <c r="AE232" i="97"/>
  <c r="V233" i="97"/>
  <c r="M234" i="97"/>
  <c r="AC234" i="97"/>
  <c r="T235" i="97"/>
  <c r="K236" i="97"/>
  <c r="AA236" i="97"/>
  <c r="R237" i="97"/>
  <c r="I238" i="97"/>
  <c r="Y238" i="97"/>
  <c r="P239" i="97"/>
  <c r="AF239" i="97"/>
  <c r="W240" i="97"/>
  <c r="N241" i="97"/>
  <c r="AD241" i="97"/>
  <c r="U242" i="97"/>
  <c r="L243" i="97"/>
  <c r="AB243" i="97"/>
  <c r="S244" i="97"/>
  <c r="J245" i="97"/>
  <c r="Z245" i="97"/>
  <c r="Q246" i="97"/>
  <c r="H247" i="97"/>
  <c r="X247" i="97"/>
  <c r="O248" i="97"/>
  <c r="AE248" i="97"/>
  <c r="V249" i="97"/>
  <c r="M250" i="97"/>
  <c r="AC250" i="97"/>
  <c r="T251" i="97"/>
  <c r="K252" i="97"/>
  <c r="AA252" i="97"/>
  <c r="R253" i="97"/>
  <c r="I254" i="97"/>
  <c r="Y254" i="97"/>
  <c r="P255" i="97"/>
  <c r="AF255" i="97"/>
  <c r="W256" i="97"/>
  <c r="N257" i="97"/>
  <c r="AD257" i="97"/>
  <c r="U258" i="97"/>
  <c r="L259" i="97"/>
  <c r="AB259" i="97"/>
  <c r="S260" i="97"/>
  <c r="J261" i="97"/>
  <c r="Z261" i="97"/>
  <c r="Q262" i="97"/>
  <c r="H263" i="97"/>
  <c r="X263" i="97"/>
  <c r="K258" i="97"/>
  <c r="AA258" i="97"/>
  <c r="R259" i="97"/>
  <c r="I260" i="97"/>
  <c r="Y260" i="97"/>
  <c r="P261" i="97"/>
  <c r="AF261" i="97"/>
  <c r="W262" i="97"/>
  <c r="N263" i="97"/>
  <c r="AD263" i="97"/>
  <c r="U264" i="97"/>
  <c r="L265" i="97"/>
  <c r="AB265" i="97"/>
  <c r="S266" i="97"/>
  <c r="J267" i="97"/>
  <c r="Z267" i="97"/>
  <c r="Q268" i="97"/>
  <c r="H269" i="97"/>
  <c r="X269" i="97"/>
  <c r="O270" i="97"/>
  <c r="AE270" i="97"/>
  <c r="V271" i="97"/>
  <c r="M272" i="97"/>
  <c r="AC272" i="97"/>
  <c r="T273" i="97"/>
  <c r="K274" i="97"/>
  <c r="AA274" i="97"/>
  <c r="R275" i="97"/>
  <c r="I276" i="97"/>
  <c r="Y276" i="97"/>
  <c r="P277" i="97"/>
  <c r="AF277" i="97"/>
  <c r="W278" i="97"/>
  <c r="N279" i="97"/>
  <c r="AD279" i="97"/>
  <c r="U280" i="97"/>
  <c r="L281" i="97"/>
  <c r="AB281" i="97"/>
  <c r="S282" i="97"/>
  <c r="J283" i="97"/>
  <c r="Z283" i="97"/>
  <c r="T110" i="97"/>
  <c r="AE122" i="97"/>
  <c r="L133" i="97"/>
  <c r="R143" i="97"/>
  <c r="V152" i="97"/>
  <c r="Y157" i="97"/>
  <c r="AD161" i="97"/>
  <c r="S164" i="97"/>
  <c r="H167" i="97"/>
  <c r="V169" i="97"/>
  <c r="K172" i="97"/>
  <c r="Y174" i="97"/>
  <c r="N177" i="97"/>
  <c r="AB179" i="97"/>
  <c r="Q182" i="97"/>
  <c r="AE184" i="97"/>
  <c r="T187" i="97"/>
  <c r="I190" i="97"/>
  <c r="W192" i="97"/>
  <c r="L195" i="97"/>
  <c r="Z197" i="97"/>
  <c r="P199" i="97"/>
  <c r="J200" i="97"/>
  <c r="Z200" i="97"/>
  <c r="Q201" i="97"/>
  <c r="H202" i="97"/>
  <c r="X202" i="97"/>
  <c r="O203" i="97"/>
  <c r="AE203" i="97"/>
  <c r="V204" i="97"/>
  <c r="M205" i="97"/>
  <c r="AC205" i="97"/>
  <c r="T206" i="97"/>
  <c r="K207" i="97"/>
  <c r="AA207" i="97"/>
  <c r="R208" i="97"/>
  <c r="I209" i="97"/>
  <c r="Y209" i="97"/>
  <c r="P210" i="97"/>
  <c r="AF210" i="97"/>
  <c r="W211" i="97"/>
  <c r="N212" i="97"/>
  <c r="AD212" i="97"/>
  <c r="U213" i="97"/>
  <c r="L214" i="97"/>
  <c r="AB214" i="97"/>
  <c r="S215" i="97"/>
  <c r="J216" i="97"/>
  <c r="Z216" i="97"/>
  <c r="Q217" i="97"/>
  <c r="H218" i="97"/>
  <c r="X218" i="97"/>
  <c r="O219" i="97"/>
  <c r="AE219" i="97"/>
  <c r="V220" i="97"/>
  <c r="M221" i="97"/>
  <c r="AC221" i="97"/>
  <c r="T222" i="97"/>
  <c r="K223" i="97"/>
  <c r="AA223" i="97"/>
  <c r="R224" i="97"/>
  <c r="I225" i="97"/>
  <c r="Y225" i="97"/>
  <c r="P226" i="97"/>
  <c r="AF226" i="97"/>
  <c r="W227" i="97"/>
  <c r="N228" i="97"/>
  <c r="AD228" i="97"/>
  <c r="U229" i="97"/>
  <c r="L230" i="97"/>
  <c r="AB230" i="97"/>
  <c r="S231" i="97"/>
  <c r="J232" i="97"/>
  <c r="Z232" i="97"/>
  <c r="Q233" i="97"/>
  <c r="H234" i="97"/>
  <c r="X234" i="97"/>
  <c r="O235" i="97"/>
  <c r="AE235" i="97"/>
  <c r="V236" i="97"/>
  <c r="M237" i="97"/>
  <c r="AC237" i="97"/>
  <c r="T238" i="97"/>
  <c r="K239" i="97"/>
  <c r="AA239" i="97"/>
  <c r="R240" i="97"/>
  <c r="I241" i="97"/>
  <c r="Y241" i="97"/>
  <c r="P242" i="97"/>
  <c r="AF242" i="97"/>
  <c r="W243" i="97"/>
  <c r="N244" i="97"/>
  <c r="AD244" i="97"/>
  <c r="U245" i="97"/>
  <c r="L246" i="97"/>
  <c r="AB246" i="97"/>
  <c r="S247" i="97"/>
  <c r="J248" i="97"/>
  <c r="Z248" i="97"/>
  <c r="Q249" i="97"/>
  <c r="H250" i="97"/>
  <c r="X250" i="97"/>
  <c r="O251" i="97"/>
  <c r="AE251" i="97"/>
  <c r="V252" i="97"/>
  <c r="M253" i="97"/>
  <c r="AC253" i="97"/>
  <c r="T254" i="97"/>
  <c r="K255" i="97"/>
  <c r="AA255" i="97"/>
  <c r="R256" i="97"/>
  <c r="I257" i="97"/>
  <c r="Y257" i="97"/>
  <c r="P258" i="97"/>
  <c r="AF258" i="97"/>
  <c r="W259" i="97"/>
  <c r="N260" i="97"/>
  <c r="AD260" i="97"/>
  <c r="U261" i="97"/>
  <c r="L262" i="97"/>
  <c r="AB262" i="97"/>
  <c r="S263" i="97"/>
  <c r="J264" i="97"/>
  <c r="Z264" i="97"/>
  <c r="Q265" i="97"/>
  <c r="H266" i="97"/>
  <c r="X266" i="97"/>
  <c r="O267" i="97"/>
  <c r="AE267" i="97"/>
  <c r="V268" i="97"/>
  <c r="M269" i="97"/>
  <c r="AC269" i="97"/>
  <c r="T270" i="97"/>
  <c r="K271" i="97"/>
  <c r="AA271" i="97"/>
  <c r="R272" i="97"/>
  <c r="I273" i="97"/>
  <c r="Y273" i="97"/>
  <c r="P274" i="97"/>
  <c r="AF274" i="97"/>
  <c r="W275" i="97"/>
  <c r="N276" i="97"/>
  <c r="AD276" i="97"/>
  <c r="U277" i="97"/>
  <c r="L278" i="97"/>
  <c r="AB278" i="97"/>
  <c r="S279" i="97"/>
  <c r="J280" i="97"/>
  <c r="Z280" i="97"/>
  <c r="Q281" i="97"/>
  <c r="H282" i="97"/>
  <c r="X282" i="97"/>
  <c r="O283" i="97"/>
  <c r="AE283" i="97"/>
  <c r="V284" i="97"/>
  <c r="M285" i="97"/>
  <c r="AC285" i="97"/>
  <c r="T286" i="97"/>
  <c r="K287" i="97"/>
  <c r="AA287" i="97"/>
  <c r="R288" i="97"/>
  <c r="I289" i="97"/>
  <c r="Y289" i="97"/>
  <c r="P290" i="97"/>
  <c r="AF290" i="97"/>
  <c r="W291" i="97"/>
  <c r="N292" i="97"/>
  <c r="AD292" i="97"/>
  <c r="U293" i="97"/>
  <c r="L294" i="97"/>
  <c r="L84" i="97"/>
  <c r="S118" i="97"/>
  <c r="Y128" i="97"/>
  <c r="AE138" i="97"/>
  <c r="L149" i="97"/>
  <c r="S155" i="97"/>
  <c r="V160" i="97"/>
  <c r="P163" i="97"/>
  <c r="AD165" i="97"/>
  <c r="S168" i="97"/>
  <c r="H171" i="97"/>
  <c r="V173" i="97"/>
  <c r="K176" i="97"/>
  <c r="Y178" i="97"/>
  <c r="N181" i="97"/>
  <c r="AB183" i="97"/>
  <c r="Q186" i="97"/>
  <c r="AE188" i="97"/>
  <c r="T191" i="97"/>
  <c r="I194" i="97"/>
  <c r="W196" i="97"/>
  <c r="AB198" i="97"/>
  <c r="AB199" i="97"/>
  <c r="S200" i="97"/>
  <c r="J201" i="97"/>
  <c r="Z201" i="97"/>
  <c r="Q202" i="97"/>
  <c r="H203" i="97"/>
  <c r="X203" i="97"/>
  <c r="O204" i="97"/>
  <c r="AE204" i="97"/>
  <c r="V205" i="97"/>
  <c r="M206" i="97"/>
  <c r="AC206" i="97"/>
  <c r="T207" i="97"/>
  <c r="K208" i="97"/>
  <c r="AA208" i="97"/>
  <c r="R209" i="97"/>
  <c r="I210" i="97"/>
  <c r="Y210" i="97"/>
  <c r="P211" i="97"/>
  <c r="AF211" i="97"/>
  <c r="W212" i="97"/>
  <c r="N213" i="97"/>
  <c r="AD213" i="97"/>
  <c r="U214" i="97"/>
  <c r="L215" i="97"/>
  <c r="AB215" i="97"/>
  <c r="S216" i="97"/>
  <c r="J217" i="97"/>
  <c r="Z217" i="97"/>
  <c r="Q218" i="97"/>
  <c r="H219" i="97"/>
  <c r="X219" i="97"/>
  <c r="O220" i="97"/>
  <c r="AE220" i="97"/>
  <c r="V221" i="97"/>
  <c r="M222" i="97"/>
  <c r="AC222" i="97"/>
  <c r="T223" i="97"/>
  <c r="K224" i="97"/>
  <c r="AA224" i="97"/>
  <c r="R225" i="97"/>
  <c r="I226" i="97"/>
  <c r="Y226" i="97"/>
  <c r="P227" i="97"/>
  <c r="AF227" i="97"/>
  <c r="W228" i="97"/>
  <c r="N229" i="97"/>
  <c r="AD229" i="97"/>
  <c r="U230" i="97"/>
  <c r="L231" i="97"/>
  <c r="AB231" i="97"/>
  <c r="S232" i="97"/>
  <c r="J233" i="97"/>
  <c r="Z233" i="97"/>
  <c r="Q234" i="97"/>
  <c r="H235" i="97"/>
  <c r="X235" i="97"/>
  <c r="O236" i="97"/>
  <c r="AE236" i="97"/>
  <c r="V237" i="97"/>
  <c r="M238" i="97"/>
  <c r="AC238" i="97"/>
  <c r="T239" i="97"/>
  <c r="K240" i="97"/>
  <c r="AA240" i="97"/>
  <c r="R241" i="97"/>
  <c r="I242" i="97"/>
  <c r="Y242" i="97"/>
  <c r="P243" i="97"/>
  <c r="AF243" i="97"/>
  <c r="W244" i="97"/>
  <c r="N245" i="97"/>
  <c r="AD245" i="97"/>
  <c r="U246" i="97"/>
  <c r="L247" i="97"/>
  <c r="AB247" i="97"/>
  <c r="S248" i="97"/>
  <c r="J249" i="97"/>
  <c r="Z249" i="97"/>
  <c r="Q250" i="97"/>
  <c r="H251" i="97"/>
  <c r="X251" i="97"/>
  <c r="O252" i="97"/>
  <c r="AE252" i="97"/>
  <c r="V253" i="97"/>
  <c r="M254" i="97"/>
  <c r="AC254" i="97"/>
  <c r="T255" i="97"/>
  <c r="K256" i="97"/>
  <c r="AA256" i="97"/>
  <c r="R257" i="97"/>
  <c r="I258" i="97"/>
  <c r="Y258" i="97"/>
  <c r="P259" i="97"/>
  <c r="AF259" i="97"/>
  <c r="W260" i="97"/>
  <c r="N261" i="97"/>
  <c r="AD261" i="97"/>
  <c r="U262" i="97"/>
  <c r="L263" i="97"/>
  <c r="AB263" i="97"/>
  <c r="S264" i="97"/>
  <c r="J265" i="97"/>
  <c r="Z265" i="97"/>
  <c r="Q266" i="97"/>
  <c r="H267" i="97"/>
  <c r="X267" i="97"/>
  <c r="O268" i="97"/>
  <c r="K264" i="97"/>
  <c r="R265" i="97"/>
  <c r="U266" i="97"/>
  <c r="P267" i="97"/>
  <c r="K268" i="97"/>
  <c r="AE268" i="97"/>
  <c r="V269" i="97"/>
  <c r="M270" i="97"/>
  <c r="AC270" i="97"/>
  <c r="T271" i="97"/>
  <c r="K272" i="97"/>
  <c r="AA272" i="97"/>
  <c r="R273" i="97"/>
  <c r="I274" i="97"/>
  <c r="Y274" i="97"/>
  <c r="P275" i="97"/>
  <c r="AF275" i="97"/>
  <c r="W276" i="97"/>
  <c r="N277" i="97"/>
  <c r="AD277" i="97"/>
  <c r="U278" i="97"/>
  <c r="L279" i="97"/>
  <c r="AB279" i="97"/>
  <c r="S280" i="97"/>
  <c r="J281" i="97"/>
  <c r="Z281" i="97"/>
  <c r="Q282" i="97"/>
  <c r="P129" i="97"/>
  <c r="AD160" i="97"/>
  <c r="L171" i="97"/>
  <c r="R181" i="97"/>
  <c r="X191" i="97"/>
  <c r="AC199" i="97"/>
  <c r="R202" i="97"/>
  <c r="AF204" i="97"/>
  <c r="U207" i="97"/>
  <c r="J210" i="97"/>
  <c r="X212" i="97"/>
  <c r="M215" i="97"/>
  <c r="AA217" i="97"/>
  <c r="P220" i="97"/>
  <c r="AD222" i="97"/>
  <c r="S225" i="97"/>
  <c r="H228" i="97"/>
  <c r="V230" i="97"/>
  <c r="K233" i="97"/>
  <c r="Y235" i="97"/>
  <c r="N238" i="97"/>
  <c r="AB240" i="97"/>
  <c r="Q243" i="97"/>
  <c r="AE245" i="97"/>
  <c r="T248" i="97"/>
  <c r="I251" i="97"/>
  <c r="W253" i="97"/>
  <c r="L256" i="97"/>
  <c r="Z258" i="97"/>
  <c r="O261" i="97"/>
  <c r="AC263" i="97"/>
  <c r="R266" i="97"/>
  <c r="AF268" i="97"/>
  <c r="U271" i="97"/>
  <c r="J274" i="97"/>
  <c r="X276" i="97"/>
  <c r="M279" i="97"/>
  <c r="AA281" i="97"/>
  <c r="T283" i="97"/>
  <c r="T284" i="97"/>
  <c r="P285" i="97"/>
  <c r="M286" i="97"/>
  <c r="I287" i="97"/>
  <c r="AD287" i="97"/>
  <c r="AA288" i="97"/>
  <c r="W289" i="97"/>
  <c r="S290" i="97"/>
  <c r="P291" i="97"/>
  <c r="L292" i="97"/>
  <c r="H293" i="97"/>
  <c r="AD293" i="97"/>
  <c r="Z294" i="97"/>
  <c r="Q295" i="97"/>
  <c r="H296" i="97"/>
  <c r="X296" i="97"/>
  <c r="O297" i="97"/>
  <c r="AE297" i="97"/>
  <c r="V298" i="97"/>
  <c r="M299" i="97"/>
  <c r="AC299" i="97"/>
  <c r="T300" i="97"/>
  <c r="K301" i="97"/>
  <c r="AA301" i="97"/>
  <c r="R302" i="97"/>
  <c r="I303" i="97"/>
  <c r="Y303" i="97"/>
  <c r="P304" i="97"/>
  <c r="AF304" i="97"/>
  <c r="W305" i="97"/>
  <c r="N306" i="97"/>
  <c r="AD306" i="97"/>
  <c r="U307" i="97"/>
  <c r="K196" i="97"/>
  <c r="O209" i="97"/>
  <c r="AF216" i="97"/>
  <c r="AE225" i="97"/>
  <c r="W233" i="97"/>
  <c r="V242" i="97"/>
  <c r="W249" i="97"/>
  <c r="AE257" i="97"/>
  <c r="P264" i="97"/>
  <c r="X272" i="97"/>
  <c r="Y279" i="97"/>
  <c r="X284" i="97"/>
  <c r="M287" i="97"/>
  <c r="AA289" i="97"/>
  <c r="K292" i="97"/>
  <c r="Y294" i="97"/>
  <c r="W296" i="97"/>
  <c r="U298" i="97"/>
  <c r="W300" i="97"/>
  <c r="Y302" i="97"/>
  <c r="W304" i="97"/>
  <c r="U306" i="97"/>
  <c r="Q105" i="97"/>
  <c r="AE151" i="97"/>
  <c r="Y166" i="97"/>
  <c r="AE176" i="97"/>
  <c r="L187" i="97"/>
  <c r="R197" i="97"/>
  <c r="O201" i="97"/>
  <c r="AC203" i="97"/>
  <c r="R206" i="97"/>
  <c r="AF208" i="97"/>
  <c r="U211" i="97"/>
  <c r="J214" i="97"/>
  <c r="X216" i="97"/>
  <c r="M219" i="97"/>
  <c r="AA221" i="97"/>
  <c r="P224" i="97"/>
  <c r="AD226" i="97"/>
  <c r="S229" i="97"/>
  <c r="H232" i="97"/>
  <c r="V234" i="97"/>
  <c r="K237" i="97"/>
  <c r="Y239" i="97"/>
  <c r="N242" i="97"/>
  <c r="AB244" i="97"/>
  <c r="Q247" i="97"/>
  <c r="AE249" i="97"/>
  <c r="T252" i="97"/>
  <c r="I255" i="97"/>
  <c r="W257" i="97"/>
  <c r="L260" i="97"/>
  <c r="Z262" i="97"/>
  <c r="O265" i="97"/>
  <c r="AC267" i="97"/>
  <c r="R270" i="97"/>
  <c r="AF272" i="97"/>
  <c r="U275" i="97"/>
  <c r="J278" i="97"/>
  <c r="X280" i="97"/>
  <c r="AD282" i="97"/>
  <c r="K284" i="97"/>
  <c r="AF284" i="97"/>
  <c r="AB285" i="97"/>
  <c r="Y286" i="97"/>
  <c r="U287" i="97"/>
  <c r="Q288" i="97"/>
  <c r="N289" i="97"/>
  <c r="J290" i="97"/>
  <c r="AE290" i="97"/>
  <c r="AB291" i="97"/>
  <c r="X292" i="97"/>
  <c r="T293" i="97"/>
  <c r="Q294" i="97"/>
  <c r="J295" i="97"/>
  <c r="Z295" i="97"/>
  <c r="Q296" i="97"/>
  <c r="H297" i="97"/>
  <c r="X297" i="97"/>
  <c r="O298" i="97"/>
  <c r="AE298" i="97"/>
  <c r="V299" i="97"/>
  <c r="M300" i="97"/>
  <c r="AC300" i="97"/>
  <c r="T301" i="97"/>
  <c r="K302" i="97"/>
  <c r="AA302" i="97"/>
  <c r="R303" i="97"/>
  <c r="I304" i="97"/>
  <c r="Y304" i="97"/>
  <c r="P305" i="97"/>
  <c r="AF305" i="97"/>
  <c r="W306" i="97"/>
  <c r="N307" i="97"/>
  <c r="AD307" i="97"/>
  <c r="W201" i="97"/>
  <c r="H208" i="97"/>
  <c r="I215" i="97"/>
  <c r="Z222" i="97"/>
  <c r="R230" i="97"/>
  <c r="J238" i="97"/>
  <c r="AA245" i="97"/>
  <c r="S253" i="97"/>
  <c r="T260" i="97"/>
  <c r="AB268" i="97"/>
  <c r="M275" i="97"/>
  <c r="N282" i="97"/>
  <c r="J285" i="97"/>
  <c r="X287" i="97"/>
  <c r="R290" i="97"/>
  <c r="AF292" i="97"/>
  <c r="L295" i="97"/>
  <c r="N297" i="97"/>
  <c r="X299" i="97"/>
  <c r="N301" i="97"/>
  <c r="H303" i="97"/>
  <c r="AE304" i="97"/>
  <c r="H307" i="97"/>
  <c r="M124" i="97"/>
  <c r="P158" i="97"/>
  <c r="AD169" i="97"/>
  <c r="K180" i="97"/>
  <c r="Q190" i="97"/>
  <c r="T199" i="97"/>
  <c r="J202" i="97"/>
  <c r="X204" i="97"/>
  <c r="M207" i="97"/>
  <c r="AA209" i="97"/>
  <c r="P212" i="97"/>
  <c r="AD214" i="97"/>
  <c r="S217" i="97"/>
  <c r="H220" i="97"/>
  <c r="V222" i="97"/>
  <c r="K225" i="97"/>
  <c r="Y227" i="97"/>
  <c r="N230" i="97"/>
  <c r="AB232" i="97"/>
  <c r="Q235" i="97"/>
  <c r="AE237" i="97"/>
  <c r="T240" i="97"/>
  <c r="I243" i="97"/>
  <c r="W245" i="97"/>
  <c r="L248" i="97"/>
  <c r="Z250" i="97"/>
  <c r="O253" i="97"/>
  <c r="AC255" i="97"/>
  <c r="R258" i="97"/>
  <c r="AF260" i="97"/>
  <c r="U263" i="97"/>
  <c r="J266" i="97"/>
  <c r="X268" i="97"/>
  <c r="M271" i="97"/>
  <c r="AA273" i="97"/>
  <c r="P276" i="97"/>
  <c r="AD278" i="97"/>
  <c r="S281" i="97"/>
  <c r="P283" i="97"/>
  <c r="Q284" i="97"/>
  <c r="N285" i="97"/>
  <c r="J286" i="97"/>
  <c r="AE286" i="97"/>
  <c r="AB287" i="97"/>
  <c r="X288" i="97"/>
  <c r="T289" i="97"/>
  <c r="Q290" i="97"/>
  <c r="M291" i="97"/>
  <c r="I292" i="97"/>
  <c r="AE292" i="97"/>
  <c r="AA293" i="97"/>
  <c r="W294" i="97"/>
  <c r="O295" i="97"/>
  <c r="AE295" i="97"/>
  <c r="V296" i="97"/>
  <c r="M297" i="97"/>
  <c r="AC297" i="97"/>
  <c r="T298" i="97"/>
  <c r="K299" i="97"/>
  <c r="AA299" i="97"/>
  <c r="R300" i="97"/>
  <c r="I301" i="97"/>
  <c r="Y301" i="97"/>
  <c r="P302" i="97"/>
  <c r="AF302" i="97"/>
  <c r="W303" i="97"/>
  <c r="N304" i="97"/>
  <c r="AD304" i="97"/>
  <c r="U305" i="97"/>
  <c r="L306" i="97"/>
  <c r="AB306" i="97"/>
  <c r="S307" i="97"/>
  <c r="U116" i="97"/>
  <c r="AC162" i="97"/>
  <c r="J173" i="97"/>
  <c r="P183" i="97"/>
  <c r="U198" i="97"/>
  <c r="S205" i="97"/>
  <c r="T212" i="97"/>
  <c r="U219" i="97"/>
  <c r="M227" i="97"/>
  <c r="AD234" i="97"/>
  <c r="O241" i="97"/>
  <c r="AF248" i="97"/>
  <c r="X256" i="97"/>
  <c r="W265" i="97"/>
  <c r="O273" i="97"/>
  <c r="Z282" i="97"/>
  <c r="K286" i="97"/>
  <c r="Y288" i="97"/>
  <c r="N291" i="97"/>
  <c r="AB293" i="97"/>
  <c r="AF295" i="97"/>
  <c r="Z297" i="97"/>
  <c r="P299" i="97"/>
  <c r="R301" i="97"/>
  <c r="P303" i="97"/>
  <c r="N305" i="97"/>
  <c r="L307" i="97"/>
  <c r="M243" i="97"/>
  <c r="U267" i="97"/>
  <c r="H284" i="97"/>
  <c r="AD291" i="97"/>
  <c r="S294" i="97"/>
  <c r="M298" i="97"/>
  <c r="Z305" i="97"/>
  <c r="H295" i="97"/>
  <c r="S300" i="97"/>
  <c r="M306" i="97"/>
  <c r="O264" i="97"/>
  <c r="V265" i="97"/>
  <c r="Y266" i="97"/>
  <c r="T267" i="97"/>
  <c r="S268" i="97"/>
  <c r="J269" i="97"/>
  <c r="Z269" i="97"/>
  <c r="Q270" i="97"/>
  <c r="H271" i="97"/>
  <c r="X271" i="97"/>
  <c r="O272" i="97"/>
  <c r="AE272" i="97"/>
  <c r="V273" i="97"/>
  <c r="M274" i="97"/>
  <c r="AC274" i="97"/>
  <c r="T275" i="97"/>
  <c r="K276" i="97"/>
  <c r="AA276" i="97"/>
  <c r="R277" i="97"/>
  <c r="I278" i="97"/>
  <c r="Y278" i="97"/>
  <c r="P279" i="97"/>
  <c r="AF279" i="97"/>
  <c r="W280" i="97"/>
  <c r="N281" i="97"/>
  <c r="AD281" i="97"/>
  <c r="U282" i="97"/>
  <c r="V139" i="97"/>
  <c r="T163" i="97"/>
  <c r="Z173" i="97"/>
  <c r="AF183" i="97"/>
  <c r="M194" i="97"/>
  <c r="T200" i="97"/>
  <c r="I203" i="97"/>
  <c r="W205" i="97"/>
  <c r="L208" i="97"/>
  <c r="Z210" i="97"/>
  <c r="O213" i="97"/>
  <c r="AC215" i="97"/>
  <c r="R218" i="97"/>
  <c r="AF220" i="97"/>
  <c r="U223" i="97"/>
  <c r="J226" i="97"/>
  <c r="X228" i="97"/>
  <c r="M231" i="97"/>
  <c r="AA233" i="97"/>
  <c r="P236" i="97"/>
  <c r="AD238" i="97"/>
  <c r="S241" i="97"/>
  <c r="H244" i="97"/>
  <c r="V246" i="97"/>
  <c r="K249" i="97"/>
  <c r="Y251" i="97"/>
  <c r="N254" i="97"/>
  <c r="AB256" i="97"/>
  <c r="Q259" i="97"/>
  <c r="AE261" i="97"/>
  <c r="T264" i="97"/>
  <c r="I267" i="97"/>
  <c r="W269" i="97"/>
  <c r="L272" i="97"/>
  <c r="Z274" i="97"/>
  <c r="O277" i="97"/>
  <c r="AC279" i="97"/>
  <c r="R282" i="97"/>
  <c r="AB283" i="97"/>
  <c r="Y284" i="97"/>
  <c r="V285" i="97"/>
  <c r="R286" i="97"/>
  <c r="N287" i="97"/>
  <c r="K288" i="97"/>
  <c r="AF288" i="97"/>
  <c r="AB289" i="97"/>
  <c r="Y290" i="97"/>
  <c r="U291" i="97"/>
  <c r="Q292" i="97"/>
  <c r="N293" i="97"/>
  <c r="J294" i="97"/>
  <c r="AD294" i="97"/>
  <c r="U295" i="97"/>
  <c r="L296" i="97"/>
  <c r="AB296" i="97"/>
  <c r="S297" i="97"/>
  <c r="J298" i="97"/>
  <c r="Z298" i="97"/>
  <c r="Q299" i="97"/>
  <c r="H300" i="97"/>
  <c r="X300" i="97"/>
  <c r="O301" i="97"/>
  <c r="AE301" i="97"/>
  <c r="V302" i="97"/>
  <c r="M303" i="97"/>
  <c r="AC303" i="97"/>
  <c r="T304" i="97"/>
  <c r="K305" i="97"/>
  <c r="AA305" i="97"/>
  <c r="R306" i="97"/>
  <c r="I307" i="97"/>
  <c r="Y307" i="97"/>
  <c r="AF200" i="97"/>
  <c r="M211" i="97"/>
  <c r="L220" i="97"/>
  <c r="AC227" i="97"/>
  <c r="AB236" i="97"/>
  <c r="AC243" i="97"/>
  <c r="L252" i="97"/>
  <c r="M259" i="97"/>
  <c r="N266" i="97"/>
  <c r="V274" i="97"/>
  <c r="W281" i="97"/>
  <c r="O285" i="97"/>
  <c r="AC287" i="97"/>
  <c r="M290" i="97"/>
  <c r="AA292" i="97"/>
  <c r="P295" i="97"/>
  <c r="J297" i="97"/>
  <c r="H299" i="97"/>
  <c r="J301" i="97"/>
  <c r="L303" i="97"/>
  <c r="J305" i="97"/>
  <c r="AC306" i="97"/>
  <c r="X121" i="97"/>
  <c r="I157" i="97"/>
  <c r="N169" i="97"/>
  <c r="T179" i="97"/>
  <c r="Z189" i="97"/>
  <c r="L199" i="97"/>
  <c r="AE201" i="97"/>
  <c r="T204" i="97"/>
  <c r="I207" i="97"/>
  <c r="W209" i="97"/>
  <c r="L212" i="97"/>
  <c r="Z214" i="97"/>
  <c r="O217" i="97"/>
  <c r="AC219" i="97"/>
  <c r="R222" i="97"/>
  <c r="AF224" i="97"/>
  <c r="U227" i="97"/>
  <c r="J230" i="97"/>
  <c r="X232" i="97"/>
  <c r="M235" i="97"/>
  <c r="AA237" i="97"/>
  <c r="P240" i="97"/>
  <c r="AD242" i="97"/>
  <c r="S245" i="97"/>
  <c r="H248" i="97"/>
  <c r="V250" i="97"/>
  <c r="K253" i="97"/>
  <c r="Y255" i="97"/>
  <c r="N258" i="97"/>
  <c r="AB260" i="97"/>
  <c r="Q263" i="97"/>
  <c r="AE265" i="97"/>
  <c r="T268" i="97"/>
  <c r="I271" i="97"/>
  <c r="W273" i="97"/>
  <c r="L276" i="97"/>
  <c r="Z278" i="97"/>
  <c r="O281" i="97"/>
  <c r="M283" i="97"/>
  <c r="P284" i="97"/>
  <c r="L285" i="97"/>
  <c r="I286" i="97"/>
  <c r="AD286" i="97"/>
  <c r="Z287" i="97"/>
  <c r="W288" i="97"/>
  <c r="S289" i="97"/>
  <c r="O290" i="97"/>
  <c r="L291" i="97"/>
  <c r="H292" i="97"/>
  <c r="AC292" i="97"/>
  <c r="Z293" i="97"/>
  <c r="V294" i="97"/>
  <c r="N295" i="97"/>
  <c r="AD295" i="97"/>
  <c r="U296" i="97"/>
  <c r="L297" i="97"/>
  <c r="AB297" i="97"/>
  <c r="S298" i="97"/>
  <c r="J299" i="97"/>
  <c r="Z299" i="97"/>
  <c r="Q300" i="97"/>
  <c r="H301" i="97"/>
  <c r="X301" i="97"/>
  <c r="O302" i="97"/>
  <c r="AE302" i="97"/>
  <c r="V303" i="97"/>
  <c r="M304" i="97"/>
  <c r="AC304" i="97"/>
  <c r="T305" i="97"/>
  <c r="K306" i="97"/>
  <c r="AA306" i="97"/>
  <c r="R307" i="97"/>
  <c r="H137" i="97"/>
  <c r="U203" i="97"/>
  <c r="AE209" i="97"/>
  <c r="W217" i="97"/>
  <c r="H224" i="97"/>
  <c r="Y231" i="97"/>
  <c r="H240" i="97"/>
  <c r="P248" i="97"/>
  <c r="Q255" i="97"/>
  <c r="R262" i="97"/>
  <c r="Z270" i="97"/>
  <c r="K277" i="97"/>
  <c r="I283" i="97"/>
  <c r="Z285" i="97"/>
  <c r="T288" i="97"/>
  <c r="I291" i="97"/>
  <c r="W293" i="97"/>
  <c r="X295" i="97"/>
  <c r="AD297" i="97"/>
  <c r="K300" i="97"/>
  <c r="Z301" i="97"/>
  <c r="X303" i="97"/>
  <c r="V305" i="97"/>
  <c r="P307" i="97"/>
  <c r="S134" i="97"/>
  <c r="M162" i="97"/>
  <c r="S172" i="97"/>
  <c r="Y182" i="97"/>
  <c r="AE192" i="97"/>
  <c r="L200" i="97"/>
  <c r="Z202" i="97"/>
  <c r="O205" i="97"/>
  <c r="AC207" i="97"/>
  <c r="R210" i="97"/>
  <c r="AF212" i="97"/>
  <c r="U215" i="97"/>
  <c r="J218" i="97"/>
  <c r="X220" i="97"/>
  <c r="M223" i="97"/>
  <c r="AA225" i="97"/>
  <c r="P228" i="97"/>
  <c r="AD230" i="97"/>
  <c r="S233" i="97"/>
  <c r="H236" i="97"/>
  <c r="V238" i="97"/>
  <c r="K241" i="97"/>
  <c r="Y243" i="97"/>
  <c r="N246" i="97"/>
  <c r="AB248" i="97"/>
  <c r="Q251" i="97"/>
  <c r="AE253" i="97"/>
  <c r="T256" i="97"/>
  <c r="I259" i="97"/>
  <c r="W261" i="97"/>
  <c r="L264" i="97"/>
  <c r="Z266" i="97"/>
  <c r="O269" i="97"/>
  <c r="AC271" i="97"/>
  <c r="R274" i="97"/>
  <c r="AF276" i="97"/>
  <c r="U279" i="97"/>
  <c r="J282" i="97"/>
  <c r="X283" i="97"/>
  <c r="W284" i="97"/>
  <c r="S285" i="97"/>
  <c r="O286" i="97"/>
  <c r="L287" i="97"/>
  <c r="H288" i="97"/>
  <c r="AC288" i="97"/>
  <c r="Z289" i="97"/>
  <c r="V290" i="97"/>
  <c r="R291" i="97"/>
  <c r="O292" i="97"/>
  <c r="K293" i="97"/>
  <c r="AF293" i="97"/>
  <c r="AB294" i="97"/>
  <c r="S295" i="97"/>
  <c r="J296" i="97"/>
  <c r="Z296" i="97"/>
  <c r="Q297" i="97"/>
  <c r="H298" i="97"/>
  <c r="X298" i="97"/>
  <c r="O299" i="97"/>
  <c r="AE299" i="97"/>
  <c r="V300" i="97"/>
  <c r="M301" i="97"/>
  <c r="AC301" i="97"/>
  <c r="T302" i="97"/>
  <c r="K303" i="97"/>
  <c r="AA303" i="97"/>
  <c r="R304" i="97"/>
  <c r="I305" i="97"/>
  <c r="Y305" i="97"/>
  <c r="P306" i="97"/>
  <c r="AF306" i="97"/>
  <c r="W307" i="97"/>
  <c r="N147" i="97"/>
  <c r="R165" i="97"/>
  <c r="X175" i="97"/>
  <c r="AD185" i="97"/>
  <c r="P200" i="97"/>
  <c r="Q207" i="97"/>
  <c r="R214" i="97"/>
  <c r="S221" i="97"/>
  <c r="K229" i="97"/>
  <c r="AD250" i="97"/>
  <c r="AA286" i="97"/>
  <c r="AB303" i="97"/>
  <c r="AA264" i="97"/>
  <c r="I266" i="97"/>
  <c r="AC266" i="97"/>
  <c r="AB267" i="97"/>
  <c r="W268" i="97"/>
  <c r="N269" i="97"/>
  <c r="AD269" i="97"/>
  <c r="U270" i="97"/>
  <c r="L271" i="97"/>
  <c r="AB271" i="97"/>
  <c r="S272" i="97"/>
  <c r="J273" i="97"/>
  <c r="Z273" i="97"/>
  <c r="Q274" i="97"/>
  <c r="H275" i="97"/>
  <c r="X275" i="97"/>
  <c r="O276" i="97"/>
  <c r="AE276" i="97"/>
  <c r="V277" i="97"/>
  <c r="M278" i="97"/>
  <c r="AC278" i="97"/>
  <c r="T279" i="97"/>
  <c r="K280" i="97"/>
  <c r="AA280" i="97"/>
  <c r="R281" i="97"/>
  <c r="I282" i="97"/>
  <c r="O89" i="97"/>
  <c r="AB149" i="97"/>
  <c r="I166" i="97"/>
  <c r="O176" i="97"/>
  <c r="U186" i="97"/>
  <c r="AA196" i="97"/>
  <c r="K201" i="97"/>
  <c r="Y203" i="97"/>
  <c r="N206" i="97"/>
  <c r="AB208" i="97"/>
  <c r="Q211" i="97"/>
  <c r="AE213" i="97"/>
  <c r="T216" i="97"/>
  <c r="I219" i="97"/>
  <c r="W221" i="97"/>
  <c r="L224" i="97"/>
  <c r="Z226" i="97"/>
  <c r="O229" i="97"/>
  <c r="AC231" i="97"/>
  <c r="R234" i="97"/>
  <c r="AF236" i="97"/>
  <c r="U239" i="97"/>
  <c r="J242" i="97"/>
  <c r="X244" i="97"/>
  <c r="M247" i="97"/>
  <c r="AA249" i="97"/>
  <c r="P252" i="97"/>
  <c r="AD254" i="97"/>
  <c r="S257" i="97"/>
  <c r="H260" i="97"/>
  <c r="V262" i="97"/>
  <c r="K265" i="97"/>
  <c r="Y267" i="97"/>
  <c r="N270" i="97"/>
  <c r="AB272" i="97"/>
  <c r="Q275" i="97"/>
  <c r="AE277" i="97"/>
  <c r="T280" i="97"/>
  <c r="AC282" i="97"/>
  <c r="I284" i="97"/>
  <c r="AE284" i="97"/>
  <c r="AA285" i="97"/>
  <c r="W286" i="97"/>
  <c r="T287" i="97"/>
  <c r="P288" i="97"/>
  <c r="L289" i="97"/>
  <c r="I290" i="97"/>
  <c r="AD290" i="97"/>
  <c r="Z291" i="97"/>
  <c r="W292" i="97"/>
  <c r="S293" i="97"/>
  <c r="O294" i="97"/>
  <c r="I295" i="97"/>
  <c r="Y295" i="97"/>
  <c r="P296" i="97"/>
  <c r="AF296" i="97"/>
  <c r="W297" i="97"/>
  <c r="N298" i="97"/>
  <c r="AD298" i="97"/>
  <c r="U299" i="97"/>
  <c r="L300" i="97"/>
  <c r="AB300" i="97"/>
  <c r="S301" i="97"/>
  <c r="J302" i="97"/>
  <c r="Z302" i="97"/>
  <c r="Q303" i="97"/>
  <c r="H304" i="97"/>
  <c r="X304" i="97"/>
  <c r="O305" i="97"/>
  <c r="AE305" i="97"/>
  <c r="V306" i="97"/>
  <c r="M307" i="97"/>
  <c r="AC307" i="97"/>
  <c r="AD202" i="97"/>
  <c r="AA213" i="97"/>
  <c r="J222" i="97"/>
  <c r="AA229" i="97"/>
  <c r="Z238" i="97"/>
  <c r="R246" i="97"/>
  <c r="J254" i="97"/>
  <c r="K261" i="97"/>
  <c r="L268" i="97"/>
  <c r="T276" i="97"/>
  <c r="Q283" i="97"/>
  <c r="AE285" i="97"/>
  <c r="O288" i="97"/>
  <c r="AC290" i="97"/>
  <c r="R293" i="97"/>
  <c r="AB295" i="97"/>
  <c r="V297" i="97"/>
  <c r="T299" i="97"/>
  <c r="V301" i="97"/>
  <c r="T303" i="97"/>
  <c r="R305" i="97"/>
  <c r="T307" i="97"/>
  <c r="AD131" i="97"/>
  <c r="V161" i="97"/>
  <c r="AB171" i="97"/>
  <c r="I182" i="97"/>
  <c r="O192" i="97"/>
  <c r="H200" i="97"/>
  <c r="V202" i="97"/>
  <c r="K205" i="97"/>
  <c r="Y207" i="97"/>
  <c r="N210" i="97"/>
  <c r="AB212" i="97"/>
  <c r="Q215" i="97"/>
  <c r="AE217" i="97"/>
  <c r="T220" i="97"/>
  <c r="I223" i="97"/>
  <c r="W225" i="97"/>
  <c r="L228" i="97"/>
  <c r="Z230" i="97"/>
  <c r="O233" i="97"/>
  <c r="AC235" i="97"/>
  <c r="R238" i="97"/>
  <c r="AF240" i="97"/>
  <c r="U243" i="97"/>
  <c r="J246" i="97"/>
  <c r="X248" i="97"/>
  <c r="M251" i="97"/>
  <c r="AA253" i="97"/>
  <c r="P256" i="97"/>
  <c r="AD258" i="97"/>
  <c r="S261" i="97"/>
  <c r="H264" i="97"/>
  <c r="V266" i="97"/>
  <c r="K269" i="97"/>
  <c r="Y271" i="97"/>
  <c r="N274" i="97"/>
  <c r="AB276" i="97"/>
  <c r="Q279" i="97"/>
  <c r="AE281" i="97"/>
  <c r="U283" i="97"/>
  <c r="U284" i="97"/>
  <c r="R285" i="97"/>
  <c r="N286" i="97"/>
  <c r="J287" i="97"/>
  <c r="AF287" i="97"/>
  <c r="AB288" i="97"/>
  <c r="X289" i="97"/>
  <c r="U290" i="97"/>
  <c r="Q291" i="97"/>
  <c r="M292" i="97"/>
  <c r="J293" i="97"/>
  <c r="AE293" i="97"/>
  <c r="AA294" i="97"/>
  <c r="R295" i="97"/>
  <c r="I296" i="97"/>
  <c r="Y296" i="97"/>
  <c r="P297" i="97"/>
  <c r="AF297" i="97"/>
  <c r="W298" i="97"/>
  <c r="N299" i="97"/>
  <c r="AD299" i="97"/>
  <c r="U300" i="97"/>
  <c r="L301" i="97"/>
  <c r="AB301" i="97"/>
  <c r="S302" i="97"/>
  <c r="J303" i="97"/>
  <c r="Z303" i="97"/>
  <c r="Q304" i="97"/>
  <c r="H305" i="97"/>
  <c r="X305" i="97"/>
  <c r="O306" i="97"/>
  <c r="AE306" i="97"/>
  <c r="V307" i="97"/>
  <c r="H191" i="97"/>
  <c r="AB204" i="97"/>
  <c r="AC211" i="97"/>
  <c r="AD218" i="97"/>
  <c r="V226" i="97"/>
  <c r="N234" i="97"/>
  <c r="AE241" i="97"/>
  <c r="N250" i="97"/>
  <c r="O257" i="97"/>
  <c r="AF264" i="97"/>
  <c r="H272" i="97"/>
  <c r="R278" i="97"/>
  <c r="Y283" i="97"/>
  <c r="Q286" i="97"/>
  <c r="K289" i="97"/>
  <c r="Y291" i="97"/>
  <c r="N294" i="97"/>
  <c r="O296" i="97"/>
  <c r="Q298" i="97"/>
  <c r="O300" i="97"/>
  <c r="I302" i="97"/>
  <c r="AF303" i="97"/>
  <c r="AD305" i="97"/>
  <c r="AF307" i="97"/>
  <c r="Y144" i="97"/>
  <c r="AA164" i="97"/>
  <c r="H175" i="97"/>
  <c r="N185" i="97"/>
  <c r="T195" i="97"/>
  <c r="AB200" i="97"/>
  <c r="Q203" i="97"/>
  <c r="AE205" i="97"/>
  <c r="T208" i="97"/>
  <c r="I211" i="97"/>
  <c r="W213" i="97"/>
  <c r="L216" i="97"/>
  <c r="Z218" i="97"/>
  <c r="O221" i="97"/>
  <c r="AC223" i="97"/>
  <c r="R226" i="97"/>
  <c r="AF228" i="97"/>
  <c r="U231" i="97"/>
  <c r="J234" i="97"/>
  <c r="X236" i="97"/>
  <c r="M239" i="97"/>
  <c r="AA241" i="97"/>
  <c r="P244" i="97"/>
  <c r="AD246" i="97"/>
  <c r="S249" i="97"/>
  <c r="H252" i="97"/>
  <c r="V254" i="97"/>
  <c r="K257" i="97"/>
  <c r="Y259" i="97"/>
  <c r="N262" i="97"/>
  <c r="AB264" i="97"/>
  <c r="Q267" i="97"/>
  <c r="AE269" i="97"/>
  <c r="T272" i="97"/>
  <c r="I275" i="97"/>
  <c r="W277" i="97"/>
  <c r="L280" i="97"/>
  <c r="Y282" i="97"/>
  <c r="AF283" i="97"/>
  <c r="AB284" i="97"/>
  <c r="X285" i="97"/>
  <c r="U286" i="97"/>
  <c r="Q287" i="97"/>
  <c r="M288" i="97"/>
  <c r="J289" i="97"/>
  <c r="AE289" i="97"/>
  <c r="AA290" i="97"/>
  <c r="X291" i="97"/>
  <c r="T292" i="97"/>
  <c r="P293" i="97"/>
  <c r="M294" i="97"/>
  <c r="AF294" i="97"/>
  <c r="W295" i="97"/>
  <c r="N296" i="97"/>
  <c r="AD296" i="97"/>
  <c r="U297" i="97"/>
  <c r="L298" i="97"/>
  <c r="AB298" i="97"/>
  <c r="S299" i="97"/>
  <c r="J300" i="97"/>
  <c r="Z300" i="97"/>
  <c r="Q301" i="97"/>
  <c r="H302" i="97"/>
  <c r="X302" i="97"/>
  <c r="O303" i="97"/>
  <c r="AE303" i="97"/>
  <c r="V304" i="97"/>
  <c r="M305" i="97"/>
  <c r="AC305" i="97"/>
  <c r="T306" i="97"/>
  <c r="K307" i="97"/>
  <c r="AA307" i="97"/>
  <c r="T154" i="97"/>
  <c r="AF167" i="97"/>
  <c r="M178" i="97"/>
  <c r="S188" i="97"/>
  <c r="N202" i="97"/>
  <c r="X208" i="97"/>
  <c r="P216" i="97"/>
  <c r="Q223" i="97"/>
  <c r="I231" i="97"/>
  <c r="S237" i="97"/>
  <c r="K245" i="97"/>
  <c r="AB252" i="97"/>
  <c r="AA261" i="97"/>
  <c r="S269" i="97"/>
  <c r="I279" i="97"/>
  <c r="AC284" i="97"/>
  <c r="R287" i="97"/>
  <c r="AF289" i="97"/>
  <c r="U292" i="97"/>
  <c r="Y298" i="97"/>
  <c r="O304" i="97"/>
  <c r="AE264" i="97"/>
  <c r="M266" i="97"/>
  <c r="L267" i="97"/>
  <c r="AF267" i="97"/>
  <c r="AA268" i="97"/>
  <c r="R269" i="97"/>
  <c r="I270" i="97"/>
  <c r="Y270" i="97"/>
  <c r="P271" i="97"/>
  <c r="AF271" i="97"/>
  <c r="W272" i="97"/>
  <c r="N273" i="97"/>
  <c r="AD273" i="97"/>
  <c r="U274" i="97"/>
  <c r="L275" i="97"/>
  <c r="AB275" i="97"/>
  <c r="S276" i="97"/>
  <c r="J277" i="97"/>
  <c r="Z277" i="97"/>
  <c r="Q278" i="97"/>
  <c r="H279" i="97"/>
  <c r="X279" i="97"/>
  <c r="O280" i="97"/>
  <c r="AE280" i="97"/>
  <c r="V281" i="97"/>
  <c r="M282" i="97"/>
  <c r="J119" i="97"/>
  <c r="AA155" i="97"/>
  <c r="W168" i="97"/>
  <c r="AC178" i="97"/>
  <c r="J189" i="97"/>
  <c r="AC198" i="97"/>
  <c r="AA201" i="97"/>
  <c r="P204" i="97"/>
  <c r="AD206" i="97"/>
  <c r="S209" i="97"/>
  <c r="H212" i="97"/>
  <c r="V214" i="97"/>
  <c r="K217" i="97"/>
  <c r="Y219" i="97"/>
  <c r="N222" i="97"/>
  <c r="AB224" i="97"/>
  <c r="Q227" i="97"/>
  <c r="AE229" i="97"/>
  <c r="T232" i="97"/>
  <c r="I235" i="97"/>
  <c r="W237" i="97"/>
  <c r="L240" i="97"/>
  <c r="Z242" i="97"/>
  <c r="O245" i="97"/>
  <c r="AC247" i="97"/>
  <c r="R250" i="97"/>
  <c r="AF252" i="97"/>
  <c r="U255" i="97"/>
  <c r="J258" i="97"/>
  <c r="X260" i="97"/>
  <c r="M263" i="97"/>
  <c r="AA265" i="97"/>
  <c r="P268" i="97"/>
  <c r="AD270" i="97"/>
  <c r="S273" i="97"/>
  <c r="H276" i="97"/>
  <c r="V278" i="97"/>
  <c r="K281" i="97"/>
  <c r="L283" i="97"/>
  <c r="O284" i="97"/>
  <c r="K285" i="97"/>
  <c r="AF285" i="97"/>
  <c r="AC286" i="97"/>
  <c r="Y287" i="97"/>
  <c r="U288" i="97"/>
  <c r="R289" i="97"/>
  <c r="N290" i="97"/>
  <c r="J291" i="97"/>
  <c r="AF291" i="97"/>
  <c r="AB292" i="97"/>
  <c r="X293" i="97"/>
  <c r="U294" i="97"/>
  <c r="M295" i="97"/>
  <c r="AC295" i="97"/>
  <c r="T296" i="97"/>
  <c r="K297" i="97"/>
  <c r="AA297" i="97"/>
  <c r="R298" i="97"/>
  <c r="I299" i="97"/>
  <c r="Y299" i="97"/>
  <c r="P300" i="97"/>
  <c r="AF300" i="97"/>
  <c r="W301" i="97"/>
  <c r="N302" i="97"/>
  <c r="AD302" i="97"/>
  <c r="U303" i="97"/>
  <c r="L304" i="97"/>
  <c r="AB304" i="97"/>
  <c r="S305" i="97"/>
  <c r="J306" i="97"/>
  <c r="Z306" i="97"/>
  <c r="Q307" i="97"/>
  <c r="AA126" i="97"/>
  <c r="J206" i="97"/>
  <c r="Y215" i="97"/>
  <c r="X224" i="97"/>
  <c r="P232" i="97"/>
  <c r="X240" i="97"/>
  <c r="Y247" i="97"/>
  <c r="H256" i="97"/>
  <c r="I263" i="97"/>
  <c r="J270" i="97"/>
  <c r="AA277" i="97"/>
  <c r="M284" i="97"/>
  <c r="V286" i="97"/>
  <c r="AE288" i="97"/>
  <c r="T291" i="97"/>
  <c r="I294" i="97"/>
  <c r="K296" i="97"/>
  <c r="I298" i="97"/>
  <c r="AF299" i="97"/>
  <c r="M302" i="97"/>
  <c r="K304" i="97"/>
  <c r="I306" i="97"/>
  <c r="AB307" i="97"/>
  <c r="K142" i="97"/>
  <c r="K164" i="97"/>
  <c r="Q174" i="97"/>
  <c r="W184" i="97"/>
  <c r="AC194" i="97"/>
  <c r="X200" i="97"/>
  <c r="M203" i="97"/>
  <c r="AA205" i="97"/>
  <c r="P208" i="97"/>
  <c r="AD210" i="97"/>
  <c r="S213" i="97"/>
  <c r="H216" i="97"/>
  <c r="V218" i="97"/>
  <c r="K221" i="97"/>
  <c r="Y223" i="97"/>
  <c r="N226" i="97"/>
  <c r="AB228" i="97"/>
  <c r="Q231" i="97"/>
  <c r="AE233" i="97"/>
  <c r="T236" i="97"/>
  <c r="I239" i="97"/>
  <c r="W241" i="97"/>
  <c r="L244" i="97"/>
  <c r="Z246" i="97"/>
  <c r="O249" i="97"/>
  <c r="AC251" i="97"/>
  <c r="R254" i="97"/>
  <c r="AF256" i="97"/>
  <c r="U259" i="97"/>
  <c r="J262" i="97"/>
  <c r="X264" i="97"/>
  <c r="M267" i="97"/>
  <c r="AA269" i="97"/>
  <c r="P272" i="97"/>
  <c r="AD274" i="97"/>
  <c r="S277" i="97"/>
  <c r="H280" i="97"/>
  <c r="V282" i="97"/>
  <c r="AC283" i="97"/>
  <c r="AA284" i="97"/>
  <c r="W285" i="97"/>
  <c r="S286" i="97"/>
  <c r="P287" i="97"/>
  <c r="L288" i="97"/>
  <c r="H289" i="97"/>
  <c r="AD289" i="97"/>
  <c r="Z290" i="97"/>
  <c r="V291" i="97"/>
  <c r="S292" i="97"/>
  <c r="O293" i="97"/>
  <c r="K294" i="97"/>
  <c r="AE294" i="97"/>
  <c r="V295" i="97"/>
  <c r="M296" i="97"/>
  <c r="AC296" i="97"/>
  <c r="T297" i="97"/>
  <c r="K298" i="97"/>
  <c r="AA298" i="97"/>
  <c r="R299" i="97"/>
  <c r="I300" i="97"/>
  <c r="Y300" i="97"/>
  <c r="P301" i="97"/>
  <c r="AF301" i="97"/>
  <c r="W302" i="97"/>
  <c r="N303" i="97"/>
  <c r="AD303" i="97"/>
  <c r="U304" i="97"/>
  <c r="L305" i="97"/>
  <c r="AB305" i="97"/>
  <c r="S306" i="97"/>
  <c r="J307" i="97"/>
  <c r="Z307" i="97"/>
  <c r="Y199" i="97"/>
  <c r="Z206" i="97"/>
  <c r="K213" i="97"/>
  <c r="AB220" i="97"/>
  <c r="T228" i="97"/>
  <c r="L236" i="97"/>
  <c r="T244" i="97"/>
  <c r="U251" i="97"/>
  <c r="V258" i="97"/>
  <c r="AD266" i="97"/>
  <c r="AE273" i="97"/>
  <c r="P280" i="97"/>
  <c r="S284" i="97"/>
  <c r="H287" i="97"/>
  <c r="V289" i="97"/>
  <c r="P292" i="97"/>
  <c r="AC294" i="97"/>
  <c r="AA296" i="97"/>
  <c r="AC298" i="97"/>
  <c r="AA300" i="97"/>
  <c r="U302" i="97"/>
  <c r="S304" i="97"/>
  <c r="Q306" i="97"/>
  <c r="AC113" i="97"/>
  <c r="M153" i="97"/>
  <c r="P167" i="97"/>
  <c r="V177" i="97"/>
  <c r="AB187" i="97"/>
  <c r="I198" i="97"/>
  <c r="S201" i="97"/>
  <c r="H204" i="97"/>
  <c r="V206" i="97"/>
  <c r="K209" i="97"/>
  <c r="Y211" i="97"/>
  <c r="N214" i="97"/>
  <c r="AB216" i="97"/>
  <c r="Q219" i="97"/>
  <c r="AE221" i="97"/>
  <c r="T224" i="97"/>
  <c r="I227" i="97"/>
  <c r="W229" i="97"/>
  <c r="L232" i="97"/>
  <c r="Z234" i="97"/>
  <c r="O237" i="97"/>
  <c r="AC239" i="97"/>
  <c r="R242" i="97"/>
  <c r="AF244" i="97"/>
  <c r="U247" i="97"/>
  <c r="J250" i="97"/>
  <c r="X252" i="97"/>
  <c r="M255" i="97"/>
  <c r="AA257" i="97"/>
  <c r="P260" i="97"/>
  <c r="AD262" i="97"/>
  <c r="S265" i="97"/>
  <c r="H268" i="97"/>
  <c r="V270" i="97"/>
  <c r="K273" i="97"/>
  <c r="Y275" i="97"/>
  <c r="N278" i="97"/>
  <c r="AB280" i="97"/>
  <c r="H283" i="97"/>
  <c r="L284" i="97"/>
  <c r="H285" i="97"/>
  <c r="AD285" i="97"/>
  <c r="Z286" i="97"/>
  <c r="V287" i="97"/>
  <c r="S288" i="97"/>
  <c r="O289" i="97"/>
  <c r="K290" i="97"/>
  <c r="H291" i="97"/>
  <c r="AC291" i="97"/>
  <c r="Y292" i="97"/>
  <c r="V293" i="97"/>
  <c r="R294" i="97"/>
  <c r="K295" i="97"/>
  <c r="AA295" i="97"/>
  <c r="R296" i="97"/>
  <c r="I297" i="97"/>
  <c r="Y297" i="97"/>
  <c r="P298" i="97"/>
  <c r="AF298" i="97"/>
  <c r="W299" i="97"/>
  <c r="N300" i="97"/>
  <c r="AD300" i="97"/>
  <c r="U301" i="97"/>
  <c r="L302" i="97"/>
  <c r="AB302" i="97"/>
  <c r="S303" i="97"/>
  <c r="J304" i="97"/>
  <c r="Z304" i="97"/>
  <c r="Q305" i="97"/>
  <c r="H306" i="97"/>
  <c r="X306" i="97"/>
  <c r="O307" i="97"/>
  <c r="AE307" i="97"/>
  <c r="W159" i="97"/>
  <c r="U170" i="97"/>
  <c r="AA180" i="97"/>
  <c r="V193" i="97"/>
  <c r="L204" i="97"/>
  <c r="V210" i="97"/>
  <c r="N218" i="97"/>
  <c r="O225" i="97"/>
  <c r="AF232" i="97"/>
  <c r="Q239" i="97"/>
  <c r="I247" i="97"/>
  <c r="Z254" i="97"/>
  <c r="Y263" i="97"/>
  <c r="Q271" i="97"/>
  <c r="AF280" i="97"/>
  <c r="T285" i="97"/>
  <c r="I288" i="97"/>
  <c r="W290" i="97"/>
  <c r="L293" i="97"/>
  <c r="T295" i="97"/>
  <c r="R297" i="97"/>
  <c r="L299" i="97"/>
  <c r="AE300" i="97"/>
  <c r="AC302" i="97"/>
  <c r="AA304" i="97"/>
  <c r="Y306" i="97"/>
  <c r="U235" i="97"/>
  <c r="AC259" i="97"/>
  <c r="AC275" i="97"/>
  <c r="P289" i="97"/>
  <c r="S296" i="97"/>
  <c r="AB299" i="97"/>
  <c r="AD301" i="97"/>
  <c r="X307" i="97"/>
  <c r="AE296" i="97"/>
  <c r="Q302" i="97"/>
  <c r="C46" i="97"/>
  <c r="F46" i="97" s="1"/>
  <c r="C47" i="97"/>
  <c r="F47" i="97" s="1"/>
  <c r="C48" i="97"/>
  <c r="F48" i="97" s="1"/>
  <c r="C49" i="97"/>
  <c r="E49" i="97" s="1"/>
  <c r="C45" i="97"/>
  <c r="E45" i="97" s="1"/>
  <c r="J27" i="1"/>
  <c r="J20" i="1"/>
  <c r="J15" i="1"/>
  <c r="J6" i="1"/>
  <c r="J147" i="1"/>
  <c r="J71" i="1"/>
  <c r="J150" i="1"/>
  <c r="J70" i="1"/>
  <c r="J75" i="1"/>
  <c r="J10" i="1"/>
  <c r="J46" i="1"/>
  <c r="J37" i="1"/>
  <c r="J58" i="1"/>
  <c r="J31" i="1"/>
  <c r="G4" i="31" a="1"/>
  <c r="J30" i="1"/>
  <c r="J7" i="1"/>
  <c r="J39" i="1"/>
  <c r="J29" i="1"/>
  <c r="J60" i="1"/>
  <c r="J41" i="1"/>
  <c r="J25" i="1"/>
  <c r="J38" i="1"/>
  <c r="J17" i="1"/>
  <c r="J151" i="1"/>
  <c r="J66" i="1"/>
  <c r="J64" i="1"/>
  <c r="J47" i="1"/>
  <c r="J35" i="1"/>
  <c r="J45" i="1"/>
  <c r="J33" i="1"/>
  <c r="J23" i="1"/>
  <c r="J67" i="1"/>
  <c r="J48" i="1"/>
  <c r="J28" i="1"/>
  <c r="J12" i="1"/>
  <c r="J9" i="1"/>
  <c r="J36" i="1"/>
  <c r="J13" i="1"/>
  <c r="J26" i="1"/>
  <c r="J61" i="1"/>
  <c r="J21" i="1"/>
  <c r="J78" i="1"/>
  <c r="J8" i="1"/>
  <c r="J34" i="1"/>
  <c r="J59" i="1"/>
  <c r="B18" i="31"/>
  <c r="J96" i="1"/>
  <c r="J69" i="1"/>
  <c r="J55" i="1"/>
  <c r="J44" i="1"/>
  <c r="J152" i="1"/>
  <c r="J63" i="1"/>
  <c r="J19" i="1"/>
  <c r="J11" i="1"/>
  <c r="J56" i="1"/>
  <c r="J57" i="1"/>
  <c r="J74" i="1"/>
  <c r="B17" i="31"/>
  <c r="J53" i="1"/>
  <c r="J50" i="1"/>
  <c r="J65" i="1"/>
  <c r="J95" i="1"/>
  <c r="J22" i="1"/>
  <c r="J32" i="1"/>
  <c r="J49" i="1"/>
  <c r="J148" i="1"/>
  <c r="J18" i="1"/>
  <c r="J40" i="1"/>
  <c r="J16" i="1"/>
  <c r="J153" i="1"/>
  <c r="J62" i="1"/>
  <c r="J54" i="1"/>
  <c r="J76" i="1"/>
  <c r="J43" i="1"/>
  <c r="J68" i="1"/>
  <c r="J149" i="1"/>
  <c r="J24" i="1"/>
  <c r="F49" i="97" l="1"/>
  <c r="E47" i="97"/>
  <c r="E48" i="97"/>
  <c r="E46" i="97"/>
  <c r="H4" i="31"/>
  <c r="L4" i="31"/>
  <c r="G5" i="31"/>
  <c r="K5" i="31"/>
  <c r="O5" i="31"/>
  <c r="J6" i="31"/>
  <c r="N6" i="31"/>
  <c r="I7" i="31"/>
  <c r="M7" i="31"/>
  <c r="H8" i="31"/>
  <c r="L8" i="31"/>
  <c r="G9" i="31"/>
  <c r="K9" i="31"/>
  <c r="O9" i="31"/>
  <c r="J10" i="31"/>
  <c r="N10" i="31"/>
  <c r="I11" i="31"/>
  <c r="M11" i="31"/>
  <c r="H12" i="31"/>
  <c r="L12" i="31"/>
  <c r="G13" i="31"/>
  <c r="K13" i="31"/>
  <c r="O13" i="31"/>
  <c r="J14" i="31"/>
  <c r="N14" i="31"/>
  <c r="I15" i="31"/>
  <c r="M15" i="31"/>
  <c r="H16" i="31"/>
  <c r="L16" i="31"/>
  <c r="G17" i="31"/>
  <c r="K17" i="31"/>
  <c r="O17" i="31"/>
  <c r="J18" i="31"/>
  <c r="N18" i="31"/>
  <c r="I19" i="31"/>
  <c r="M19" i="31"/>
  <c r="H20" i="31"/>
  <c r="L20" i="31"/>
  <c r="G21" i="31"/>
  <c r="K21" i="31"/>
  <c r="O21" i="31"/>
  <c r="J22" i="31"/>
  <c r="N22" i="31"/>
  <c r="I23" i="31"/>
  <c r="M23" i="31"/>
  <c r="H24" i="31"/>
  <c r="L24" i="31"/>
  <c r="G25" i="31"/>
  <c r="K25" i="31"/>
  <c r="O25" i="31"/>
  <c r="J26" i="31"/>
  <c r="N26" i="31"/>
  <c r="I27" i="31"/>
  <c r="M27" i="31"/>
  <c r="H28" i="31"/>
  <c r="L28" i="31"/>
  <c r="G29" i="31"/>
  <c r="K29" i="31"/>
  <c r="O29" i="31"/>
  <c r="J30" i="31"/>
  <c r="N30" i="31"/>
  <c r="I31" i="31"/>
  <c r="M31" i="31"/>
  <c r="H32" i="31"/>
  <c r="L32" i="31"/>
  <c r="G33" i="31"/>
  <c r="K33" i="31"/>
  <c r="O33" i="31"/>
  <c r="J34" i="31"/>
  <c r="N34" i="31"/>
  <c r="I35" i="31"/>
  <c r="M35" i="31"/>
  <c r="H36" i="31"/>
  <c r="L36" i="31"/>
  <c r="G37" i="31"/>
  <c r="K37" i="31"/>
  <c r="O37" i="31"/>
  <c r="J38" i="31"/>
  <c r="N38" i="31"/>
  <c r="I39" i="31"/>
  <c r="M39" i="31"/>
  <c r="H40" i="31"/>
  <c r="L40" i="31"/>
  <c r="G41" i="31"/>
  <c r="K41" i="31"/>
  <c r="I4" i="31"/>
  <c r="N4" i="31"/>
  <c r="J5" i="31"/>
  <c r="G6" i="31"/>
  <c r="L6" i="31"/>
  <c r="H7" i="31"/>
  <c r="N7" i="31"/>
  <c r="J8" i="31"/>
  <c r="O8" i="31"/>
  <c r="L9" i="31"/>
  <c r="H10" i="31"/>
  <c r="M10" i="31"/>
  <c r="J11" i="31"/>
  <c r="O11" i="31"/>
  <c r="K12" i="31"/>
  <c r="H13" i="31"/>
  <c r="M13" i="31"/>
  <c r="I14" i="31"/>
  <c r="O14" i="31"/>
  <c r="K15" i="31"/>
  <c r="G16" i="31"/>
  <c r="M16" i="31"/>
  <c r="I17" i="31"/>
  <c r="N17" i="31"/>
  <c r="K18" i="31"/>
  <c r="G19" i="31"/>
  <c r="L19" i="31"/>
  <c r="I20" i="31"/>
  <c r="N20" i="31"/>
  <c r="J21" i="31"/>
  <c r="G22" i="31"/>
  <c r="L22" i="31"/>
  <c r="H23" i="31"/>
  <c r="N23" i="31"/>
  <c r="J24" i="31"/>
  <c r="O24" i="31"/>
  <c r="L25" i="31"/>
  <c r="H26" i="31"/>
  <c r="M26" i="31"/>
  <c r="J27" i="31"/>
  <c r="O27" i="31"/>
  <c r="K28" i="31"/>
  <c r="H29" i="31"/>
  <c r="M29" i="31"/>
  <c r="I30" i="31"/>
  <c r="O30" i="31"/>
  <c r="K31" i="31"/>
  <c r="G32" i="31"/>
  <c r="M32" i="31"/>
  <c r="I33" i="31"/>
  <c r="N33" i="31"/>
  <c r="K34" i="31"/>
  <c r="G35" i="31"/>
  <c r="L35" i="31"/>
  <c r="I36" i="31"/>
  <c r="N36" i="31"/>
  <c r="J37" i="31"/>
  <c r="G38" i="31"/>
  <c r="L38" i="31"/>
  <c r="H39" i="31"/>
  <c r="N39" i="31"/>
  <c r="J40" i="31"/>
  <c r="O40" i="31"/>
  <c r="L41" i="31"/>
  <c r="G42" i="31"/>
  <c r="K42" i="31"/>
  <c r="O42" i="31"/>
  <c r="J43" i="31"/>
  <c r="N43" i="31"/>
  <c r="I44" i="31"/>
  <c r="M44" i="31"/>
  <c r="H45" i="31"/>
  <c r="L45" i="31"/>
  <c r="G46" i="31"/>
  <c r="K46" i="31"/>
  <c r="O46" i="31"/>
  <c r="J47" i="31"/>
  <c r="N47" i="31"/>
  <c r="I48" i="31"/>
  <c r="M48" i="31"/>
  <c r="H49" i="31"/>
  <c r="L49" i="31"/>
  <c r="G50" i="31"/>
  <c r="K50" i="31"/>
  <c r="O50" i="31"/>
  <c r="J51" i="31"/>
  <c r="N51" i="31"/>
  <c r="I52" i="31"/>
  <c r="M52" i="31"/>
  <c r="H53" i="31"/>
  <c r="L53" i="31"/>
  <c r="G54" i="31"/>
  <c r="K54" i="31"/>
  <c r="O54" i="31"/>
  <c r="J55" i="31"/>
  <c r="N55" i="31"/>
  <c r="I56" i="31"/>
  <c r="M56" i="31"/>
  <c r="H57" i="31"/>
  <c r="L57" i="31"/>
  <c r="G58" i="31"/>
  <c r="K58" i="31"/>
  <c r="O58" i="31"/>
  <c r="J59" i="31"/>
  <c r="N59" i="31"/>
  <c r="I60" i="31"/>
  <c r="M60" i="31"/>
  <c r="H61" i="31"/>
  <c r="L61" i="31"/>
  <c r="G62" i="31"/>
  <c r="K62" i="31"/>
  <c r="O62" i="31"/>
  <c r="J63" i="31"/>
  <c r="N63" i="31"/>
  <c r="I64" i="31"/>
  <c r="M64" i="31"/>
  <c r="H65" i="31"/>
  <c r="L65" i="31"/>
  <c r="G66" i="31"/>
  <c r="K66" i="31"/>
  <c r="O66" i="31"/>
  <c r="J67" i="31"/>
  <c r="N67" i="31"/>
  <c r="I68" i="31"/>
  <c r="M68" i="31"/>
  <c r="H69" i="31"/>
  <c r="L69" i="31"/>
  <c r="G70" i="31"/>
  <c r="K70" i="31"/>
  <c r="O70" i="31"/>
  <c r="J71" i="31"/>
  <c r="N71" i="31"/>
  <c r="I72" i="31"/>
  <c r="M72" i="31"/>
  <c r="H73" i="31"/>
  <c r="L73" i="31"/>
  <c r="G74" i="31"/>
  <c r="K74" i="31"/>
  <c r="O74" i="31"/>
  <c r="J75" i="31"/>
  <c r="N75" i="31"/>
  <c r="I76" i="31"/>
  <c r="M76" i="31"/>
  <c r="H77" i="31"/>
  <c r="L77" i="31"/>
  <c r="G78" i="31"/>
  <c r="K78" i="31"/>
  <c r="O78" i="31"/>
  <c r="J79" i="31"/>
  <c r="N79" i="31"/>
  <c r="I80" i="31"/>
  <c r="M80" i="31"/>
  <c r="H81" i="31"/>
  <c r="L81" i="31"/>
  <c r="G82" i="31"/>
  <c r="K82" i="31"/>
  <c r="O82" i="31"/>
  <c r="J83" i="31"/>
  <c r="N83" i="31"/>
  <c r="I84" i="31"/>
  <c r="M84" i="31"/>
  <c r="H85" i="31"/>
  <c r="L85" i="31"/>
  <c r="G86" i="31"/>
  <c r="K86" i="31"/>
  <c r="O86" i="31"/>
  <c r="J87" i="31"/>
  <c r="N87" i="31"/>
  <c r="I88" i="31"/>
  <c r="M88" i="31"/>
  <c r="J4" i="31"/>
  <c r="H5" i="31"/>
  <c r="N5" i="31"/>
  <c r="M6" i="31"/>
  <c r="K7" i="31"/>
  <c r="I8" i="31"/>
  <c r="H9" i="31"/>
  <c r="N9" i="31"/>
  <c r="L10" i="31"/>
  <c r="K11" i="31"/>
  <c r="I12" i="31"/>
  <c r="O12" i="31"/>
  <c r="N13" i="31"/>
  <c r="L14" i="31"/>
  <c r="J15" i="31"/>
  <c r="I16" i="31"/>
  <c r="O16" i="31"/>
  <c r="M17" i="31"/>
  <c r="L18" i="31"/>
  <c r="J19" i="31"/>
  <c r="G20" i="31"/>
  <c r="O20" i="31"/>
  <c r="M21" i="31"/>
  <c r="K22" i="31"/>
  <c r="J23" i="31"/>
  <c r="G24" i="31"/>
  <c r="N24" i="31"/>
  <c r="M25" i="31"/>
  <c r="K26" i="31"/>
  <c r="H27" i="31"/>
  <c r="G28" i="31"/>
  <c r="N28" i="31"/>
  <c r="L29" i="31"/>
  <c r="K30" i="31"/>
  <c r="H31" i="31"/>
  <c r="O31" i="31"/>
  <c r="N32" i="31"/>
  <c r="L33" i="31"/>
  <c r="I34" i="31"/>
  <c r="H35" i="31"/>
  <c r="O35" i="31"/>
  <c r="M36" i="31"/>
  <c r="L37" i="31"/>
  <c r="I38" i="31"/>
  <c r="G39" i="31"/>
  <c r="O39" i="31"/>
  <c r="M40" i="31"/>
  <c r="J41" i="31"/>
  <c r="H42" i="31"/>
  <c r="M42" i="31"/>
  <c r="I43" i="31"/>
  <c r="O43" i="31"/>
  <c r="K44" i="31"/>
  <c r="G45" i="31"/>
  <c r="M45" i="31"/>
  <c r="I46" i="31"/>
  <c r="N46" i="31"/>
  <c r="K47" i="31"/>
  <c r="G48" i="31"/>
  <c r="L48" i="31"/>
  <c r="I49" i="31"/>
  <c r="N49" i="31"/>
  <c r="J50" i="31"/>
  <c r="G51" i="31"/>
  <c r="L51" i="31"/>
  <c r="H52" i="31"/>
  <c r="N52" i="31"/>
  <c r="J53" i="31"/>
  <c r="O53" i="31"/>
  <c r="L54" i="31"/>
  <c r="H55" i="31"/>
  <c r="M55" i="31"/>
  <c r="J56" i="31"/>
  <c r="O56" i="31"/>
  <c r="K57" i="31"/>
  <c r="H58" i="31"/>
  <c r="M58" i="31"/>
  <c r="I59" i="31"/>
  <c r="O59" i="31"/>
  <c r="K60" i="31"/>
  <c r="G61" i="31"/>
  <c r="M61" i="31"/>
  <c r="I62" i="31"/>
  <c r="N62" i="31"/>
  <c r="K63" i="31"/>
  <c r="G4" i="31"/>
  <c r="I5" i="31"/>
  <c r="I6" i="31"/>
  <c r="J7" i="31"/>
  <c r="K8" i="31"/>
  <c r="J9" i="31"/>
  <c r="K10" i="31"/>
  <c r="L11" i="31"/>
  <c r="M12" i="31"/>
  <c r="L13" i="31"/>
  <c r="M14" i="31"/>
  <c r="N15" i="31"/>
  <c r="N16" i="31"/>
  <c r="G18" i="31"/>
  <c r="O18" i="31"/>
  <c r="O19" i="31"/>
  <c r="H21" i="31"/>
  <c r="H22" i="31"/>
  <c r="G23" i="31"/>
  <c r="I24" i="31"/>
  <c r="I25" i="31"/>
  <c r="I26" i="31"/>
  <c r="K27" i="31"/>
  <c r="J28" i="31"/>
  <c r="J29" i="31"/>
  <c r="L30" i="31"/>
  <c r="L31" i="31"/>
  <c r="K32" i="31"/>
  <c r="M33" i="31"/>
  <c r="M34" i="31"/>
  <c r="N35" i="31"/>
  <c r="O36" i="31"/>
  <c r="N37" i="31"/>
  <c r="O38" i="31"/>
  <c r="G40" i="31"/>
  <c r="H41" i="31"/>
  <c r="O41" i="31"/>
  <c r="N42" i="31"/>
  <c r="L43" i="31"/>
  <c r="J44" i="31"/>
  <c r="I45" i="31"/>
  <c r="O45" i="31"/>
  <c r="M46" i="31"/>
  <c r="L47" i="31"/>
  <c r="J48" i="31"/>
  <c r="G49" i="31"/>
  <c r="O49" i="31"/>
  <c r="M50" i="31"/>
  <c r="K51" i="31"/>
  <c r="J52" i="31"/>
  <c r="G53" i="31"/>
  <c r="N53" i="31"/>
  <c r="M54" i="31"/>
  <c r="K55" i="31"/>
  <c r="H56" i="31"/>
  <c r="G57" i="31"/>
  <c r="N57" i="31"/>
  <c r="L58" i="31"/>
  <c r="K59" i="31"/>
  <c r="H60" i="31"/>
  <c r="O60" i="31"/>
  <c r="N61" i="31"/>
  <c r="L62" i="31"/>
  <c r="I63" i="31"/>
  <c r="G64" i="31"/>
  <c r="L64" i="31"/>
  <c r="I65" i="31"/>
  <c r="N65" i="31"/>
  <c r="J66" i="31"/>
  <c r="G67" i="31"/>
  <c r="L67" i="31"/>
  <c r="H68" i="31"/>
  <c r="N68" i="31"/>
  <c r="J69" i="31"/>
  <c r="O69" i="31"/>
  <c r="L70" i="31"/>
  <c r="H71" i="31"/>
  <c r="M71" i="31"/>
  <c r="J72" i="31"/>
  <c r="O72" i="31"/>
  <c r="K73" i="31"/>
  <c r="H74" i="31"/>
  <c r="M74" i="31"/>
  <c r="I75" i="31"/>
  <c r="O75" i="31"/>
  <c r="K4" i="31"/>
  <c r="M5" i="31"/>
  <c r="G7" i="31"/>
  <c r="M8" i="31"/>
  <c r="G10" i="31"/>
  <c r="H11" i="31"/>
  <c r="N12" i="31"/>
  <c r="H14" i="31"/>
  <c r="L15" i="31"/>
  <c r="H17" i="31"/>
  <c r="I18" i="31"/>
  <c r="N19" i="31"/>
  <c r="I21" i="31"/>
  <c r="M22" i="31"/>
  <c r="O23" i="31"/>
  <c r="J25" i="31"/>
  <c r="O26" i="31"/>
  <c r="I28" i="31"/>
  <c r="N29" i="31"/>
  <c r="G31" i="31"/>
  <c r="J32" i="31"/>
  <c r="G34" i="31"/>
  <c r="J35" i="31"/>
  <c r="K36" i="31"/>
  <c r="H38" i="31"/>
  <c r="K39" i="31"/>
  <c r="N40" i="31"/>
  <c r="I42" i="31"/>
  <c r="H43" i="31"/>
  <c r="H44" i="31"/>
  <c r="J45" i="31"/>
  <c r="J46" i="31"/>
  <c r="I47" i="31"/>
  <c r="K48" i="31"/>
  <c r="K49" i="31"/>
  <c r="L50" i="31"/>
  <c r="M51" i="31"/>
  <c r="L52" i="31"/>
  <c r="M53" i="31"/>
  <c r="N54" i="31"/>
  <c r="O55" i="31"/>
  <c r="N56" i="31"/>
  <c r="O57" i="31"/>
  <c r="G59" i="31"/>
  <c r="G60" i="31"/>
  <c r="I61" i="31"/>
  <c r="H62" i="31"/>
  <c r="H63" i="31"/>
  <c r="H64" i="31"/>
  <c r="O64" i="31"/>
  <c r="M65" i="31"/>
  <c r="L66" i="31"/>
  <c r="I67" i="31"/>
  <c r="G68" i="31"/>
  <c r="O68" i="31"/>
  <c r="M69" i="31"/>
  <c r="J70" i="31"/>
  <c r="I71" i="31"/>
  <c r="G72" i="31"/>
  <c r="N72" i="31"/>
  <c r="M73" i="31"/>
  <c r="J74" i="31"/>
  <c r="H75" i="31"/>
  <c r="G76" i="31"/>
  <c r="L76" i="31"/>
  <c r="I77" i="31"/>
  <c r="N77" i="31"/>
  <c r="J78" i="31"/>
  <c r="G79" i="31"/>
  <c r="L79" i="31"/>
  <c r="H80" i="31"/>
  <c r="N80" i="31"/>
  <c r="J81" i="31"/>
  <c r="O81" i="31"/>
  <c r="L82" i="31"/>
  <c r="H83" i="31"/>
  <c r="M83" i="31"/>
  <c r="J84" i="31"/>
  <c r="O84" i="31"/>
  <c r="K85" i="31"/>
  <c r="H86" i="31"/>
  <c r="M86" i="31"/>
  <c r="I87" i="31"/>
  <c r="O87" i="31"/>
  <c r="K88" i="31"/>
  <c r="G89" i="31"/>
  <c r="K89" i="31"/>
  <c r="O89" i="31"/>
  <c r="J90" i="31"/>
  <c r="N90" i="31"/>
  <c r="I91" i="31"/>
  <c r="M91" i="31"/>
  <c r="H92" i="31"/>
  <c r="L92" i="31"/>
  <c r="G93" i="31"/>
  <c r="K93" i="31"/>
  <c r="O93" i="31"/>
  <c r="J94" i="31"/>
  <c r="N94" i="31"/>
  <c r="I95" i="31"/>
  <c r="M95" i="31"/>
  <c r="H96" i="31"/>
  <c r="L96" i="31"/>
  <c r="G97" i="31"/>
  <c r="K97" i="31"/>
  <c r="O97" i="31"/>
  <c r="J98" i="31"/>
  <c r="N98" i="31"/>
  <c r="I99" i="31"/>
  <c r="M99" i="31"/>
  <c r="H100" i="31"/>
  <c r="L100" i="31"/>
  <c r="G101" i="31"/>
  <c r="K101" i="31"/>
  <c r="O101" i="31"/>
  <c r="J102" i="31"/>
  <c r="N102" i="31"/>
  <c r="I103" i="31"/>
  <c r="M103" i="31"/>
  <c r="H104" i="31"/>
  <c r="L104" i="31"/>
  <c r="G105" i="31"/>
  <c r="K105" i="31"/>
  <c r="O105" i="31"/>
  <c r="J106" i="31"/>
  <c r="N106" i="31"/>
  <c r="I107" i="31"/>
  <c r="M107" i="31"/>
  <c r="H108" i="31"/>
  <c r="L108" i="31"/>
  <c r="G109" i="31"/>
  <c r="K109" i="31"/>
  <c r="O109" i="31"/>
  <c r="J110" i="31"/>
  <c r="N110" i="31"/>
  <c r="I111" i="31"/>
  <c r="M111" i="31"/>
  <c r="H112" i="31"/>
  <c r="L112" i="31"/>
  <c r="G113" i="31"/>
  <c r="K113" i="31"/>
  <c r="O113" i="31"/>
  <c r="J114" i="31"/>
  <c r="N114" i="31"/>
  <c r="I115" i="31"/>
  <c r="M115" i="31"/>
  <c r="H116" i="31"/>
  <c r="L116" i="31"/>
  <c r="G117" i="31"/>
  <c r="K117" i="31"/>
  <c r="O117" i="31"/>
  <c r="J118" i="31"/>
  <c r="N118" i="31"/>
  <c r="I119" i="31"/>
  <c r="M119" i="31"/>
  <c r="H120" i="31"/>
  <c r="L120" i="31"/>
  <c r="G121" i="31"/>
  <c r="K121" i="31"/>
  <c r="O121" i="31"/>
  <c r="J122" i="31"/>
  <c r="N122" i="31"/>
  <c r="I123" i="31"/>
  <c r="M123" i="31"/>
  <c r="H124" i="31"/>
  <c r="L124" i="31"/>
  <c r="G125" i="31"/>
  <c r="K125" i="31"/>
  <c r="O125" i="31"/>
  <c r="J126" i="31"/>
  <c r="M4" i="31"/>
  <c r="K6" i="31"/>
  <c r="G8" i="31"/>
  <c r="I10" i="31"/>
  <c r="G12" i="31"/>
  <c r="G14" i="31"/>
  <c r="O15" i="31"/>
  <c r="L17" i="31"/>
  <c r="K19" i="31"/>
  <c r="L21" i="31"/>
  <c r="K23" i="31"/>
  <c r="H25" i="31"/>
  <c r="G27" i="31"/>
  <c r="O28" i="31"/>
  <c r="M30" i="31"/>
  <c r="O32" i="31"/>
  <c r="L34" i="31"/>
  <c r="J36" i="31"/>
  <c r="K38" i="31"/>
  <c r="I40" i="31"/>
  <c r="N41" i="31"/>
  <c r="K43" i="31"/>
  <c r="N44" i="31"/>
  <c r="H46" i="31"/>
  <c r="M47" i="31"/>
  <c r="O48" i="31"/>
  <c r="I50" i="31"/>
  <c r="O51" i="31"/>
  <c r="I53" i="31"/>
  <c r="J54" i="31"/>
  <c r="G56" i="31"/>
  <c r="J57" i="31"/>
  <c r="N58" i="31"/>
  <c r="J60" i="31"/>
  <c r="K61" i="31"/>
  <c r="G63" i="31"/>
  <c r="J64" i="31"/>
  <c r="J65" i="31"/>
  <c r="I66" i="31"/>
  <c r="K67" i="31"/>
  <c r="K68" i="31"/>
  <c r="K69" i="31"/>
  <c r="M70" i="31"/>
  <c r="L71" i="31"/>
  <c r="L72" i="31"/>
  <c r="N73" i="31"/>
  <c r="N74" i="31"/>
  <c r="M75" i="31"/>
  <c r="N76" i="31"/>
  <c r="K77" i="31"/>
  <c r="I78" i="31"/>
  <c r="H79" i="31"/>
  <c r="O79" i="31"/>
  <c r="L80" i="31"/>
  <c r="K81" i="31"/>
  <c r="I82" i="31"/>
  <c r="G83" i="31"/>
  <c r="O83" i="31"/>
  <c r="L84" i="31"/>
  <c r="J85" i="31"/>
  <c r="I86" i="31"/>
  <c r="G87" i="31"/>
  <c r="M87" i="31"/>
  <c r="L88" i="31"/>
  <c r="I89" i="31"/>
  <c r="N89" i="31"/>
  <c r="K90" i="31"/>
  <c r="G91" i="31"/>
  <c r="L91" i="31"/>
  <c r="I92" i="31"/>
  <c r="N92" i="31"/>
  <c r="J93" i="31"/>
  <c r="G94" i="31"/>
  <c r="L94" i="31"/>
  <c r="H95" i="31"/>
  <c r="N95" i="31"/>
  <c r="J96" i="31"/>
  <c r="O96" i="31"/>
  <c r="L97" i="31"/>
  <c r="H98" i="31"/>
  <c r="M98" i="31"/>
  <c r="J99" i="31"/>
  <c r="O99" i="31"/>
  <c r="K100" i="31"/>
  <c r="H101" i="31"/>
  <c r="M101" i="31"/>
  <c r="I102" i="31"/>
  <c r="O102" i="31"/>
  <c r="K103" i="31"/>
  <c r="G104" i="31"/>
  <c r="M104" i="31"/>
  <c r="I105" i="31"/>
  <c r="N105" i="31"/>
  <c r="O4" i="31"/>
  <c r="O6" i="31"/>
  <c r="N8" i="31"/>
  <c r="O10" i="31"/>
  <c r="J12" i="31"/>
  <c r="K14" i="31"/>
  <c r="J16" i="31"/>
  <c r="H18" i="31"/>
  <c r="J20" i="31"/>
  <c r="N21" i="31"/>
  <c r="L23" i="31"/>
  <c r="N25" i="31"/>
  <c r="L27" i="31"/>
  <c r="I29" i="31"/>
  <c r="J31" i="31"/>
  <c r="H33" i="31"/>
  <c r="O34" i="31"/>
  <c r="H37" i="31"/>
  <c r="M38" i="31"/>
  <c r="K40" i="31"/>
  <c r="J42" i="31"/>
  <c r="M43" i="31"/>
  <c r="O44" i="31"/>
  <c r="L46" i="31"/>
  <c r="O47" i="31"/>
  <c r="J49" i="31"/>
  <c r="N50" i="31"/>
  <c r="G52" i="31"/>
  <c r="K53" i="31"/>
  <c r="G55" i="31"/>
  <c r="K56" i="31"/>
  <c r="M57" i="31"/>
  <c r="H59" i="31"/>
  <c r="L60" i="31"/>
  <c r="O61" i="31"/>
  <c r="L63" i="31"/>
  <c r="K64" i="31"/>
  <c r="K65" i="31"/>
  <c r="M66" i="31"/>
  <c r="M67" i="31"/>
  <c r="L68" i="31"/>
  <c r="N69" i="31"/>
  <c r="N70" i="31"/>
  <c r="O71" i="31"/>
  <c r="G73" i="31"/>
  <c r="O73" i="31"/>
  <c r="G75" i="31"/>
  <c r="H76" i="31"/>
  <c r="O76" i="31"/>
  <c r="M77" i="31"/>
  <c r="L78" i="31"/>
  <c r="I79" i="31"/>
  <c r="G80" i="31"/>
  <c r="O80" i="31"/>
  <c r="M81" i="31"/>
  <c r="J82" i="31"/>
  <c r="I83" i="31"/>
  <c r="G84" i="31"/>
  <c r="N84" i="31"/>
  <c r="M85" i="31"/>
  <c r="J86" i="31"/>
  <c r="H87" i="31"/>
  <c r="G88" i="31"/>
  <c r="N88" i="31"/>
  <c r="J89" i="31"/>
  <c r="G90" i="31"/>
  <c r="L90" i="31"/>
  <c r="H91" i="31"/>
  <c r="N91" i="31"/>
  <c r="J92" i="31"/>
  <c r="O92" i="31"/>
  <c r="L93" i="31"/>
  <c r="H94" i="31"/>
  <c r="M94" i="31"/>
  <c r="J95" i="31"/>
  <c r="O95" i="31"/>
  <c r="K96" i="31"/>
  <c r="H97" i="31"/>
  <c r="M97" i="31"/>
  <c r="I98" i="31"/>
  <c r="O98" i="31"/>
  <c r="K99" i="31"/>
  <c r="G100" i="31"/>
  <c r="M100" i="31"/>
  <c r="I101" i="31"/>
  <c r="N101" i="31"/>
  <c r="K102" i="31"/>
  <c r="G103" i="31"/>
  <c r="L103" i="31"/>
  <c r="I104" i="31"/>
  <c r="N104" i="31"/>
  <c r="J105" i="31"/>
  <c r="G106" i="31"/>
  <c r="L106" i="31"/>
  <c r="H107" i="31"/>
  <c r="N107" i="31"/>
  <c r="J108" i="31"/>
  <c r="O108" i="31"/>
  <c r="L109" i="31"/>
  <c r="H110" i="31"/>
  <c r="M110" i="31"/>
  <c r="J111" i="31"/>
  <c r="O111" i="31"/>
  <c r="K112" i="31"/>
  <c r="H113" i="31"/>
  <c r="M113" i="31"/>
  <c r="I114" i="31"/>
  <c r="O114" i="31"/>
  <c r="K115" i="31"/>
  <c r="G116" i="31"/>
  <c r="M116" i="31"/>
  <c r="I117" i="31"/>
  <c r="N117" i="31"/>
  <c r="K118" i="31"/>
  <c r="G119" i="31"/>
  <c r="L119" i="31"/>
  <c r="I120" i="31"/>
  <c r="N120" i="31"/>
  <c r="J121" i="31"/>
  <c r="G122" i="31"/>
  <c r="L122" i="31"/>
  <c r="H123" i="31"/>
  <c r="N123" i="31"/>
  <c r="J124" i="31"/>
  <c r="O124" i="31"/>
  <c r="L125" i="31"/>
  <c r="H126" i="31"/>
  <c r="M126" i="31"/>
  <c r="H127" i="31"/>
  <c r="L127" i="31"/>
  <c r="G128" i="31"/>
  <c r="K128" i="31"/>
  <c r="O128" i="31"/>
  <c r="J129" i="31"/>
  <c r="N129" i="31"/>
  <c r="I130" i="31"/>
  <c r="M130" i="31"/>
  <c r="H131" i="31"/>
  <c r="L131" i="31"/>
  <c r="G132" i="31"/>
  <c r="K132" i="31"/>
  <c r="O132" i="31"/>
  <c r="J133" i="31"/>
  <c r="N133" i="31"/>
  <c r="I134" i="31"/>
  <c r="M134" i="31"/>
  <c r="H135" i="31"/>
  <c r="L135" i="31"/>
  <c r="G136" i="31"/>
  <c r="K136" i="31"/>
  <c r="O136" i="31"/>
  <c r="J137" i="31"/>
  <c r="N137" i="31"/>
  <c r="I138" i="31"/>
  <c r="M138" i="31"/>
  <c r="H139" i="31"/>
  <c r="L139" i="31"/>
  <c r="G140" i="31"/>
  <c r="K140" i="31"/>
  <c r="O140" i="31"/>
  <c r="J141" i="31"/>
  <c r="N141" i="31"/>
  <c r="I142" i="31"/>
  <c r="M142" i="31"/>
  <c r="H143" i="31"/>
  <c r="L143" i="31"/>
  <c r="G144" i="31"/>
  <c r="K144" i="31"/>
  <c r="O144" i="31"/>
  <c r="J145" i="31"/>
  <c r="L5" i="31"/>
  <c r="H6" i="31"/>
  <c r="M9" i="31"/>
  <c r="J13" i="31"/>
  <c r="J17" i="31"/>
  <c r="M20" i="31"/>
  <c r="M24" i="31"/>
  <c r="M28" i="31"/>
  <c r="I32" i="31"/>
  <c r="G36" i="31"/>
  <c r="L39" i="31"/>
  <c r="G43" i="31"/>
  <c r="N45" i="31"/>
  <c r="N48" i="31"/>
  <c r="I51" i="31"/>
  <c r="I54" i="31"/>
  <c r="I57" i="31"/>
  <c r="M59" i="31"/>
  <c r="M62" i="31"/>
  <c r="G65" i="31"/>
  <c r="H67" i="31"/>
  <c r="I69" i="31"/>
  <c r="K71" i="31"/>
  <c r="J73" i="31"/>
  <c r="L75" i="31"/>
  <c r="J77" i="31"/>
  <c r="N78" i="31"/>
  <c r="K80" i="31"/>
  <c r="H82" i="31"/>
  <c r="L83" i="31"/>
  <c r="I85" i="31"/>
  <c r="N86" i="31"/>
  <c r="J88" i="31"/>
  <c r="M89" i="31"/>
  <c r="O90" i="31"/>
  <c r="G92" i="31"/>
  <c r="I93" i="31"/>
  <c r="K94" i="31"/>
  <c r="L95" i="31"/>
  <c r="N96" i="31"/>
  <c r="G98" i="31"/>
  <c r="H99" i="31"/>
  <c r="J100" i="31"/>
  <c r="L101" i="31"/>
  <c r="M102" i="31"/>
  <c r="O103" i="31"/>
  <c r="H105" i="31"/>
  <c r="I106" i="31"/>
  <c r="G107" i="31"/>
  <c r="O107" i="31"/>
  <c r="M108" i="31"/>
  <c r="J109" i="31"/>
  <c r="I110" i="31"/>
  <c r="G111" i="31"/>
  <c r="N111" i="31"/>
  <c r="M112" i="31"/>
  <c r="J113" i="31"/>
  <c r="H114" i="31"/>
  <c r="G115" i="31"/>
  <c r="N115" i="31"/>
  <c r="K116" i="31"/>
  <c r="J117" i="31"/>
  <c r="H118" i="31"/>
  <c r="O118" i="31"/>
  <c r="N119" i="31"/>
  <c r="K120" i="31"/>
  <c r="I121" i="31"/>
  <c r="H122" i="31"/>
  <c r="O122" i="31"/>
  <c r="L123" i="31"/>
  <c r="K124" i="31"/>
  <c r="I125" i="31"/>
  <c r="G126" i="31"/>
  <c r="N126" i="31"/>
  <c r="J127" i="31"/>
  <c r="O127" i="31"/>
  <c r="L128" i="31"/>
  <c r="H129" i="31"/>
  <c r="M129" i="31"/>
  <c r="J130" i="31"/>
  <c r="O130" i="31"/>
  <c r="K131" i="31"/>
  <c r="H132" i="31"/>
  <c r="M132" i="31"/>
  <c r="I133" i="31"/>
  <c r="O133" i="31"/>
  <c r="K134" i="31"/>
  <c r="G135" i="31"/>
  <c r="M135" i="31"/>
  <c r="I136" i="31"/>
  <c r="N136" i="31"/>
  <c r="K137" i="31"/>
  <c r="G138" i="31"/>
  <c r="L138" i="31"/>
  <c r="I139" i="31"/>
  <c r="N139" i="31"/>
  <c r="J140" i="31"/>
  <c r="G141" i="31"/>
  <c r="L141" i="31"/>
  <c r="H142" i="31"/>
  <c r="N142" i="31"/>
  <c r="J143" i="31"/>
  <c r="O143" i="31"/>
  <c r="L144" i="31"/>
  <c r="H145" i="31"/>
  <c r="M145" i="31"/>
  <c r="H146" i="31"/>
  <c r="L146" i="31"/>
  <c r="G147" i="31"/>
  <c r="K147" i="31"/>
  <c r="O147" i="31"/>
  <c r="J148" i="31"/>
  <c r="N148" i="31"/>
  <c r="I149" i="31"/>
  <c r="M149" i="31"/>
  <c r="H150" i="31"/>
  <c r="L150" i="31"/>
  <c r="G151" i="31"/>
  <c r="K151" i="31"/>
  <c r="O151" i="31"/>
  <c r="J152" i="31"/>
  <c r="N152" i="31"/>
  <c r="I153" i="31"/>
  <c r="M153" i="31"/>
  <c r="H154" i="31"/>
  <c r="L154" i="31"/>
  <c r="G155" i="31"/>
  <c r="K155" i="31"/>
  <c r="O155" i="31"/>
  <c r="J156" i="31"/>
  <c r="N156" i="31"/>
  <c r="I157" i="31"/>
  <c r="M157" i="31"/>
  <c r="H158" i="31"/>
  <c r="L158" i="31"/>
  <c r="G159" i="31"/>
  <c r="K159" i="31"/>
  <c r="O159" i="31"/>
  <c r="J160" i="31"/>
  <c r="N160" i="31"/>
  <c r="I161" i="31"/>
  <c r="M161" i="31"/>
  <c r="H162" i="31"/>
  <c r="L162" i="31"/>
  <c r="G163" i="31"/>
  <c r="K163" i="31"/>
  <c r="O163" i="31"/>
  <c r="J164" i="31"/>
  <c r="N164" i="31"/>
  <c r="I165" i="31"/>
  <c r="M165" i="31"/>
  <c r="H166" i="31"/>
  <c r="L166" i="31"/>
  <c r="G167" i="31"/>
  <c r="K167" i="31"/>
  <c r="O167" i="31"/>
  <c r="J168" i="31"/>
  <c r="N168" i="31"/>
  <c r="I169" i="31"/>
  <c r="M169" i="31"/>
  <c r="H170" i="31"/>
  <c r="L170" i="31"/>
  <c r="G171" i="31"/>
  <c r="K171" i="31"/>
  <c r="O171" i="31"/>
  <c r="J172" i="31"/>
  <c r="N172" i="31"/>
  <c r="I173" i="31"/>
  <c r="M173" i="31"/>
  <c r="H174" i="31"/>
  <c r="L174" i="31"/>
  <c r="G175" i="31"/>
  <c r="K175" i="31"/>
  <c r="O175" i="31"/>
  <c r="J176" i="31"/>
  <c r="N176" i="31"/>
  <c r="I177" i="31"/>
  <c r="M177" i="31"/>
  <c r="H178" i="31"/>
  <c r="L178" i="31"/>
  <c r="G179" i="31"/>
  <c r="K179" i="31"/>
  <c r="O179" i="31"/>
  <c r="J180" i="31"/>
  <c r="N180" i="31"/>
  <c r="I181" i="31"/>
  <c r="M181" i="31"/>
  <c r="H182" i="31"/>
  <c r="L182" i="31"/>
  <c r="G183" i="31"/>
  <c r="K183" i="31"/>
  <c r="O183" i="31"/>
  <c r="J184" i="31"/>
  <c r="N184" i="31"/>
  <c r="I185" i="31"/>
  <c r="M185" i="31"/>
  <c r="H186" i="31"/>
  <c r="L186" i="31"/>
  <c r="G187" i="31"/>
  <c r="K187" i="31"/>
  <c r="O187" i="31"/>
  <c r="J188" i="31"/>
  <c r="N188" i="31"/>
  <c r="I189" i="31"/>
  <c r="M189" i="31"/>
  <c r="H190" i="31"/>
  <c r="L190" i="31"/>
  <c r="G191" i="31"/>
  <c r="K191" i="31"/>
  <c r="O191" i="31"/>
  <c r="J192" i="31"/>
  <c r="N192" i="31"/>
  <c r="I193" i="31"/>
  <c r="M193" i="31"/>
  <c r="H194" i="31"/>
  <c r="L194" i="31"/>
  <c r="G195" i="31"/>
  <c r="K195" i="31"/>
  <c r="O195" i="31"/>
  <c r="J196" i="31"/>
  <c r="N196" i="31"/>
  <c r="I197" i="31"/>
  <c r="M197" i="31"/>
  <c r="H198" i="31"/>
  <c r="L198" i="31"/>
  <c r="G199" i="31"/>
  <c r="K199" i="31"/>
  <c r="O199" i="31"/>
  <c r="J200" i="31"/>
  <c r="N200" i="31"/>
  <c r="I201" i="31"/>
  <c r="M201" i="31"/>
  <c r="H202" i="31"/>
  <c r="L202" i="31"/>
  <c r="G203" i="31"/>
  <c r="K203" i="31"/>
  <c r="O203" i="31"/>
  <c r="J204" i="31"/>
  <c r="N204" i="31"/>
  <c r="I205" i="31"/>
  <c r="M205" i="31"/>
  <c r="H206" i="31"/>
  <c r="L206" i="31"/>
  <c r="G207" i="31"/>
  <c r="K207" i="31"/>
  <c r="O207" i="31"/>
  <c r="J208" i="31"/>
  <c r="N208" i="31"/>
  <c r="I209" i="31"/>
  <c r="M209" i="31"/>
  <c r="H210" i="31"/>
  <c r="L210" i="31"/>
  <c r="G211" i="31"/>
  <c r="K211" i="31"/>
  <c r="O211" i="31"/>
  <c r="J212" i="31"/>
  <c r="N212" i="31"/>
  <c r="I213" i="31"/>
  <c r="M213" i="31"/>
  <c r="H214" i="31"/>
  <c r="L214" i="31"/>
  <c r="G215" i="31"/>
  <c r="K215" i="31"/>
  <c r="O215" i="31"/>
  <c r="J216" i="31"/>
  <c r="N216" i="31"/>
  <c r="I217" i="31"/>
  <c r="M217" i="31"/>
  <c r="H218" i="31"/>
  <c r="L218" i="31"/>
  <c r="G219" i="31"/>
  <c r="K219" i="31"/>
  <c r="O219" i="31"/>
  <c r="J220" i="31"/>
  <c r="N220" i="31"/>
  <c r="I221" i="31"/>
  <c r="M221" i="31"/>
  <c r="H222" i="31"/>
  <c r="L222" i="31"/>
  <c r="G223" i="31"/>
  <c r="K223" i="31"/>
  <c r="O223" i="31"/>
  <c r="J224" i="31"/>
  <c r="N224" i="31"/>
  <c r="I225" i="31"/>
  <c r="M225" i="31"/>
  <c r="H226" i="31"/>
  <c r="L226" i="31"/>
  <c r="G227" i="31"/>
  <c r="K227" i="31"/>
  <c r="O227" i="31"/>
  <c r="J228" i="31"/>
  <c r="N228" i="31"/>
  <c r="I229" i="31"/>
  <c r="M229" i="31"/>
  <c r="H230" i="31"/>
  <c r="L230" i="31"/>
  <c r="G231" i="31"/>
  <c r="K231" i="31"/>
  <c r="O231" i="31"/>
  <c r="J232" i="31"/>
  <c r="N232" i="31"/>
  <c r="I233" i="31"/>
  <c r="M233" i="31"/>
  <c r="H234" i="31"/>
  <c r="L234" i="31"/>
  <c r="G235" i="31"/>
  <c r="K235" i="31"/>
  <c r="O235" i="31"/>
  <c r="J236" i="31"/>
  <c r="N236" i="31"/>
  <c r="I237" i="31"/>
  <c r="M237" i="31"/>
  <c r="H238" i="31"/>
  <c r="L238" i="31"/>
  <c r="G239" i="31"/>
  <c r="K239" i="31"/>
  <c r="O239" i="31"/>
  <c r="J240" i="31"/>
  <c r="N240" i="31"/>
  <c r="I241" i="31"/>
  <c r="M241" i="31"/>
  <c r="H242" i="31"/>
  <c r="L242" i="31"/>
  <c r="G243" i="31"/>
  <c r="K243" i="31"/>
  <c r="O243" i="31"/>
  <c r="J244" i="31"/>
  <c r="N244" i="31"/>
  <c r="I245" i="31"/>
  <c r="M245" i="31"/>
  <c r="H246" i="31"/>
  <c r="L246" i="31"/>
  <c r="G247" i="31"/>
  <c r="K247" i="31"/>
  <c r="O247" i="31"/>
  <c r="J248" i="31"/>
  <c r="N248" i="31"/>
  <c r="I249" i="31"/>
  <c r="M249" i="31"/>
  <c r="H250" i="31"/>
  <c r="L250" i="31"/>
  <c r="L7" i="31"/>
  <c r="N11" i="31"/>
  <c r="K16" i="31"/>
  <c r="I22" i="31"/>
  <c r="L26" i="31"/>
  <c r="N31" i="31"/>
  <c r="I37" i="31"/>
  <c r="M41" i="31"/>
  <c r="K45" i="31"/>
  <c r="M49" i="31"/>
  <c r="O52" i="31"/>
  <c r="L56" i="31"/>
  <c r="N60" i="31"/>
  <c r="O63" i="31"/>
  <c r="N66" i="31"/>
  <c r="H70" i="31"/>
  <c r="K72" i="31"/>
  <c r="K75" i="31"/>
  <c r="O77" i="31"/>
  <c r="M79" i="31"/>
  <c r="N81" i="31"/>
  <c r="H84" i="31"/>
  <c r="O85" i="31"/>
  <c r="H88" i="31"/>
  <c r="H90" i="31"/>
  <c r="K91" i="31"/>
  <c r="H93" i="31"/>
  <c r="O94" i="31"/>
  <c r="I96" i="31"/>
  <c r="N97" i="31"/>
  <c r="L99" i="31"/>
  <c r="O100" i="31"/>
  <c r="L102" i="31"/>
  <c r="J104" i="31"/>
  <c r="M105" i="31"/>
  <c r="O106" i="31"/>
  <c r="G108" i="31"/>
  <c r="H109" i="31"/>
  <c r="G110" i="31"/>
  <c r="H111" i="31"/>
  <c r="I112" i="31"/>
  <c r="I113" i="31"/>
  <c r="K114" i="31"/>
  <c r="J115" i="31"/>
  <c r="J116" i="31"/>
  <c r="L117" i="31"/>
  <c r="L118" i="31"/>
  <c r="K119" i="31"/>
  <c r="M120" i="31"/>
  <c r="M121" i="31"/>
  <c r="M122" i="31"/>
  <c r="O123" i="31"/>
  <c r="N124" i="31"/>
  <c r="N125" i="31"/>
  <c r="O126" i="31"/>
  <c r="M127" i="31"/>
  <c r="J128" i="31"/>
  <c r="I129" i="31"/>
  <c r="G130" i="31"/>
  <c r="N130" i="31"/>
  <c r="M131" i="31"/>
  <c r="J132" i="31"/>
  <c r="H133" i="31"/>
  <c r="G134" i="31"/>
  <c r="N134" i="31"/>
  <c r="K135" i="31"/>
  <c r="J136" i="31"/>
  <c r="H137" i="31"/>
  <c r="O137" i="31"/>
  <c r="N138" i="31"/>
  <c r="K139" i="31"/>
  <c r="I140" i="31"/>
  <c r="H141" i="31"/>
  <c r="O141" i="31"/>
  <c r="L142" i="31"/>
  <c r="K143" i="31"/>
  <c r="I144" i="31"/>
  <c r="G145" i="31"/>
  <c r="N145" i="31"/>
  <c r="J146" i="31"/>
  <c r="O146" i="31"/>
  <c r="L147" i="31"/>
  <c r="H148" i="31"/>
  <c r="M148" i="31"/>
  <c r="J149" i="31"/>
  <c r="O149" i="31"/>
  <c r="K150" i="31"/>
  <c r="H151" i="31"/>
  <c r="M151" i="31"/>
  <c r="I152" i="31"/>
  <c r="O152" i="31"/>
  <c r="K153" i="31"/>
  <c r="G154" i="31"/>
  <c r="M154" i="31"/>
  <c r="I155" i="31"/>
  <c r="N155" i="31"/>
  <c r="K156" i="31"/>
  <c r="G157" i="31"/>
  <c r="L157" i="31"/>
  <c r="I158" i="31"/>
  <c r="N158" i="31"/>
  <c r="J159" i="31"/>
  <c r="G160" i="31"/>
  <c r="L160" i="31"/>
  <c r="H161" i="31"/>
  <c r="N161" i="31"/>
  <c r="J162" i="31"/>
  <c r="O162" i="31"/>
  <c r="L163" i="31"/>
  <c r="H164" i="31"/>
  <c r="M164" i="31"/>
  <c r="J165" i="31"/>
  <c r="O165" i="31"/>
  <c r="K166" i="31"/>
  <c r="H167" i="31"/>
  <c r="M167" i="31"/>
  <c r="I168" i="31"/>
  <c r="O168" i="31"/>
  <c r="K169" i="31"/>
  <c r="G170" i="31"/>
  <c r="M170" i="31"/>
  <c r="I171" i="31"/>
  <c r="N171" i="31"/>
  <c r="K172" i="31"/>
  <c r="G173" i="31"/>
  <c r="L173" i="31"/>
  <c r="I174" i="31"/>
  <c r="N174" i="31"/>
  <c r="J175" i="31"/>
  <c r="G176" i="31"/>
  <c r="L176" i="31"/>
  <c r="H177" i="31"/>
  <c r="N177" i="31"/>
  <c r="J178" i="31"/>
  <c r="O178" i="31"/>
  <c r="L179" i="31"/>
  <c r="H180" i="31"/>
  <c r="M180" i="31"/>
  <c r="J181" i="31"/>
  <c r="O181" i="31"/>
  <c r="K182" i="31"/>
  <c r="H183" i="31"/>
  <c r="M183" i="31"/>
  <c r="I184" i="31"/>
  <c r="O184" i="31"/>
  <c r="K185" i="31"/>
  <c r="G186" i="31"/>
  <c r="M186" i="31"/>
  <c r="I187" i="31"/>
  <c r="N187" i="31"/>
  <c r="K188" i="31"/>
  <c r="G189" i="31"/>
  <c r="L189" i="31"/>
  <c r="I190" i="31"/>
  <c r="N190" i="31"/>
  <c r="J191" i="31"/>
  <c r="G192" i="31"/>
  <c r="L192" i="31"/>
  <c r="H193" i="31"/>
  <c r="N193" i="31"/>
  <c r="J194" i="31"/>
  <c r="O194" i="31"/>
  <c r="L195" i="31"/>
  <c r="H196" i="31"/>
  <c r="M196" i="31"/>
  <c r="J197" i="31"/>
  <c r="O197" i="31"/>
  <c r="K198" i="31"/>
  <c r="H199" i="31"/>
  <c r="M199" i="31"/>
  <c r="I200" i="31"/>
  <c r="O200" i="31"/>
  <c r="K201" i="31"/>
  <c r="G202" i="31"/>
  <c r="M202" i="31"/>
  <c r="I203" i="31"/>
  <c r="N203" i="31"/>
  <c r="K204" i="31"/>
  <c r="G205" i="31"/>
  <c r="L205" i="31"/>
  <c r="I206" i="31"/>
  <c r="N206" i="31"/>
  <c r="J207" i="31"/>
  <c r="G208" i="31"/>
  <c r="L208" i="31"/>
  <c r="H209" i="31"/>
  <c r="N209" i="31"/>
  <c r="J210" i="31"/>
  <c r="O210" i="31"/>
  <c r="L211" i="31"/>
  <c r="H212" i="31"/>
  <c r="M212" i="31"/>
  <c r="J213" i="31"/>
  <c r="O213" i="31"/>
  <c r="K214" i="31"/>
  <c r="H215" i="31"/>
  <c r="M215" i="31"/>
  <c r="I216" i="31"/>
  <c r="O216" i="31"/>
  <c r="K217" i="31"/>
  <c r="G218" i="31"/>
  <c r="M218" i="31"/>
  <c r="I219" i="31"/>
  <c r="N219" i="31"/>
  <c r="K220" i="31"/>
  <c r="G221" i="31"/>
  <c r="L221" i="31"/>
  <c r="I222" i="31"/>
  <c r="N222" i="31"/>
  <c r="J223" i="31"/>
  <c r="G224" i="31"/>
  <c r="L224" i="31"/>
  <c r="H225" i="31"/>
  <c r="N225" i="31"/>
  <c r="J226" i="31"/>
  <c r="O226" i="31"/>
  <c r="L227" i="31"/>
  <c r="H228" i="31"/>
  <c r="M228" i="31"/>
  <c r="J229" i="31"/>
  <c r="O229" i="31"/>
  <c r="K230" i="31"/>
  <c r="H231" i="31"/>
  <c r="M231" i="31"/>
  <c r="I232" i="31"/>
  <c r="O232" i="31"/>
  <c r="K233" i="31"/>
  <c r="G234" i="31"/>
  <c r="M234" i="31"/>
  <c r="I235" i="31"/>
  <c r="N235" i="31"/>
  <c r="K236" i="31"/>
  <c r="G237" i="31"/>
  <c r="L237" i="31"/>
  <c r="I238" i="31"/>
  <c r="N238" i="31"/>
  <c r="J239" i="31"/>
  <c r="G240" i="31"/>
  <c r="L240" i="31"/>
  <c r="H241" i="31"/>
  <c r="N241" i="31"/>
  <c r="J242" i="31"/>
  <c r="O242" i="31"/>
  <c r="L243" i="31"/>
  <c r="H244" i="31"/>
  <c r="M244" i="31"/>
  <c r="J245" i="31"/>
  <c r="O245" i="31"/>
  <c r="K246" i="31"/>
  <c r="H247" i="31"/>
  <c r="M247" i="31"/>
  <c r="I248" i="31"/>
  <c r="O248" i="31"/>
  <c r="K249" i="31"/>
  <c r="G250" i="31"/>
  <c r="M250" i="31"/>
  <c r="H251" i="31"/>
  <c r="L251" i="31"/>
  <c r="G252" i="31"/>
  <c r="K252" i="31"/>
  <c r="O252" i="31"/>
  <c r="J253" i="31"/>
  <c r="N253" i="31"/>
  <c r="I254" i="31"/>
  <c r="M254" i="31"/>
  <c r="H255" i="31"/>
  <c r="L255" i="31"/>
  <c r="G256" i="31"/>
  <c r="K256" i="31"/>
  <c r="O256" i="31"/>
  <c r="J257" i="31"/>
  <c r="N257" i="31"/>
  <c r="I258" i="31"/>
  <c r="M258" i="31"/>
  <c r="H259" i="31"/>
  <c r="L259" i="31"/>
  <c r="G260" i="31"/>
  <c r="K260" i="31"/>
  <c r="O260" i="31"/>
  <c r="J261" i="31"/>
  <c r="N261" i="31"/>
  <c r="I262" i="31"/>
  <c r="M262" i="31"/>
  <c r="H263" i="31"/>
  <c r="L263" i="31"/>
  <c r="G264" i="31"/>
  <c r="K264" i="31"/>
  <c r="O264" i="31"/>
  <c r="J265" i="31"/>
  <c r="N265" i="31"/>
  <c r="I266" i="31"/>
  <c r="M266" i="31"/>
  <c r="H267" i="31"/>
  <c r="L267" i="31"/>
  <c r="G268" i="31"/>
  <c r="K268" i="31"/>
  <c r="O268" i="31"/>
  <c r="J269" i="31"/>
  <c r="N269" i="31"/>
  <c r="I270" i="31"/>
  <c r="M270" i="31"/>
  <c r="H271" i="31"/>
  <c r="L271" i="31"/>
  <c r="G272" i="31"/>
  <c r="K272" i="31"/>
  <c r="O272" i="31"/>
  <c r="J273" i="31"/>
  <c r="N273" i="31"/>
  <c r="I274" i="31"/>
  <c r="M274" i="31"/>
  <c r="H275" i="31"/>
  <c r="L275" i="31"/>
  <c r="G276" i="31"/>
  <c r="K276" i="31"/>
  <c r="O276" i="31"/>
  <c r="J277" i="31"/>
  <c r="N277" i="31"/>
  <c r="I278" i="31"/>
  <c r="M278" i="31"/>
  <c r="H279" i="31"/>
  <c r="L279" i="31"/>
  <c r="G280" i="31"/>
  <c r="K280" i="31"/>
  <c r="O280" i="31"/>
  <c r="J281" i="31"/>
  <c r="N281" i="31"/>
  <c r="I282" i="31"/>
  <c r="M282" i="31"/>
  <c r="H283" i="31"/>
  <c r="L283" i="31"/>
  <c r="G284" i="31"/>
  <c r="K284" i="31"/>
  <c r="O284" i="31"/>
  <c r="J285" i="31"/>
  <c r="N285" i="31"/>
  <c r="I286" i="31"/>
  <c r="M286" i="31"/>
  <c r="H287" i="31"/>
  <c r="L287" i="31"/>
  <c r="G288" i="31"/>
  <c r="K288" i="31"/>
  <c r="O7" i="31"/>
  <c r="I13" i="31"/>
  <c r="M18" i="31"/>
  <c r="O22" i="31"/>
  <c r="N27" i="31"/>
  <c r="J33" i="31"/>
  <c r="M37" i="31"/>
  <c r="L42" i="31"/>
  <c r="G47" i="31"/>
  <c r="H50" i="31"/>
  <c r="H54" i="31"/>
  <c r="I58" i="31"/>
  <c r="J61" i="31"/>
  <c r="N64" i="31"/>
  <c r="O67" i="31"/>
  <c r="I70" i="31"/>
  <c r="I73" i="31"/>
  <c r="J76" i="31"/>
  <c r="H78" i="31"/>
  <c r="J80" i="31"/>
  <c r="M82" i="31"/>
  <c r="K84" i="31"/>
  <c r="L86" i="31"/>
  <c r="O88" i="31"/>
  <c r="I90" i="31"/>
  <c r="O91" i="31"/>
  <c r="M93" i="31"/>
  <c r="G95" i="31"/>
  <c r="M96" i="31"/>
  <c r="K98" i="31"/>
  <c r="N99" i="31"/>
  <c r="J101" i="31"/>
  <c r="H103" i="31"/>
  <c r="K104" i="31"/>
  <c r="H106" i="31"/>
  <c r="J107" i="31"/>
  <c r="I108" i="31"/>
  <c r="I109" i="31"/>
  <c r="K110" i="31"/>
  <c r="K111" i="31"/>
  <c r="J112" i="31"/>
  <c r="L113" i="31"/>
  <c r="L114" i="31"/>
  <c r="L115" i="31"/>
  <c r="N116" i="31"/>
  <c r="M117" i="31"/>
  <c r="M118" i="31"/>
  <c r="O119" i="31"/>
  <c r="O120" i="31"/>
  <c r="N121" i="31"/>
  <c r="G123" i="31"/>
  <c r="G124" i="31"/>
  <c r="H125" i="31"/>
  <c r="I126" i="31"/>
  <c r="G127" i="31"/>
  <c r="N127" i="31"/>
  <c r="M128" i="31"/>
  <c r="K129" i="31"/>
  <c r="H130" i="31"/>
  <c r="G131" i="31"/>
  <c r="N131" i="31"/>
  <c r="L132" i="31"/>
  <c r="K133" i="31"/>
  <c r="H134" i="31"/>
  <c r="O134" i="31"/>
  <c r="N135" i="31"/>
  <c r="L136" i="31"/>
  <c r="I137" i="31"/>
  <c r="H138" i="31"/>
  <c r="O138" i="31"/>
  <c r="M139" i="31"/>
  <c r="L140" i="31"/>
  <c r="I141" i="31"/>
  <c r="G142" i="31"/>
  <c r="O142" i="31"/>
  <c r="M143" i="31"/>
  <c r="J144" i="31"/>
  <c r="I145" i="31"/>
  <c r="O145" i="31"/>
  <c r="K146" i="31"/>
  <c r="H147" i="31"/>
  <c r="M147" i="31"/>
  <c r="I148" i="31"/>
  <c r="O148" i="31"/>
  <c r="K149" i="31"/>
  <c r="G150" i="31"/>
  <c r="M150" i="31"/>
  <c r="I151" i="31"/>
  <c r="N151" i="31"/>
  <c r="K152" i="31"/>
  <c r="G153" i="31"/>
  <c r="L153" i="31"/>
  <c r="I154" i="31"/>
  <c r="N154" i="31"/>
  <c r="J155" i="31"/>
  <c r="G156" i="31"/>
  <c r="L156" i="31"/>
  <c r="H157" i="31"/>
  <c r="N157" i="31"/>
  <c r="J158" i="31"/>
  <c r="O158" i="31"/>
  <c r="L159" i="31"/>
  <c r="H160" i="31"/>
  <c r="M160" i="31"/>
  <c r="J161" i="31"/>
  <c r="O161" i="31"/>
  <c r="K162" i="31"/>
  <c r="H163" i="31"/>
  <c r="M163" i="31"/>
  <c r="I164" i="31"/>
  <c r="O164" i="31"/>
  <c r="K165" i="31"/>
  <c r="G166" i="31"/>
  <c r="M166" i="31"/>
  <c r="I167" i="31"/>
  <c r="N167" i="31"/>
  <c r="K168" i="31"/>
  <c r="G169" i="31"/>
  <c r="L169" i="31"/>
  <c r="I170" i="31"/>
  <c r="N170" i="31"/>
  <c r="J171" i="31"/>
  <c r="G172" i="31"/>
  <c r="L172" i="31"/>
  <c r="H173" i="31"/>
  <c r="N173" i="31"/>
  <c r="J174" i="31"/>
  <c r="O174" i="31"/>
  <c r="L175" i="31"/>
  <c r="H176" i="31"/>
  <c r="M176" i="31"/>
  <c r="J177" i="31"/>
  <c r="O177" i="31"/>
  <c r="K178" i="31"/>
  <c r="H179" i="31"/>
  <c r="M179" i="31"/>
  <c r="I180" i="31"/>
  <c r="O180" i="31"/>
  <c r="K181" i="31"/>
  <c r="G182" i="31"/>
  <c r="M182" i="31"/>
  <c r="I183" i="31"/>
  <c r="N183" i="31"/>
  <c r="K184" i="31"/>
  <c r="G185" i="31"/>
  <c r="L185" i="31"/>
  <c r="I186" i="31"/>
  <c r="N186" i="31"/>
  <c r="J187" i="31"/>
  <c r="G188" i="31"/>
  <c r="L188" i="31"/>
  <c r="H189" i="31"/>
  <c r="N189" i="31"/>
  <c r="J190" i="31"/>
  <c r="O190" i="31"/>
  <c r="L191" i="31"/>
  <c r="H192" i="31"/>
  <c r="M192" i="31"/>
  <c r="J193" i="31"/>
  <c r="O193" i="31"/>
  <c r="K194" i="31"/>
  <c r="H195" i="31"/>
  <c r="M195" i="31"/>
  <c r="I196" i="31"/>
  <c r="O196" i="31"/>
  <c r="K197" i="31"/>
  <c r="G198" i="31"/>
  <c r="M198" i="31"/>
  <c r="I199" i="31"/>
  <c r="N199" i="31"/>
  <c r="K200" i="31"/>
  <c r="G201" i="31"/>
  <c r="L201" i="31"/>
  <c r="I202" i="31"/>
  <c r="N202" i="31"/>
  <c r="J203" i="31"/>
  <c r="G204" i="31"/>
  <c r="L204" i="31"/>
  <c r="H205" i="31"/>
  <c r="N205" i="31"/>
  <c r="J206" i="31"/>
  <c r="O206" i="31"/>
  <c r="L207" i="31"/>
  <c r="H208" i="31"/>
  <c r="M208" i="31"/>
  <c r="J209" i="31"/>
  <c r="O209" i="31"/>
  <c r="K210" i="31"/>
  <c r="H211" i="31"/>
  <c r="M211" i="31"/>
  <c r="I212" i="31"/>
  <c r="O212" i="31"/>
  <c r="K213" i="31"/>
  <c r="G214" i="31"/>
  <c r="M214" i="31"/>
  <c r="I215" i="31"/>
  <c r="N215" i="31"/>
  <c r="K216" i="31"/>
  <c r="G217" i="31"/>
  <c r="L217" i="31"/>
  <c r="I218" i="31"/>
  <c r="N218" i="31"/>
  <c r="J219" i="31"/>
  <c r="G220" i="31"/>
  <c r="L220" i="31"/>
  <c r="H221" i="31"/>
  <c r="N221" i="31"/>
  <c r="J222" i="31"/>
  <c r="O222" i="31"/>
  <c r="L223" i="31"/>
  <c r="H224" i="31"/>
  <c r="M224" i="31"/>
  <c r="J225" i="31"/>
  <c r="O225" i="31"/>
  <c r="K226" i="31"/>
  <c r="H227" i="31"/>
  <c r="M227" i="31"/>
  <c r="I228" i="31"/>
  <c r="O228" i="31"/>
  <c r="K229" i="31"/>
  <c r="G230" i="31"/>
  <c r="M230" i="31"/>
  <c r="I231" i="31"/>
  <c r="N231" i="31"/>
  <c r="K232" i="31"/>
  <c r="G233" i="31"/>
  <c r="L233" i="31"/>
  <c r="I234" i="31"/>
  <c r="N234" i="31"/>
  <c r="J235" i="31"/>
  <c r="G236" i="31"/>
  <c r="L236" i="31"/>
  <c r="H237" i="31"/>
  <c r="N237" i="31"/>
  <c r="J238" i="31"/>
  <c r="O238" i="31"/>
  <c r="L239" i="31"/>
  <c r="H240" i="31"/>
  <c r="M240" i="31"/>
  <c r="J241" i="31"/>
  <c r="O241" i="31"/>
  <c r="K242" i="31"/>
  <c r="H243" i="31"/>
  <c r="M243" i="31"/>
  <c r="I244" i="31"/>
  <c r="O244" i="31"/>
  <c r="K245" i="31"/>
  <c r="G246" i="31"/>
  <c r="M246" i="31"/>
  <c r="I247" i="31"/>
  <c r="N247" i="31"/>
  <c r="K248" i="31"/>
  <c r="G249" i="31"/>
  <c r="L249" i="31"/>
  <c r="I250" i="31"/>
  <c r="N250" i="31"/>
  <c r="I251" i="31"/>
  <c r="M251" i="31"/>
  <c r="H252" i="31"/>
  <c r="L252" i="31"/>
  <c r="G253" i="31"/>
  <c r="K253" i="31"/>
  <c r="O253" i="31"/>
  <c r="J254" i="31"/>
  <c r="N254" i="31"/>
  <c r="I255" i="31"/>
  <c r="M255" i="31"/>
  <c r="H256" i="31"/>
  <c r="L256" i="31"/>
  <c r="G257" i="31"/>
  <c r="K257" i="31"/>
  <c r="O257" i="31"/>
  <c r="J258" i="31"/>
  <c r="N258" i="31"/>
  <c r="I259" i="31"/>
  <c r="M259" i="31"/>
  <c r="H260" i="31"/>
  <c r="L260" i="31"/>
  <c r="G261" i="31"/>
  <c r="K261" i="31"/>
  <c r="O261" i="31"/>
  <c r="J262" i="31"/>
  <c r="N262" i="31"/>
  <c r="I263" i="31"/>
  <c r="M263" i="31"/>
  <c r="H264" i="31"/>
  <c r="L264" i="31"/>
  <c r="G265" i="31"/>
  <c r="K265" i="31"/>
  <c r="O265" i="31"/>
  <c r="J266" i="31"/>
  <c r="N266" i="31"/>
  <c r="I267" i="31"/>
  <c r="M267" i="31"/>
  <c r="H268" i="31"/>
  <c r="L268" i="31"/>
  <c r="G269" i="31"/>
  <c r="K269" i="31"/>
  <c r="O269" i="31"/>
  <c r="J270" i="31"/>
  <c r="N270" i="31"/>
  <c r="I271" i="31"/>
  <c r="M271" i="31"/>
  <c r="H272" i="31"/>
  <c r="L272" i="31"/>
  <c r="G273" i="31"/>
  <c r="K273" i="31"/>
  <c r="O273" i="31"/>
  <c r="J274" i="31"/>
  <c r="N274" i="31"/>
  <c r="I275" i="31"/>
  <c r="M275" i="31"/>
  <c r="H276" i="31"/>
  <c r="L276" i="31"/>
  <c r="G277" i="31"/>
  <c r="K277" i="31"/>
  <c r="O277" i="31"/>
  <c r="J278" i="31"/>
  <c r="N278" i="31"/>
  <c r="I279" i="31"/>
  <c r="M279" i="31"/>
  <c r="H280" i="31"/>
  <c r="L280" i="31"/>
  <c r="G281" i="31"/>
  <c r="K281" i="31"/>
  <c r="O281" i="31"/>
  <c r="J282" i="31"/>
  <c r="N282" i="31"/>
  <c r="I283" i="31"/>
  <c r="M283" i="31"/>
  <c r="H284" i="31"/>
  <c r="L284" i="31"/>
  <c r="G285" i="31"/>
  <c r="K285" i="31"/>
  <c r="O285" i="31"/>
  <c r="J286" i="31"/>
  <c r="N286" i="31"/>
  <c r="I287" i="31"/>
  <c r="M287" i="31"/>
  <c r="H288" i="31"/>
  <c r="L288" i="31"/>
  <c r="G289" i="31"/>
  <c r="K289" i="31"/>
  <c r="O289" i="31"/>
  <c r="J290" i="31"/>
  <c r="N290" i="31"/>
  <c r="I291" i="31"/>
  <c r="M291" i="31"/>
  <c r="H292" i="31"/>
  <c r="L292" i="31"/>
  <c r="G293" i="31"/>
  <c r="K293" i="31"/>
  <c r="O293" i="31"/>
  <c r="J294" i="31"/>
  <c r="N294" i="31"/>
  <c r="I295" i="31"/>
  <c r="M295" i="31"/>
  <c r="H296" i="31"/>
  <c r="L296" i="31"/>
  <c r="G297" i="31"/>
  <c r="K297" i="31"/>
  <c r="O297" i="31"/>
  <c r="J298" i="31"/>
  <c r="N298" i="31"/>
  <c r="I299" i="31"/>
  <c r="M299" i="31"/>
  <c r="H300" i="31"/>
  <c r="L300" i="31"/>
  <c r="G301" i="31"/>
  <c r="K301" i="31"/>
  <c r="O301" i="31"/>
  <c r="J302" i="31"/>
  <c r="N302" i="31"/>
  <c r="I303" i="31"/>
  <c r="M303" i="31"/>
  <c r="H304" i="31"/>
  <c r="L304" i="31"/>
  <c r="G305" i="31"/>
  <c r="K305" i="31"/>
  <c r="O305" i="31"/>
  <c r="J306" i="31"/>
  <c r="N306" i="31"/>
  <c r="I9" i="31"/>
  <c r="G15" i="31"/>
  <c r="H19" i="31"/>
  <c r="K24" i="31"/>
  <c r="G30" i="31"/>
  <c r="H34" i="31"/>
  <c r="J39" i="31"/>
  <c r="G44" i="31"/>
  <c r="H47" i="31"/>
  <c r="H51" i="31"/>
  <c r="I55" i="31"/>
  <c r="J58" i="31"/>
  <c r="J62" i="31"/>
  <c r="O65" i="31"/>
  <c r="J68" i="31"/>
  <c r="G71" i="31"/>
  <c r="I74" i="31"/>
  <c r="K76" i="31"/>
  <c r="M78" i="31"/>
  <c r="G81" i="31"/>
  <c r="N82" i="31"/>
  <c r="G85" i="31"/>
  <c r="K87" i="31"/>
  <c r="H89" i="31"/>
  <c r="M90" i="31"/>
  <c r="K92" i="31"/>
  <c r="N93" i="31"/>
  <c r="K95" i="31"/>
  <c r="I97" i="31"/>
  <c r="L98" i="31"/>
  <c r="I100" i="31"/>
  <c r="G102" i="31"/>
  <c r="J103" i="31"/>
  <c r="O104" i="31"/>
  <c r="K106" i="31"/>
  <c r="K107" i="31"/>
  <c r="K108" i="31"/>
  <c r="M109" i="31"/>
  <c r="L110" i="31"/>
  <c r="L111" i="31"/>
  <c r="N112" i="31"/>
  <c r="N113" i="31"/>
  <c r="M114" i="31"/>
  <c r="O115" i="31"/>
  <c r="O116" i="31"/>
  <c r="G118" i="31"/>
  <c r="H119" i="31"/>
  <c r="G120" i="31"/>
  <c r="H121" i="31"/>
  <c r="I122" i="31"/>
  <c r="J123" i="31"/>
  <c r="I124" i="31"/>
  <c r="J125" i="31"/>
  <c r="K126" i="31"/>
  <c r="I127" i="31"/>
  <c r="H128" i="31"/>
  <c r="N128" i="31"/>
  <c r="L129" i="31"/>
  <c r="K130" i="31"/>
  <c r="I131" i="31"/>
  <c r="O131" i="31"/>
  <c r="N132" i="31"/>
  <c r="L133" i="31"/>
  <c r="J134" i="31"/>
  <c r="I135" i="31"/>
  <c r="O135" i="31"/>
  <c r="M136" i="31"/>
  <c r="L137" i="31"/>
  <c r="J138" i="31"/>
  <c r="G139" i="31"/>
  <c r="O139" i="31"/>
  <c r="M140" i="31"/>
  <c r="K141" i="31"/>
  <c r="J142" i="31"/>
  <c r="G143" i="31"/>
  <c r="N143" i="31"/>
  <c r="M144" i="31"/>
  <c r="K145" i="31"/>
  <c r="G146" i="31"/>
  <c r="M146" i="31"/>
  <c r="I147" i="31"/>
  <c r="N147" i="31"/>
  <c r="K148" i="31"/>
  <c r="G149" i="31"/>
  <c r="L149" i="31"/>
  <c r="I150" i="31"/>
  <c r="N150" i="31"/>
  <c r="J151" i="31"/>
  <c r="G152" i="31"/>
  <c r="L152" i="31"/>
  <c r="H153" i="31"/>
  <c r="N153" i="31"/>
  <c r="J154" i="31"/>
  <c r="O154" i="31"/>
  <c r="L155" i="31"/>
  <c r="H156" i="31"/>
  <c r="M156" i="31"/>
  <c r="J157" i="31"/>
  <c r="O157" i="31"/>
  <c r="K158" i="31"/>
  <c r="H159" i="31"/>
  <c r="M159" i="31"/>
  <c r="I160" i="31"/>
  <c r="O160" i="31"/>
  <c r="K161" i="31"/>
  <c r="G162" i="31"/>
  <c r="M162" i="31"/>
  <c r="I163" i="31"/>
  <c r="N163" i="31"/>
  <c r="K164" i="31"/>
  <c r="G165" i="31"/>
  <c r="L165" i="31"/>
  <c r="I166" i="31"/>
  <c r="N166" i="31"/>
  <c r="J167" i="31"/>
  <c r="G168" i="31"/>
  <c r="L168" i="31"/>
  <c r="H169" i="31"/>
  <c r="N169" i="31"/>
  <c r="J170" i="31"/>
  <c r="O170" i="31"/>
  <c r="L171" i="31"/>
  <c r="H172" i="31"/>
  <c r="M172" i="31"/>
  <c r="J173" i="31"/>
  <c r="O173" i="31"/>
  <c r="K174" i="31"/>
  <c r="H175" i="31"/>
  <c r="M175" i="31"/>
  <c r="I176" i="31"/>
  <c r="O176" i="31"/>
  <c r="K177" i="31"/>
  <c r="G178" i="31"/>
  <c r="M178" i="31"/>
  <c r="I179" i="31"/>
  <c r="N179" i="31"/>
  <c r="K180" i="31"/>
  <c r="G181" i="31"/>
  <c r="L181" i="31"/>
  <c r="I182" i="31"/>
  <c r="N182" i="31"/>
  <c r="J183" i="31"/>
  <c r="G184" i="31"/>
  <c r="L184" i="31"/>
  <c r="H185" i="31"/>
  <c r="N185" i="31"/>
  <c r="J186" i="31"/>
  <c r="O186" i="31"/>
  <c r="L187" i="31"/>
  <c r="H188" i="31"/>
  <c r="M188" i="31"/>
  <c r="J189" i="31"/>
  <c r="O189" i="31"/>
  <c r="K190" i="31"/>
  <c r="H191" i="31"/>
  <c r="M191" i="31"/>
  <c r="I192" i="31"/>
  <c r="O192" i="31"/>
  <c r="K193" i="31"/>
  <c r="G194" i="31"/>
  <c r="M194" i="31"/>
  <c r="I195" i="31"/>
  <c r="N195" i="31"/>
  <c r="K196" i="31"/>
  <c r="G197" i="31"/>
  <c r="L197" i="31"/>
  <c r="I198" i="31"/>
  <c r="N198" i="31"/>
  <c r="J199" i="31"/>
  <c r="G200" i="31"/>
  <c r="L200" i="31"/>
  <c r="H201" i="31"/>
  <c r="N201" i="31"/>
  <c r="J202" i="31"/>
  <c r="O202" i="31"/>
  <c r="L203" i="31"/>
  <c r="H204" i="31"/>
  <c r="M204" i="31"/>
  <c r="J205" i="31"/>
  <c r="O205" i="31"/>
  <c r="K206" i="31"/>
  <c r="H207" i="31"/>
  <c r="M207" i="31"/>
  <c r="I208" i="31"/>
  <c r="O208" i="31"/>
  <c r="K209" i="31"/>
  <c r="G210" i="31"/>
  <c r="M210" i="31"/>
  <c r="I211" i="31"/>
  <c r="N211" i="31"/>
  <c r="K212" i="31"/>
  <c r="G213" i="31"/>
  <c r="L213" i="31"/>
  <c r="I214" i="31"/>
  <c r="N214" i="31"/>
  <c r="J215" i="31"/>
  <c r="G216" i="31"/>
  <c r="L216" i="31"/>
  <c r="H217" i="31"/>
  <c r="N217" i="31"/>
  <c r="J218" i="31"/>
  <c r="O218" i="31"/>
  <c r="L219" i="31"/>
  <c r="H220" i="31"/>
  <c r="M220" i="31"/>
  <c r="J221" i="31"/>
  <c r="O221" i="31"/>
  <c r="K222" i="31"/>
  <c r="H223" i="31"/>
  <c r="M223" i="31"/>
  <c r="I224" i="31"/>
  <c r="O224" i="31"/>
  <c r="K225" i="31"/>
  <c r="G226" i="31"/>
  <c r="M226" i="31"/>
  <c r="I227" i="31"/>
  <c r="N227" i="31"/>
  <c r="G11" i="31"/>
  <c r="H30" i="31"/>
  <c r="H48" i="31"/>
  <c r="M63" i="31"/>
  <c r="L74" i="31"/>
  <c r="K83" i="31"/>
  <c r="J91" i="31"/>
  <c r="J97" i="31"/>
  <c r="N103" i="31"/>
  <c r="N108" i="31"/>
  <c r="O112" i="31"/>
  <c r="H117" i="31"/>
  <c r="L121" i="31"/>
  <c r="M125" i="31"/>
  <c r="G129" i="31"/>
  <c r="I132" i="31"/>
  <c r="J135" i="31"/>
  <c r="K138" i="31"/>
  <c r="M141" i="31"/>
  <c r="N144" i="31"/>
  <c r="J147" i="31"/>
  <c r="N149" i="31"/>
  <c r="H152" i="31"/>
  <c r="K154" i="31"/>
  <c r="O156" i="31"/>
  <c r="I159" i="31"/>
  <c r="L161" i="31"/>
  <c r="G164" i="31"/>
  <c r="J166" i="31"/>
  <c r="M168" i="31"/>
  <c r="H171" i="31"/>
  <c r="K173" i="31"/>
  <c r="N175" i="31"/>
  <c r="I178" i="31"/>
  <c r="L180" i="31"/>
  <c r="O182" i="31"/>
  <c r="J185" i="31"/>
  <c r="M187" i="31"/>
  <c r="G190" i="31"/>
  <c r="K192" i="31"/>
  <c r="N194" i="31"/>
  <c r="H197" i="31"/>
  <c r="L199" i="31"/>
  <c r="O201" i="31"/>
  <c r="I204" i="31"/>
  <c r="M206" i="31"/>
  <c r="G209" i="31"/>
  <c r="N213" i="31"/>
  <c r="H216" i="31"/>
  <c r="K218" i="31"/>
  <c r="O220" i="31"/>
  <c r="L225" i="31"/>
  <c r="M232" i="31"/>
  <c r="N245" i="31"/>
  <c r="H262" i="31"/>
  <c r="K20" i="31"/>
  <c r="I41" i="31"/>
  <c r="L55" i="31"/>
  <c r="G69" i="31"/>
  <c r="K79" i="31"/>
  <c r="L87" i="31"/>
  <c r="I94" i="31"/>
  <c r="N100" i="31"/>
  <c r="M106" i="31"/>
  <c r="O110" i="31"/>
  <c r="H115" i="31"/>
  <c r="J119" i="31"/>
  <c r="K123" i="31"/>
  <c r="K127" i="31"/>
  <c r="L130" i="31"/>
  <c r="M133" i="31"/>
  <c r="G137" i="31"/>
  <c r="H140" i="31"/>
  <c r="I143" i="31"/>
  <c r="I146" i="31"/>
  <c r="L148" i="31"/>
  <c r="O150" i="31"/>
  <c r="J153" i="31"/>
  <c r="M155" i="31"/>
  <c r="G158" i="31"/>
  <c r="K160" i="31"/>
  <c r="N162" i="31"/>
  <c r="H165" i="31"/>
  <c r="L167" i="31"/>
  <c r="O169" i="31"/>
  <c r="I172" i="31"/>
  <c r="M174" i="31"/>
  <c r="G177" i="31"/>
  <c r="J179" i="31"/>
  <c r="N181" i="31"/>
  <c r="H184" i="31"/>
  <c r="K186" i="31"/>
  <c r="O188" i="31"/>
  <c r="I191" i="31"/>
  <c r="L193" i="31"/>
  <c r="G196" i="31"/>
  <c r="J198" i="31"/>
  <c r="M200" i="31"/>
  <c r="H203" i="31"/>
  <c r="K205" i="31"/>
  <c r="N207" i="31"/>
  <c r="I210" i="31"/>
  <c r="L212" i="31"/>
  <c r="O214" i="31"/>
  <c r="J217" i="31"/>
  <c r="M219" i="31"/>
  <c r="G222" i="31"/>
  <c r="K224" i="31"/>
  <c r="N226" i="31"/>
  <c r="L228" i="31"/>
  <c r="N229" i="31"/>
  <c r="O230" i="31"/>
  <c r="H232" i="31"/>
  <c r="J233" i="31"/>
  <c r="K234" i="31"/>
  <c r="M235" i="31"/>
  <c r="O236" i="31"/>
  <c r="G238" i="31"/>
  <c r="I239" i="31"/>
  <c r="K240" i="31"/>
  <c r="L241" i="31"/>
  <c r="N242" i="31"/>
  <c r="G244" i="31"/>
  <c r="H245" i="31"/>
  <c r="J246" i="31"/>
  <c r="L247" i="31"/>
  <c r="M248" i="31"/>
  <c r="O249" i="31"/>
  <c r="G251" i="31"/>
  <c r="O251" i="31"/>
  <c r="N252" i="31"/>
  <c r="M253" i="31"/>
  <c r="L254" i="31"/>
  <c r="K255" i="31"/>
  <c r="J256" i="31"/>
  <c r="I257" i="31"/>
  <c r="H258" i="31"/>
  <c r="G259" i="31"/>
  <c r="O259" i="31"/>
  <c r="N260" i="31"/>
  <c r="M261" i="31"/>
  <c r="L262" i="31"/>
  <c r="K263" i="31"/>
  <c r="J264" i="31"/>
  <c r="I265" i="31"/>
  <c r="H266" i="31"/>
  <c r="G267" i="31"/>
  <c r="O267" i="31"/>
  <c r="N268" i="31"/>
  <c r="M269" i="31"/>
  <c r="L270" i="31"/>
  <c r="K271" i="31"/>
  <c r="J272" i="31"/>
  <c r="I273" i="31"/>
  <c r="H274" i="31"/>
  <c r="G275" i="31"/>
  <c r="O275" i="31"/>
  <c r="N276" i="31"/>
  <c r="M277" i="31"/>
  <c r="L278" i="31"/>
  <c r="K279" i="31"/>
  <c r="J280" i="31"/>
  <c r="I281" i="31"/>
  <c r="H282" i="31"/>
  <c r="G283" i="31"/>
  <c r="O283" i="31"/>
  <c r="N284" i="31"/>
  <c r="M285" i="31"/>
  <c r="L286" i="31"/>
  <c r="K287" i="31"/>
  <c r="J288" i="31"/>
  <c r="H289" i="31"/>
  <c r="M289" i="31"/>
  <c r="I290" i="31"/>
  <c r="O290" i="31"/>
  <c r="K291" i="31"/>
  <c r="G292" i="31"/>
  <c r="M292" i="31"/>
  <c r="I293" i="31"/>
  <c r="N293" i="31"/>
  <c r="K294" i="31"/>
  <c r="G295" i="31"/>
  <c r="L295" i="31"/>
  <c r="I296" i="31"/>
  <c r="N296" i="31"/>
  <c r="J297" i="31"/>
  <c r="G298" i="31"/>
  <c r="L298" i="31"/>
  <c r="H299" i="31"/>
  <c r="N299" i="31"/>
  <c r="J300" i="31"/>
  <c r="O300" i="31"/>
  <c r="L301" i="31"/>
  <c r="H302" i="31"/>
  <c r="M302" i="31"/>
  <c r="J303" i="31"/>
  <c r="O303" i="31"/>
  <c r="K304" i="31"/>
  <c r="H305" i="31"/>
  <c r="M305" i="31"/>
  <c r="I306" i="31"/>
  <c r="O306" i="31"/>
  <c r="G26" i="31"/>
  <c r="L44" i="31"/>
  <c r="L59" i="31"/>
  <c r="H72" i="31"/>
  <c r="I81" i="31"/>
  <c r="L89" i="31"/>
  <c r="G96" i="31"/>
  <c r="H102" i="31"/>
  <c r="L107" i="31"/>
  <c r="G112" i="31"/>
  <c r="I116" i="31"/>
  <c r="J120" i="31"/>
  <c r="M124" i="31"/>
  <c r="I128" i="31"/>
  <c r="J131" i="31"/>
  <c r="L134" i="31"/>
  <c r="M137" i="31"/>
  <c r="N140" i="31"/>
  <c r="H144" i="31"/>
  <c r="N146" i="31"/>
  <c r="H149" i="31"/>
  <c r="L151" i="31"/>
  <c r="O153" i="31"/>
  <c r="I156" i="31"/>
  <c r="M158" i="31"/>
  <c r="G161" i="31"/>
  <c r="J163" i="31"/>
  <c r="N165" i="31"/>
  <c r="H168" i="31"/>
  <c r="K170" i="31"/>
  <c r="O172" i="31"/>
  <c r="I175" i="31"/>
  <c r="L177" i="31"/>
  <c r="G180" i="31"/>
  <c r="J182" i="31"/>
  <c r="M184" i="31"/>
  <c r="H187" i="31"/>
  <c r="K189" i="31"/>
  <c r="N191" i="31"/>
  <c r="I194" i="31"/>
  <c r="L196" i="31"/>
  <c r="O198" i="31"/>
  <c r="J201" i="31"/>
  <c r="M203" i="31"/>
  <c r="G206" i="31"/>
  <c r="K208" i="31"/>
  <c r="N210" i="31"/>
  <c r="H213" i="31"/>
  <c r="L215" i="31"/>
  <c r="O217" i="31"/>
  <c r="I220" i="31"/>
  <c r="M222" i="31"/>
  <c r="G225" i="31"/>
  <c r="J227" i="31"/>
  <c r="G229" i="31"/>
  <c r="I230" i="31"/>
  <c r="J231" i="31"/>
  <c r="L232" i="31"/>
  <c r="N233" i="31"/>
  <c r="O234" i="31"/>
  <c r="H236" i="31"/>
  <c r="J237" i="31"/>
  <c r="K238" i="31"/>
  <c r="M239" i="31"/>
  <c r="O240" i="31"/>
  <c r="G242" i="31"/>
  <c r="I243" i="31"/>
  <c r="K244" i="31"/>
  <c r="L245" i="31"/>
  <c r="N246" i="31"/>
  <c r="G248" i="31"/>
  <c r="H249" i="31"/>
  <c r="J250" i="31"/>
  <c r="J251" i="31"/>
  <c r="I252" i="31"/>
  <c r="H253" i="31"/>
  <c r="G254" i="31"/>
  <c r="O254" i="31"/>
  <c r="N255" i="31"/>
  <c r="M256" i="31"/>
  <c r="L257" i="31"/>
  <c r="K258" i="31"/>
  <c r="J259" i="31"/>
  <c r="I260" i="31"/>
  <c r="H261" i="31"/>
  <c r="G262" i="31"/>
  <c r="O262" i="31"/>
  <c r="N263" i="31"/>
  <c r="M264" i="31"/>
  <c r="L265" i="31"/>
  <c r="K266" i="31"/>
  <c r="J267" i="31"/>
  <c r="I268" i="31"/>
  <c r="H269" i="31"/>
  <c r="G270" i="31"/>
  <c r="O270" i="31"/>
  <c r="N271" i="31"/>
  <c r="M272" i="31"/>
  <c r="L273" i="31"/>
  <c r="K274" i="31"/>
  <c r="J275" i="31"/>
  <c r="I276" i="31"/>
  <c r="H277" i="31"/>
  <c r="G278" i="31"/>
  <c r="O278" i="31"/>
  <c r="N279" i="31"/>
  <c r="M280" i="31"/>
  <c r="L281" i="31"/>
  <c r="K282" i="31"/>
  <c r="J283" i="31"/>
  <c r="I284" i="31"/>
  <c r="H285" i="31"/>
  <c r="G286" i="31"/>
  <c r="O286" i="31"/>
  <c r="N287" i="31"/>
  <c r="M288" i="31"/>
  <c r="I289" i="31"/>
  <c r="N289" i="31"/>
  <c r="K290" i="31"/>
  <c r="G291" i="31"/>
  <c r="L291" i="31"/>
  <c r="I292" i="31"/>
  <c r="N292" i="31"/>
  <c r="J293" i="31"/>
  <c r="G294" i="31"/>
  <c r="L294" i="31"/>
  <c r="H295" i="31"/>
  <c r="N295" i="31"/>
  <c r="J296" i="31"/>
  <c r="O296" i="31"/>
  <c r="L297" i="31"/>
  <c r="H298" i="31"/>
  <c r="M298" i="31"/>
  <c r="J299" i="31"/>
  <c r="O299" i="31"/>
  <c r="K300" i="31"/>
  <c r="H301" i="31"/>
  <c r="M301" i="31"/>
  <c r="I302" i="31"/>
  <c r="O302" i="31"/>
  <c r="K303" i="31"/>
  <c r="G304" i="31"/>
  <c r="M304" i="31"/>
  <c r="I305" i="31"/>
  <c r="N305" i="31"/>
  <c r="K306" i="31"/>
  <c r="J211" i="31"/>
  <c r="I223" i="31"/>
  <c r="G228" i="31"/>
  <c r="H229" i="31"/>
  <c r="J230" i="31"/>
  <c r="L231" i="31"/>
  <c r="O233" i="31"/>
  <c r="H235" i="31"/>
  <c r="I236" i="31"/>
  <c r="K237" i="31"/>
  <c r="M238" i="31"/>
  <c r="N239" i="31"/>
  <c r="G241" i="31"/>
  <c r="I242" i="31"/>
  <c r="J243" i="31"/>
  <c r="L244" i="31"/>
  <c r="O246" i="31"/>
  <c r="H248" i="31"/>
  <c r="J249" i="31"/>
  <c r="K250" i="31"/>
  <c r="K251" i="31"/>
  <c r="J252" i="31"/>
  <c r="I253" i="31"/>
  <c r="H254" i="31"/>
  <c r="G255" i="31"/>
  <c r="O255" i="31"/>
  <c r="N256" i="31"/>
  <c r="M257" i="31"/>
  <c r="L258" i="31"/>
  <c r="K259" i="31"/>
  <c r="J260" i="31"/>
  <c r="I261" i="31"/>
  <c r="G263" i="31"/>
  <c r="O263" i="31"/>
  <c r="N264" i="31"/>
  <c r="M265" i="31"/>
  <c r="L266" i="31"/>
  <c r="K267" i="31"/>
  <c r="J268" i="31"/>
  <c r="I269" i="31"/>
  <c r="H270" i="31"/>
  <c r="G271" i="31"/>
  <c r="O271" i="31"/>
  <c r="N272" i="31"/>
  <c r="M273" i="31"/>
  <c r="L274" i="31"/>
  <c r="K275" i="31"/>
  <c r="J276" i="31"/>
  <c r="K35" i="31"/>
  <c r="N85" i="31"/>
  <c r="N109" i="31"/>
  <c r="L126" i="31"/>
  <c r="J139" i="31"/>
  <c r="J150" i="31"/>
  <c r="N159" i="31"/>
  <c r="J169" i="31"/>
  <c r="N178" i="31"/>
  <c r="I188" i="31"/>
  <c r="N197" i="31"/>
  <c r="I207" i="31"/>
  <c r="M216" i="31"/>
  <c r="I226" i="31"/>
  <c r="G232" i="31"/>
  <c r="M236" i="31"/>
  <c r="K241" i="31"/>
  <c r="I246" i="31"/>
  <c r="O250" i="31"/>
  <c r="K254" i="31"/>
  <c r="G258" i="31"/>
  <c r="L261" i="31"/>
  <c r="H265" i="31"/>
  <c r="M268" i="31"/>
  <c r="I272" i="31"/>
  <c r="N275" i="31"/>
  <c r="H278" i="31"/>
  <c r="O279" i="31"/>
  <c r="M281" i="31"/>
  <c r="K283" i="31"/>
  <c r="I285" i="31"/>
  <c r="G287" i="31"/>
  <c r="N288" i="31"/>
  <c r="G290" i="31"/>
  <c r="H291" i="31"/>
  <c r="J292" i="31"/>
  <c r="L293" i="31"/>
  <c r="M294" i="31"/>
  <c r="O295" i="31"/>
  <c r="H297" i="31"/>
  <c r="I298" i="31"/>
  <c r="K299" i="31"/>
  <c r="M300" i="31"/>
  <c r="N301" i="31"/>
  <c r="G303" i="31"/>
  <c r="I304" i="31"/>
  <c r="J305" i="31"/>
  <c r="L306" i="31"/>
  <c r="K52" i="31"/>
  <c r="M92" i="31"/>
  <c r="G114" i="31"/>
  <c r="O129" i="31"/>
  <c r="K142" i="31"/>
  <c r="M152" i="31"/>
  <c r="I162" i="31"/>
  <c r="M171" i="31"/>
  <c r="H181" i="31"/>
  <c r="M190" i="31"/>
  <c r="H200" i="31"/>
  <c r="L209" i="31"/>
  <c r="H219" i="31"/>
  <c r="K228" i="31"/>
  <c r="H233" i="31"/>
  <c r="O237" i="31"/>
  <c r="M242" i="31"/>
  <c r="J247" i="31"/>
  <c r="N251" i="31"/>
  <c r="J255" i="31"/>
  <c r="O258" i="31"/>
  <c r="K262" i="31"/>
  <c r="G266" i="31"/>
  <c r="L269" i="31"/>
  <c r="H273" i="31"/>
  <c r="M276" i="31"/>
  <c r="K278" i="31"/>
  <c r="I280" i="31"/>
  <c r="G282" i="31"/>
  <c r="N283" i="31"/>
  <c r="L285" i="31"/>
  <c r="J287" i="31"/>
  <c r="O288" i="31"/>
  <c r="H290" i="31"/>
  <c r="J291" i="31"/>
  <c r="K292" i="31"/>
  <c r="M293" i="31"/>
  <c r="O294" i="31"/>
  <c r="G296" i="31"/>
  <c r="I297" i="31"/>
  <c r="K298" i="31"/>
  <c r="L299" i="31"/>
  <c r="N300" i="31"/>
  <c r="G302" i="31"/>
  <c r="H303" i="31"/>
  <c r="J304" i="31"/>
  <c r="L305" i="31"/>
  <c r="M306" i="31"/>
  <c r="H66" i="31"/>
  <c r="G99" i="31"/>
  <c r="I118" i="31"/>
  <c r="G133" i="31"/>
  <c r="L145" i="31"/>
  <c r="H155" i="31"/>
  <c r="L164" i="31"/>
  <c r="G174" i="31"/>
  <c r="L183" i="31"/>
  <c r="G193" i="31"/>
  <c r="K202" i="31"/>
  <c r="G212" i="31"/>
  <c r="K221" i="31"/>
  <c r="L229" i="31"/>
  <c r="J234" i="31"/>
  <c r="H239" i="31"/>
  <c r="N243" i="31"/>
  <c r="L248" i="31"/>
  <c r="M252" i="31"/>
  <c r="I256" i="31"/>
  <c r="N259" i="31"/>
  <c r="J263" i="31"/>
  <c r="O266" i="31"/>
  <c r="K270" i="31"/>
  <c r="G274" i="31"/>
  <c r="I277" i="31"/>
  <c r="G279" i="31"/>
  <c r="N280" i="31"/>
  <c r="L282" i="31"/>
  <c r="J284" i="31"/>
  <c r="H286" i="31"/>
  <c r="O287" i="31"/>
  <c r="J289" i="31"/>
  <c r="L290" i="31"/>
  <c r="N291" i="31"/>
  <c r="O292" i="31"/>
  <c r="H294" i="31"/>
  <c r="J295" i="31"/>
  <c r="K296" i="31"/>
  <c r="M297" i="31"/>
  <c r="O298" i="31"/>
  <c r="G300" i="31"/>
  <c r="I301" i="31"/>
  <c r="K302" i="31"/>
  <c r="L303" i="31"/>
  <c r="N304" i="31"/>
  <c r="G306" i="31"/>
  <c r="H15" i="31"/>
  <c r="G77" i="31"/>
  <c r="L105" i="31"/>
  <c r="K122" i="31"/>
  <c r="H136" i="31"/>
  <c r="G148" i="31"/>
  <c r="K157" i="31"/>
  <c r="O166" i="31"/>
  <c r="K176" i="31"/>
  <c r="O185" i="31"/>
  <c r="J195" i="31"/>
  <c r="O204" i="31"/>
  <c r="J214" i="31"/>
  <c r="N223" i="31"/>
  <c r="N230" i="31"/>
  <c r="L235" i="31"/>
  <c r="I240" i="31"/>
  <c r="G245" i="31"/>
  <c r="N249" i="31"/>
  <c r="L253" i="31"/>
  <c r="H257" i="31"/>
  <c r="M260" i="31"/>
  <c r="I264" i="31"/>
  <c r="N267" i="31"/>
  <c r="J271" i="31"/>
  <c r="O274" i="31"/>
  <c r="L277" i="31"/>
  <c r="J279" i="31"/>
  <c r="H281" i="31"/>
  <c r="O282" i="31"/>
  <c r="M284" i="31"/>
  <c r="K286" i="31"/>
  <c r="I288" i="31"/>
  <c r="L289" i="31"/>
  <c r="M290" i="31"/>
  <c r="O291" i="31"/>
  <c r="H293" i="31"/>
  <c r="I294" i="31"/>
  <c r="K295" i="31"/>
  <c r="M296" i="31"/>
  <c r="N297" i="31"/>
  <c r="G299" i="31"/>
  <c r="I300" i="31"/>
  <c r="J301" i="31"/>
  <c r="L302" i="31"/>
  <c r="N303" i="31"/>
  <c r="O304" i="31"/>
  <c r="H306" i="31"/>
  <c r="C18" i="31"/>
  <c r="C17" i="31"/>
  <c r="F36" i="7"/>
  <c r="D17" i="31"/>
  <c r="D18" i="31"/>
  <c r="B18" i="8" l="1"/>
  <c r="H52" i="98" l="1"/>
  <c r="G51" i="98"/>
  <c r="H48" i="98"/>
  <c r="G47" i="98"/>
  <c r="H43" i="98"/>
  <c r="G42" i="98"/>
  <c r="H39" i="98"/>
  <c r="G38" i="98"/>
  <c r="H34" i="98"/>
  <c r="G33" i="98"/>
  <c r="H30" i="98"/>
  <c r="G29" i="98"/>
  <c r="H25" i="98"/>
  <c r="G24" i="98"/>
  <c r="H21" i="98"/>
  <c r="G20" i="98"/>
  <c r="H16" i="98"/>
  <c r="G15" i="98"/>
  <c r="M12" i="98"/>
  <c r="M15" i="98" s="1"/>
  <c r="H12" i="98"/>
  <c r="D12" i="98"/>
  <c r="C12" i="98"/>
  <c r="G11" i="98"/>
  <c r="D11" i="98"/>
  <c r="C11" i="98"/>
  <c r="M10" i="98"/>
  <c r="W10" i="98" s="1"/>
  <c r="D10" i="98"/>
  <c r="C10" i="98"/>
  <c r="T9" i="98"/>
  <c r="T10" i="98" s="1"/>
  <c r="Q9" i="98"/>
  <c r="Q10" i="98" s="1"/>
  <c r="N9" i="98"/>
  <c r="N10" i="98" s="1"/>
  <c r="G9" i="98"/>
  <c r="H15" i="98" s="1"/>
  <c r="D9" i="98"/>
  <c r="E7" i="98"/>
  <c r="K27" i="98" s="1"/>
  <c r="AN5" i="98"/>
  <c r="AN12" i="98" s="1"/>
  <c r="AK5" i="98"/>
  <c r="AK11" i="98" s="1"/>
  <c r="AE5" i="98"/>
  <c r="AB5" i="98"/>
  <c r="Y5" i="98"/>
  <c r="AD3" i="98"/>
  <c r="AA3" i="98"/>
  <c r="X3" i="98"/>
  <c r="T3" i="98"/>
  <c r="Q3" i="98"/>
  <c r="N3" i="98"/>
  <c r="C44" i="97"/>
  <c r="B44" i="97"/>
  <c r="A44" i="97"/>
  <c r="AI5" i="97"/>
  <c r="F45" i="97" s="1"/>
  <c r="D14" i="28"/>
  <c r="F14" i="29"/>
  <c r="C14" i="28"/>
  <c r="K34" i="98" l="1"/>
  <c r="AD10" i="98"/>
  <c r="R9" i="98"/>
  <c r="R10" i="98" s="1"/>
  <c r="Y6" i="98"/>
  <c r="H14" i="98"/>
  <c r="K14" i="98" s="1"/>
  <c r="J9" i="98"/>
  <c r="H13" i="98"/>
  <c r="K13" i="98" s="1"/>
  <c r="I9" i="98"/>
  <c r="G16" i="98"/>
  <c r="G18" i="98" s="1"/>
  <c r="X10" i="98"/>
  <c r="U12" i="98"/>
  <c r="U13" i="98" s="1"/>
  <c r="N12" i="98"/>
  <c r="N13" i="98" s="1"/>
  <c r="X13" i="98" s="1"/>
  <c r="N15" i="98"/>
  <c r="N16" i="98" s="1"/>
  <c r="X16" i="98" s="1"/>
  <c r="M18" i="98"/>
  <c r="N18" i="98" s="1"/>
  <c r="N19" i="98" s="1"/>
  <c r="X19" i="98" s="1"/>
  <c r="O12" i="98"/>
  <c r="O15" i="98" s="1"/>
  <c r="O16" i="98" s="1"/>
  <c r="Q12" i="98"/>
  <c r="Q13" i="98" s="1"/>
  <c r="AA13" i="98" s="1"/>
  <c r="M13" i="98"/>
  <c r="W13" i="98" s="1"/>
  <c r="T12" i="98"/>
  <c r="T13" i="98" s="1"/>
  <c r="AD13" i="98" s="1"/>
  <c r="K21" i="98"/>
  <c r="K15" i="98"/>
  <c r="J15" i="98"/>
  <c r="K36" i="98"/>
  <c r="K18" i="98"/>
  <c r="K16" i="98"/>
  <c r="AI10" i="98"/>
  <c r="U9" i="98"/>
  <c r="U10" i="98" s="1"/>
  <c r="AE6" i="98"/>
  <c r="E11" i="98"/>
  <c r="O10" i="98"/>
  <c r="E10" i="98"/>
  <c r="K9" i="98"/>
  <c r="E9" i="98"/>
  <c r="AB6" i="98"/>
  <c r="K45" i="98"/>
  <c r="K30" i="98"/>
  <c r="K12" i="98"/>
  <c r="E12" i="98"/>
  <c r="I15" i="98"/>
  <c r="K43" i="98"/>
  <c r="AA10" i="98"/>
  <c r="T15" i="98"/>
  <c r="T16" i="98" s="1"/>
  <c r="AD16" i="98" s="1"/>
  <c r="M16" i="98"/>
  <c r="W16" i="98" s="1"/>
  <c r="R15" i="98"/>
  <c r="R16" i="98" s="1"/>
  <c r="R12" i="98"/>
  <c r="R13" i="98" s="1"/>
  <c r="Q15" i="98"/>
  <c r="Q16" i="98" s="1"/>
  <c r="AA16" i="98" s="1"/>
  <c r="K25" i="98"/>
  <c r="K52" i="98"/>
  <c r="G10" i="98"/>
  <c r="U15" i="98"/>
  <c r="U16" i="98" s="1"/>
  <c r="K39" i="98"/>
  <c r="K48" i="98"/>
  <c r="H3" i="97"/>
  <c r="AB10" i="98" l="1"/>
  <c r="I16" i="98"/>
  <c r="O13" i="98"/>
  <c r="Y13" i="98" s="1"/>
  <c r="AE13" i="98"/>
  <c r="Y10" i="98"/>
  <c r="J16" i="98"/>
  <c r="Y16" i="98"/>
  <c r="AE16" i="98"/>
  <c r="AE10" i="98"/>
  <c r="AG11" i="98"/>
  <c r="AG12" i="98"/>
  <c r="AG10" i="98"/>
  <c r="M19" i="98"/>
  <c r="W19" i="98" s="1"/>
  <c r="U18" i="98"/>
  <c r="U19" i="98" s="1"/>
  <c r="AE19" i="98" s="1"/>
  <c r="T18" i="98"/>
  <c r="T19" i="98" s="1"/>
  <c r="AD19" i="98" s="1"/>
  <c r="R18" i="98"/>
  <c r="R19" i="98" s="1"/>
  <c r="AB19" i="98" s="1"/>
  <c r="O18" i="98"/>
  <c r="O19" i="98" s="1"/>
  <c r="Y19" i="98" s="1"/>
  <c r="Q18" i="98"/>
  <c r="Q19" i="98" s="1"/>
  <c r="AA19" i="98" s="1"/>
  <c r="M21" i="98"/>
  <c r="U21" i="98" s="1"/>
  <c r="U22" i="98" s="1"/>
  <c r="AE22" i="98" s="1"/>
  <c r="AP14" i="97"/>
  <c r="AQ14" i="97"/>
  <c r="AS26" i="97"/>
  <c r="AR26" i="97"/>
  <c r="AL29" i="97"/>
  <c r="AM29" i="97"/>
  <c r="AN34" i="97"/>
  <c r="AO34" i="97"/>
  <c r="AH37" i="97"/>
  <c r="AI37" i="97"/>
  <c r="AN42" i="97"/>
  <c r="AO42" i="97"/>
  <c r="AH45" i="97"/>
  <c r="AI45" i="97"/>
  <c r="AJ50" i="97"/>
  <c r="AK50" i="97"/>
  <c r="AH53" i="97"/>
  <c r="AI53" i="97"/>
  <c r="AJ58" i="97"/>
  <c r="AK58" i="97"/>
  <c r="AJ66" i="97"/>
  <c r="AK66" i="97"/>
  <c r="AH98" i="97"/>
  <c r="AI98" i="97"/>
  <c r="AP111" i="97"/>
  <c r="AQ111" i="97"/>
  <c r="AL125" i="97"/>
  <c r="AM125" i="97"/>
  <c r="AK132" i="97"/>
  <c r="AJ132" i="97"/>
  <c r="AQ181" i="97"/>
  <c r="AP181" i="97"/>
  <c r="AO188" i="97"/>
  <c r="AN188" i="97"/>
  <c r="AK202" i="97"/>
  <c r="AJ202" i="97"/>
  <c r="AS215" i="97"/>
  <c r="AR215" i="97"/>
  <c r="AI226" i="97"/>
  <c r="AH226" i="97"/>
  <c r="AK237" i="97"/>
  <c r="AJ237" i="97"/>
  <c r="AK243" i="97"/>
  <c r="AJ243" i="97"/>
  <c r="AM261" i="97"/>
  <c r="AL261" i="97"/>
  <c r="AR292" i="97"/>
  <c r="AS292" i="97"/>
  <c r="AQ11" i="97"/>
  <c r="AP11" i="97"/>
  <c r="AS16" i="97"/>
  <c r="AR16" i="97"/>
  <c r="AQ48" i="97"/>
  <c r="AP48" i="97"/>
  <c r="AN53" i="97"/>
  <c r="AO53" i="97"/>
  <c r="AI56" i="97"/>
  <c r="AH56" i="97"/>
  <c r="AJ61" i="97"/>
  <c r="AK61" i="97"/>
  <c r="AH99" i="97"/>
  <c r="AI99" i="97"/>
  <c r="AL126" i="97"/>
  <c r="AM126" i="97"/>
  <c r="AQ153" i="97"/>
  <c r="AP153" i="97"/>
  <c r="AO166" i="97"/>
  <c r="AN166" i="97"/>
  <c r="AM190" i="97"/>
  <c r="AL190" i="97"/>
  <c r="AO198" i="97"/>
  <c r="AN198" i="97"/>
  <c r="AK200" i="97"/>
  <c r="AJ200" i="97"/>
  <c r="AQ214" i="97"/>
  <c r="AP214" i="97"/>
  <c r="AS219" i="97"/>
  <c r="AR219" i="97"/>
  <c r="AI230" i="97"/>
  <c r="AH230" i="97"/>
  <c r="AO235" i="97"/>
  <c r="AN235" i="97"/>
  <c r="AI245" i="97"/>
  <c r="AH245" i="97"/>
  <c r="AI248" i="97"/>
  <c r="AH248" i="97"/>
  <c r="AI275" i="97"/>
  <c r="AH275" i="97"/>
  <c r="AI283" i="97"/>
  <c r="AH283" i="97"/>
  <c r="AO9" i="97"/>
  <c r="AN9" i="97"/>
  <c r="AI12" i="97"/>
  <c r="AH12" i="97"/>
  <c r="AP12" i="97"/>
  <c r="AQ12" i="97"/>
  <c r="AK17" i="97"/>
  <c r="AJ17" i="97"/>
  <c r="AS17" i="97"/>
  <c r="AR17" i="97"/>
  <c r="AS21" i="97"/>
  <c r="AR21" i="97"/>
  <c r="AS22" i="97"/>
  <c r="AR22" i="97"/>
  <c r="AL25" i="97"/>
  <c r="AM25" i="97"/>
  <c r="AO30" i="97"/>
  <c r="AN30" i="97"/>
  <c r="AH33" i="97"/>
  <c r="AI33" i="97"/>
  <c r="AJ38" i="97"/>
  <c r="AK38" i="97"/>
  <c r="AP49" i="97"/>
  <c r="AQ49" i="97"/>
  <c r="AR54" i="97"/>
  <c r="AS54" i="97"/>
  <c r="AM57" i="97"/>
  <c r="AL57" i="97"/>
  <c r="AN62" i="97"/>
  <c r="AO62" i="97"/>
  <c r="AH65" i="97"/>
  <c r="AI65" i="97"/>
  <c r="AJ70" i="97"/>
  <c r="AK70" i="97"/>
  <c r="AP81" i="97"/>
  <c r="AQ81" i="97"/>
  <c r="AS86" i="97"/>
  <c r="AR86" i="97"/>
  <c r="AL89" i="97"/>
  <c r="AM89" i="97"/>
  <c r="AP95" i="97"/>
  <c r="AQ95" i="97"/>
  <c r="AS100" i="97"/>
  <c r="AR100" i="97"/>
  <c r="AL109" i="97"/>
  <c r="AM109" i="97"/>
  <c r="AH111" i="97"/>
  <c r="AI111" i="97"/>
  <c r="AO114" i="97"/>
  <c r="AN114" i="97"/>
  <c r="AK116" i="97"/>
  <c r="AJ116" i="97"/>
  <c r="AL138" i="97"/>
  <c r="AM138" i="97"/>
  <c r="AO143" i="97"/>
  <c r="AN143" i="97"/>
  <c r="AQ165" i="97"/>
  <c r="AP165" i="97"/>
  <c r="AM167" i="97"/>
  <c r="AL167" i="97"/>
  <c r="AS170" i="97"/>
  <c r="AR170" i="97"/>
  <c r="AO172" i="97"/>
  <c r="AN172" i="97"/>
  <c r="AI181" i="97"/>
  <c r="AH181" i="97"/>
  <c r="AK186" i="97"/>
  <c r="AJ186" i="97"/>
  <c r="AP194" i="97"/>
  <c r="AQ194" i="97"/>
  <c r="AS199" i="97"/>
  <c r="AR199" i="97"/>
  <c r="AI210" i="97"/>
  <c r="AH210" i="97"/>
  <c r="AK215" i="97"/>
  <c r="AJ215" i="97"/>
  <c r="AQ223" i="97"/>
  <c r="AP223" i="97"/>
  <c r="AS228" i="97"/>
  <c r="AR228" i="97"/>
  <c r="AI242" i="97"/>
  <c r="AH242" i="97"/>
  <c r="AI267" i="97"/>
  <c r="AH267" i="97"/>
  <c r="AI271" i="97"/>
  <c r="AH271" i="97"/>
  <c r="AK279" i="97"/>
  <c r="AJ279" i="97"/>
  <c r="AK283" i="97"/>
  <c r="AJ283" i="97"/>
  <c r="AM299" i="97"/>
  <c r="AL299" i="97"/>
  <c r="AO303" i="97"/>
  <c r="AN303" i="97"/>
  <c r="AO307" i="97"/>
  <c r="AN307" i="97"/>
  <c r="AH10" i="97"/>
  <c r="AI10" i="97"/>
  <c r="AK15" i="97"/>
  <c r="AJ15" i="97"/>
  <c r="AR42" i="97"/>
  <c r="AS42" i="97"/>
  <c r="AM45" i="97"/>
  <c r="AL45" i="97"/>
  <c r="AN50" i="97"/>
  <c r="AO50" i="97"/>
  <c r="AH95" i="97"/>
  <c r="AI95" i="97"/>
  <c r="AO98" i="97"/>
  <c r="AN98" i="97"/>
  <c r="AL122" i="97"/>
  <c r="AM122" i="97"/>
  <c r="AS148" i="97"/>
  <c r="AR148" i="97"/>
  <c r="AI159" i="97"/>
  <c r="AH159" i="97"/>
  <c r="AI165" i="97"/>
  <c r="AH165" i="97"/>
  <c r="AQ178" i="97"/>
  <c r="AP178" i="97"/>
  <c r="AK199" i="97"/>
  <c r="AJ199" i="97"/>
  <c r="AS212" i="97"/>
  <c r="AR212" i="97"/>
  <c r="AI223" i="97"/>
  <c r="AH223" i="97"/>
  <c r="AO226" i="97"/>
  <c r="AN226" i="97"/>
  <c r="AJ262" i="97"/>
  <c r="AK262" i="97"/>
  <c r="AQ277" i="97"/>
  <c r="AP277" i="97"/>
  <c r="AK12" i="97"/>
  <c r="AJ12" i="97"/>
  <c r="AM24" i="97"/>
  <c r="AL24" i="97"/>
  <c r="AO29" i="97"/>
  <c r="AN29" i="97"/>
  <c r="AI32" i="97"/>
  <c r="AH32" i="97"/>
  <c r="AJ37" i="97"/>
  <c r="AK37" i="97"/>
  <c r="AJ45" i="97"/>
  <c r="AK45" i="97"/>
  <c r="AJ53" i="97"/>
  <c r="AK53" i="97"/>
  <c r="AS91" i="97"/>
  <c r="AR91" i="97"/>
  <c r="AH102" i="97"/>
  <c r="AI102" i="97"/>
  <c r="AP115" i="97"/>
  <c r="AQ115" i="97"/>
  <c r="AL129" i="97"/>
  <c r="AM129" i="97"/>
  <c r="AK136" i="97"/>
  <c r="AJ136" i="97"/>
  <c r="AK171" i="97"/>
  <c r="AJ171" i="97"/>
  <c r="AS184" i="97"/>
  <c r="AR184" i="97"/>
  <c r="AO192" i="97"/>
  <c r="AN192" i="97"/>
  <c r="AK10" i="97"/>
  <c r="AJ10" i="97"/>
  <c r="AS10" i="97"/>
  <c r="AR10" i="97"/>
  <c r="AL13" i="97"/>
  <c r="AM13" i="97"/>
  <c r="AO18" i="97"/>
  <c r="AN18" i="97"/>
  <c r="AO25" i="97"/>
  <c r="AN25" i="97"/>
  <c r="AI28" i="97"/>
  <c r="AH28" i="97"/>
  <c r="AJ33" i="97"/>
  <c r="AK33" i="97"/>
  <c r="AQ44" i="97"/>
  <c r="AP44" i="97"/>
  <c r="AR49" i="97"/>
  <c r="AS49" i="97"/>
  <c r="AL52" i="97"/>
  <c r="AM52" i="97"/>
  <c r="AN57" i="97"/>
  <c r="AO57" i="97"/>
  <c r="AI60" i="97"/>
  <c r="AH60" i="97"/>
  <c r="AJ65" i="97"/>
  <c r="AK65" i="97"/>
  <c r="AQ76" i="97"/>
  <c r="AP76" i="97"/>
  <c r="AS81" i="97"/>
  <c r="AR81" i="97"/>
  <c r="AL84" i="97"/>
  <c r="AM84" i="97"/>
  <c r="AO89" i="97"/>
  <c r="AN89" i="97"/>
  <c r="AK94" i="97"/>
  <c r="AJ94" i="97"/>
  <c r="AP102" i="97"/>
  <c r="AQ102" i="97"/>
  <c r="AS107" i="97"/>
  <c r="AR107" i="97"/>
  <c r="AH118" i="97"/>
  <c r="AI118" i="97"/>
  <c r="AK123" i="97"/>
  <c r="AJ123" i="97"/>
  <c r="AP131" i="97"/>
  <c r="AQ131" i="97"/>
  <c r="AS136" i="97"/>
  <c r="AR136" i="97"/>
  <c r="AL145" i="97"/>
  <c r="AM145" i="97"/>
  <c r="AH147" i="97"/>
  <c r="AI147" i="97"/>
  <c r="AO150" i="97"/>
  <c r="AN150" i="97"/>
  <c r="AK152" i="97"/>
  <c r="AJ152" i="97"/>
  <c r="AM174" i="97"/>
  <c r="AL174" i="97"/>
  <c r="AO179" i="97"/>
  <c r="AN179" i="97"/>
  <c r="AQ201" i="97"/>
  <c r="AP201" i="97"/>
  <c r="AM203" i="97"/>
  <c r="AL203" i="97"/>
  <c r="AS206" i="97"/>
  <c r="AR206" i="97"/>
  <c r="AO208" i="97"/>
  <c r="AN208" i="97"/>
  <c r="AI217" i="97"/>
  <c r="AH217" i="97"/>
  <c r="AK222" i="97"/>
  <c r="AJ222" i="97"/>
  <c r="AQ230" i="97"/>
  <c r="AP230" i="97"/>
  <c r="AM236" i="97"/>
  <c r="AL236" i="97"/>
  <c r="AM245" i="97"/>
  <c r="AL245" i="97"/>
  <c r="AO254" i="97"/>
  <c r="AN254" i="97"/>
  <c r="AN275" i="97"/>
  <c r="AO275" i="97"/>
  <c r="AQ291" i="97"/>
  <c r="AP291" i="97"/>
  <c r="AR299" i="97"/>
  <c r="AS299" i="97"/>
  <c r="AR307" i="97"/>
  <c r="AS307" i="97"/>
  <c r="AO23" i="97"/>
  <c r="AN23" i="97"/>
  <c r="AH26" i="97"/>
  <c r="AI26" i="97"/>
  <c r="AQ26" i="97"/>
  <c r="AP26" i="97"/>
  <c r="AJ31" i="97"/>
  <c r="AK31" i="97"/>
  <c r="AR31" i="97"/>
  <c r="AS31" i="97"/>
  <c r="AL34" i="97"/>
  <c r="AM34" i="97"/>
  <c r="AN39" i="97"/>
  <c r="AO39" i="97"/>
  <c r="AH42" i="97"/>
  <c r="AI42" i="97"/>
  <c r="AQ42" i="97"/>
  <c r="AP42" i="97"/>
  <c r="AJ47" i="97"/>
  <c r="AK47" i="97"/>
  <c r="AR47" i="97"/>
  <c r="AS47" i="97"/>
  <c r="AL50" i="97"/>
  <c r="AM50" i="97"/>
  <c r="AN55" i="97"/>
  <c r="AO55" i="97"/>
  <c r="AH58" i="97"/>
  <c r="AI58" i="97"/>
  <c r="AQ58" i="97"/>
  <c r="AP58" i="97"/>
  <c r="AJ63" i="97"/>
  <c r="AK63" i="97"/>
  <c r="AR63" i="97"/>
  <c r="AS63" i="97"/>
  <c r="AL66" i="97"/>
  <c r="AM66" i="97"/>
  <c r="AO71" i="97"/>
  <c r="AN71" i="97"/>
  <c r="AI74" i="97"/>
  <c r="AH74" i="97"/>
  <c r="AQ74" i="97"/>
  <c r="AP74" i="97"/>
  <c r="AK79" i="97"/>
  <c r="AJ79" i="97"/>
  <c r="AS79" i="97"/>
  <c r="AR79" i="97"/>
  <c r="AL82" i="97"/>
  <c r="AM82" i="97"/>
  <c r="AO87" i="97"/>
  <c r="AN87" i="97"/>
  <c r="AI90" i="97"/>
  <c r="AH90" i="97"/>
  <c r="AP90" i="97"/>
  <c r="AQ90" i="97"/>
  <c r="AO91" i="97"/>
  <c r="AN91" i="97"/>
  <c r="AH94" i="97"/>
  <c r="AI94" i="97"/>
  <c r="AK99" i="97"/>
  <c r="AJ99" i="97"/>
  <c r="AP107" i="97"/>
  <c r="AQ107" i="97"/>
  <c r="AS112" i="97"/>
  <c r="AR112" i="97"/>
  <c r="AP113" i="97"/>
  <c r="AQ113" i="97"/>
  <c r="AL115" i="97"/>
  <c r="AM115" i="97"/>
  <c r="AS118" i="97"/>
  <c r="AR118" i="97"/>
  <c r="AO120" i="97"/>
  <c r="AN120" i="97"/>
  <c r="AL121" i="97"/>
  <c r="AM121" i="97"/>
  <c r="AH123" i="97"/>
  <c r="AI123" i="97"/>
  <c r="AO126" i="97"/>
  <c r="AN126" i="97"/>
  <c r="AK128" i="97"/>
  <c r="AJ128" i="97"/>
  <c r="AH129" i="97"/>
  <c r="AI129" i="97"/>
  <c r="AK134" i="97"/>
  <c r="AJ134" i="97"/>
  <c r="AP142" i="97"/>
  <c r="AQ142" i="97"/>
  <c r="AS147" i="97"/>
  <c r="AR147" i="97"/>
  <c r="AL150" i="97"/>
  <c r="AM150" i="97"/>
  <c r="AO155" i="97"/>
  <c r="AN155" i="97"/>
  <c r="AI158" i="97"/>
  <c r="AH158" i="97"/>
  <c r="AK163" i="97"/>
  <c r="AJ163" i="97"/>
  <c r="AQ171" i="97"/>
  <c r="AP171" i="97"/>
  <c r="AS176" i="97"/>
  <c r="AR176" i="97"/>
  <c r="AQ177" i="97"/>
  <c r="AP177" i="97"/>
  <c r="AM179" i="97"/>
  <c r="AL179" i="97"/>
  <c r="AS182" i="97"/>
  <c r="AR182" i="97"/>
  <c r="AO184" i="97"/>
  <c r="AN184" i="97"/>
  <c r="AL185" i="97"/>
  <c r="AM185" i="97"/>
  <c r="AI187" i="97"/>
  <c r="AH187" i="97"/>
  <c r="AO190" i="97"/>
  <c r="AN190" i="97"/>
  <c r="AK192" i="97"/>
  <c r="AJ192" i="97"/>
  <c r="AI193" i="97"/>
  <c r="AH193" i="97"/>
  <c r="AK198" i="97"/>
  <c r="AJ198" i="97"/>
  <c r="AP206" i="97"/>
  <c r="AQ206" i="97"/>
  <c r="AS211" i="97"/>
  <c r="AR211" i="97"/>
  <c r="AM214" i="97"/>
  <c r="AL214" i="97"/>
  <c r="AO219" i="97"/>
  <c r="AN219" i="97"/>
  <c r="AI222" i="97"/>
  <c r="AH222" i="97"/>
  <c r="AK227" i="97"/>
  <c r="AJ227" i="97"/>
  <c r="AK242" i="97"/>
  <c r="AJ242" i="97"/>
  <c r="AK245" i="97"/>
  <c r="AJ245" i="97"/>
  <c r="AS255" i="97"/>
  <c r="AR255" i="97"/>
  <c r="AS258" i="97"/>
  <c r="AR258" i="97"/>
  <c r="AK267" i="97"/>
  <c r="AJ267" i="97"/>
  <c r="AK275" i="97"/>
  <c r="AJ275" i="97"/>
  <c r="AM283" i="97"/>
  <c r="AL283" i="97"/>
  <c r="AM285" i="97"/>
  <c r="AL285" i="97"/>
  <c r="AM291" i="97"/>
  <c r="AL291" i="97"/>
  <c r="AN299" i="97"/>
  <c r="AO299" i="97"/>
  <c r="AO20" i="97"/>
  <c r="AN20" i="97"/>
  <c r="AH23" i="97"/>
  <c r="AI23" i="97"/>
  <c r="AQ23" i="97"/>
  <c r="AP23" i="97"/>
  <c r="AK28" i="97"/>
  <c r="AJ28" i="97"/>
  <c r="AS28" i="97"/>
  <c r="AR28" i="97"/>
  <c r="AM31" i="97"/>
  <c r="AL31" i="97"/>
  <c r="AN36" i="97"/>
  <c r="AO36" i="97"/>
  <c r="AH39" i="97"/>
  <c r="AI39" i="97"/>
  <c r="AP39" i="97"/>
  <c r="AQ39" i="97"/>
  <c r="AJ44" i="97"/>
  <c r="AK44" i="97"/>
  <c r="AR44" i="97"/>
  <c r="AS44" i="97"/>
  <c r="AL47" i="97"/>
  <c r="AM47" i="97"/>
  <c r="AN52" i="97"/>
  <c r="AO52" i="97"/>
  <c r="AH55" i="97"/>
  <c r="AI55" i="97"/>
  <c r="AP55" i="97"/>
  <c r="AQ55" i="97"/>
  <c r="AJ60" i="97"/>
  <c r="AK60" i="97"/>
  <c r="AR60" i="97"/>
  <c r="AS60" i="97"/>
  <c r="AL63" i="97"/>
  <c r="AM63" i="97"/>
  <c r="AN68" i="97"/>
  <c r="AO68" i="97"/>
  <c r="AH71" i="97"/>
  <c r="AI71" i="97"/>
  <c r="AP71" i="97"/>
  <c r="AQ71" i="97"/>
  <c r="AK76" i="97"/>
  <c r="AJ76" i="97"/>
  <c r="AS76" i="97"/>
  <c r="AR76" i="97"/>
  <c r="AM79" i="97"/>
  <c r="AL79" i="97"/>
  <c r="AO84" i="97"/>
  <c r="AN84" i="97"/>
  <c r="AH87" i="97"/>
  <c r="AI87" i="97"/>
  <c r="AQ87" i="97"/>
  <c r="AP87" i="97"/>
  <c r="AK95" i="97"/>
  <c r="AJ95" i="97"/>
  <c r="AP103" i="97"/>
  <c r="AQ103" i="97"/>
  <c r="AS108" i="97"/>
  <c r="AR108" i="97"/>
  <c r="AP109" i="97"/>
  <c r="AQ109" i="97"/>
  <c r="AL111" i="97"/>
  <c r="AM111" i="97"/>
  <c r="AS114" i="97"/>
  <c r="AR114" i="97"/>
  <c r="AO116" i="97"/>
  <c r="AN116" i="97"/>
  <c r="AL117" i="97"/>
  <c r="AM117" i="97"/>
  <c r="AH119" i="97"/>
  <c r="AI119" i="97"/>
  <c r="AO122" i="97"/>
  <c r="AN122" i="97"/>
  <c r="AK124" i="97"/>
  <c r="AJ124" i="97"/>
  <c r="AH125" i="97"/>
  <c r="AI125" i="97"/>
  <c r="AK130" i="97"/>
  <c r="AJ130" i="97"/>
  <c r="AP138" i="97"/>
  <c r="AQ138" i="97"/>
  <c r="AS143" i="97"/>
  <c r="AR143" i="97"/>
  <c r="AL146" i="97"/>
  <c r="AM146" i="97"/>
  <c r="AO151" i="97"/>
  <c r="AN151" i="97"/>
  <c r="AI154" i="97"/>
  <c r="AH154" i="97"/>
  <c r="AK159" i="97"/>
  <c r="AJ159" i="97"/>
  <c r="AQ167" i="97"/>
  <c r="AP167" i="97"/>
  <c r="AS172" i="97"/>
  <c r="AR172" i="97"/>
  <c r="AQ173" i="97"/>
  <c r="AP173" i="97"/>
  <c r="AM175" i="97"/>
  <c r="AL175" i="97"/>
  <c r="AS178" i="97"/>
  <c r="AR178" i="97"/>
  <c r="AO180" i="97"/>
  <c r="AN180" i="97"/>
  <c r="AL181" i="97"/>
  <c r="AM181" i="97"/>
  <c r="AI183" i="97"/>
  <c r="AH183" i="97"/>
  <c r="AO186" i="97"/>
  <c r="AN186" i="97"/>
  <c r="AK188" i="97"/>
  <c r="AJ188" i="97"/>
  <c r="AI189" i="97"/>
  <c r="AH189" i="97"/>
  <c r="AK194" i="97"/>
  <c r="AJ194" i="97"/>
  <c r="AP202" i="97"/>
  <c r="AQ202" i="97"/>
  <c r="AS207" i="97"/>
  <c r="AR207" i="97"/>
  <c r="AM210" i="97"/>
  <c r="AL210" i="97"/>
  <c r="AO215" i="97"/>
  <c r="AN215" i="97"/>
  <c r="AI218" i="97"/>
  <c r="AH218" i="97"/>
  <c r="AK223" i="97"/>
  <c r="AJ223" i="97"/>
  <c r="AQ231" i="97"/>
  <c r="AP231" i="97"/>
  <c r="AI238" i="97"/>
  <c r="AH238" i="97"/>
  <c r="AQ245" i="97"/>
  <c r="AP245" i="97"/>
  <c r="AK247" i="97"/>
  <c r="AJ247" i="97"/>
  <c r="AM262" i="97"/>
  <c r="AL262" i="97"/>
  <c r="AS267" i="97"/>
  <c r="AR267" i="97"/>
  <c r="AJ298" i="97"/>
  <c r="AK298" i="97"/>
  <c r="AK302" i="97"/>
  <c r="AJ302" i="97"/>
  <c r="AK304" i="97"/>
  <c r="AJ304" i="97"/>
  <c r="AM242" i="97"/>
  <c r="AL242" i="97"/>
  <c r="AQ244" i="97"/>
  <c r="AP244" i="97"/>
  <c r="AS245" i="97"/>
  <c r="AR245" i="97"/>
  <c r="AM250" i="97"/>
  <c r="AL250" i="97"/>
  <c r="AN251" i="97"/>
  <c r="AO251" i="97"/>
  <c r="AS253" i="97"/>
  <c r="AR253" i="97"/>
  <c r="AI256" i="97"/>
  <c r="AH256" i="97"/>
  <c r="AI264" i="97"/>
  <c r="AH264" i="97"/>
  <c r="AO268" i="97"/>
  <c r="AN268" i="97"/>
  <c r="AN271" i="97"/>
  <c r="AO271" i="97"/>
  <c r="AI273" i="97"/>
  <c r="AH273" i="97"/>
  <c r="AJ282" i="97"/>
  <c r="AK282" i="97"/>
  <c r="AQ286" i="97"/>
  <c r="AP286" i="97"/>
  <c r="AK288" i="97"/>
  <c r="AJ288" i="97"/>
  <c r="AQ289" i="97"/>
  <c r="AP289" i="97"/>
  <c r="AR295" i="97"/>
  <c r="AS295" i="97"/>
  <c r="AR298" i="97"/>
  <c r="AS298" i="97"/>
  <c r="AO93" i="97"/>
  <c r="AN93" i="97"/>
  <c r="AH96" i="97"/>
  <c r="AI96" i="97"/>
  <c r="AP96" i="97"/>
  <c r="AQ96" i="97"/>
  <c r="AK101" i="97"/>
  <c r="AJ101" i="97"/>
  <c r="AS101" i="97"/>
  <c r="AR101" i="97"/>
  <c r="AL104" i="97"/>
  <c r="AM104" i="97"/>
  <c r="AO109" i="97"/>
  <c r="AN109" i="97"/>
  <c r="AH112" i="97"/>
  <c r="AI112" i="97"/>
  <c r="AP112" i="97"/>
  <c r="AQ112" i="97"/>
  <c r="AK117" i="97"/>
  <c r="AJ117" i="97"/>
  <c r="AS117" i="97"/>
  <c r="AR117" i="97"/>
  <c r="AL120" i="97"/>
  <c r="AM120" i="97"/>
  <c r="AO125" i="97"/>
  <c r="AN125" i="97"/>
  <c r="AH128" i="97"/>
  <c r="AI128" i="97"/>
  <c r="AP128" i="97"/>
  <c r="AQ128" i="97"/>
  <c r="AK133" i="97"/>
  <c r="AJ133" i="97"/>
  <c r="AS133" i="97"/>
  <c r="AR133" i="97"/>
  <c r="AL136" i="97"/>
  <c r="AM136" i="97"/>
  <c r="AO141" i="97"/>
  <c r="AN141" i="97"/>
  <c r="AH144" i="97"/>
  <c r="AI144" i="97"/>
  <c r="AP144" i="97"/>
  <c r="AQ144" i="97"/>
  <c r="AK149" i="97"/>
  <c r="AJ149" i="97"/>
  <c r="AS149" i="97"/>
  <c r="AR149" i="97"/>
  <c r="AM152" i="97"/>
  <c r="AL152" i="97"/>
  <c r="AO157" i="97"/>
  <c r="AN157" i="97"/>
  <c r="AH160" i="97"/>
  <c r="AI160" i="97"/>
  <c r="AQ160" i="97"/>
  <c r="AP160" i="97"/>
  <c r="AK165" i="97"/>
  <c r="AJ165" i="97"/>
  <c r="AS165" i="97"/>
  <c r="AR165" i="97"/>
  <c r="AM168" i="97"/>
  <c r="AL168" i="97"/>
  <c r="AO173" i="97"/>
  <c r="AN173" i="97"/>
  <c r="AH176" i="97"/>
  <c r="AI176" i="97"/>
  <c r="AQ176" i="97"/>
  <c r="AP176" i="97"/>
  <c r="AK181" i="97"/>
  <c r="AJ181" i="97"/>
  <c r="AS181" i="97"/>
  <c r="AR181" i="97"/>
  <c r="AM184" i="97"/>
  <c r="AL184" i="97"/>
  <c r="AO189" i="97"/>
  <c r="AN189" i="97"/>
  <c r="AH192" i="97"/>
  <c r="AI192" i="97"/>
  <c r="AQ192" i="97"/>
  <c r="AP192" i="97"/>
  <c r="AK197" i="97"/>
  <c r="AJ197" i="97"/>
  <c r="AS197" i="97"/>
  <c r="AR197" i="97"/>
  <c r="AM200" i="97"/>
  <c r="AL200" i="97"/>
  <c r="AO205" i="97"/>
  <c r="AN205" i="97"/>
  <c r="AH208" i="97"/>
  <c r="AI208" i="97"/>
  <c r="AQ208" i="97"/>
  <c r="AP208" i="97"/>
  <c r="AS213" i="97"/>
  <c r="AR213" i="97"/>
  <c r="AM216" i="97"/>
  <c r="AL216" i="97"/>
  <c r="AO221" i="97"/>
  <c r="AN221" i="97"/>
  <c r="AH224" i="97"/>
  <c r="AI224" i="97"/>
  <c r="AQ224" i="97"/>
  <c r="AP224" i="97"/>
  <c r="AK229" i="97"/>
  <c r="AJ229" i="97"/>
  <c r="AS229" i="97"/>
  <c r="AR229" i="97"/>
  <c r="AM232" i="97"/>
  <c r="AL232" i="97"/>
  <c r="AK235" i="97"/>
  <c r="AJ235" i="97"/>
  <c r="AI236" i="97"/>
  <c r="AH236" i="97"/>
  <c r="AK241" i="97"/>
  <c r="AJ241" i="97"/>
  <c r="AQ249" i="97"/>
  <c r="AP249" i="97"/>
  <c r="AS254" i="97"/>
  <c r="AR254" i="97"/>
  <c r="AM257" i="97"/>
  <c r="AL257" i="97"/>
  <c r="AO262" i="97"/>
  <c r="AN262" i="97"/>
  <c r="AM282" i="97"/>
  <c r="AL282" i="97"/>
  <c r="AN283" i="97"/>
  <c r="AO283" i="97"/>
  <c r="AN291" i="97"/>
  <c r="AO291" i="97"/>
  <c r="AM307" i="97"/>
  <c r="AL307" i="97"/>
  <c r="AO236" i="97"/>
  <c r="AN236" i="97"/>
  <c r="AI239" i="97"/>
  <c r="AH239" i="97"/>
  <c r="AQ239" i="97"/>
  <c r="AP239" i="97"/>
  <c r="AK244" i="97"/>
  <c r="AJ244" i="97"/>
  <c r="AS244" i="97"/>
  <c r="AR244" i="97"/>
  <c r="AM247" i="97"/>
  <c r="AL247" i="97"/>
  <c r="AO252" i="97"/>
  <c r="AN252" i="97"/>
  <c r="AI255" i="97"/>
  <c r="AH255" i="97"/>
  <c r="AQ255" i="97"/>
  <c r="AP255" i="97"/>
  <c r="AK260" i="97"/>
  <c r="AJ260" i="97"/>
  <c r="AR260" i="97"/>
  <c r="AS260" i="97"/>
  <c r="AM263" i="97"/>
  <c r="AL263" i="97"/>
  <c r="AO266" i="97"/>
  <c r="AN266" i="97"/>
  <c r="AK268" i="97"/>
  <c r="AJ268" i="97"/>
  <c r="AI269" i="97"/>
  <c r="AH269" i="97"/>
  <c r="AJ274" i="97"/>
  <c r="AK274" i="97"/>
  <c r="AQ282" i="97"/>
  <c r="AP282" i="97"/>
  <c r="AS287" i="97"/>
  <c r="AR287" i="97"/>
  <c r="AM290" i="97"/>
  <c r="AL290" i="97"/>
  <c r="AN295" i="97"/>
  <c r="AO295" i="97"/>
  <c r="AI298" i="97"/>
  <c r="AH298" i="97"/>
  <c r="AJ303" i="97"/>
  <c r="AK303" i="97"/>
  <c r="AK265" i="97"/>
  <c r="AJ265" i="97"/>
  <c r="AS265" i="97"/>
  <c r="AR265" i="97"/>
  <c r="AM268" i="97"/>
  <c r="AL268" i="97"/>
  <c r="AO273" i="97"/>
  <c r="AN273" i="97"/>
  <c r="AI276" i="97"/>
  <c r="AH276" i="97"/>
  <c r="AQ276" i="97"/>
  <c r="AP276" i="97"/>
  <c r="AK281" i="97"/>
  <c r="AJ281" i="97"/>
  <c r="AR281" i="97"/>
  <c r="AS281" i="97"/>
  <c r="AM284" i="97"/>
  <c r="AL284" i="97"/>
  <c r="AO289" i="97"/>
  <c r="AN289" i="97"/>
  <c r="AI292" i="97"/>
  <c r="AH292" i="97"/>
  <c r="AQ292" i="97"/>
  <c r="AP292" i="97"/>
  <c r="AJ297" i="97"/>
  <c r="AK297" i="97"/>
  <c r="AR297" i="97"/>
  <c r="AS297" i="97"/>
  <c r="AM300" i="97"/>
  <c r="AL300" i="97"/>
  <c r="AO305" i="97"/>
  <c r="AN305" i="97"/>
  <c r="AK11" i="97"/>
  <c r="AJ11" i="97"/>
  <c r="AQ37" i="97"/>
  <c r="AP37" i="97"/>
  <c r="AQ45" i="97"/>
  <c r="AP45" i="97"/>
  <c r="AQ53" i="97"/>
  <c r="AP53" i="97"/>
  <c r="AR58" i="97"/>
  <c r="AS58" i="97"/>
  <c r="AQ61" i="97"/>
  <c r="AP61" i="97"/>
  <c r="AR66" i="97"/>
  <c r="AS66" i="97"/>
  <c r="AM69" i="97"/>
  <c r="AL69" i="97"/>
  <c r="AO74" i="97"/>
  <c r="AN74" i="97"/>
  <c r="AH77" i="97"/>
  <c r="AI77" i="97"/>
  <c r="AO95" i="97"/>
  <c r="AN95" i="97"/>
  <c r="AL119" i="97"/>
  <c r="AM119" i="97"/>
  <c r="AS122" i="97"/>
  <c r="AR122" i="97"/>
  <c r="AP143" i="97"/>
  <c r="AQ143" i="97"/>
  <c r="AM154" i="97"/>
  <c r="AL154" i="97"/>
  <c r="AI162" i="97"/>
  <c r="AH162" i="97"/>
  <c r="AQ175" i="97"/>
  <c r="AP175" i="97"/>
  <c r="AL189" i="97"/>
  <c r="AM189" i="97"/>
  <c r="AK196" i="97"/>
  <c r="AJ196" i="97"/>
  <c r="AO223" i="97"/>
  <c r="AN223" i="97"/>
  <c r="AS250" i="97"/>
  <c r="AR250" i="97"/>
  <c r="AS286" i="97"/>
  <c r="AR286" i="97"/>
  <c r="AR294" i="97"/>
  <c r="AS294" i="97"/>
  <c r="AK8" i="97"/>
  <c r="AJ8" i="97"/>
  <c r="AH20" i="97"/>
  <c r="AI20" i="97"/>
  <c r="AH24" i="97"/>
  <c r="AI24" i="97"/>
  <c r="AK29" i="97"/>
  <c r="AJ29" i="97"/>
  <c r="AQ56" i="97"/>
  <c r="AP56" i="97"/>
  <c r="AR61" i="97"/>
  <c r="AS61" i="97"/>
  <c r="AM64" i="97"/>
  <c r="AL64" i="97"/>
  <c r="AN69" i="97"/>
  <c r="AO69" i="97"/>
  <c r="AI72" i="97"/>
  <c r="AH72" i="97"/>
  <c r="AK77" i="97"/>
  <c r="AJ77" i="97"/>
  <c r="AO96" i="97"/>
  <c r="AN96" i="97"/>
  <c r="AK110" i="97"/>
  <c r="AJ110" i="97"/>
  <c r="AS123" i="97"/>
  <c r="AR123" i="97"/>
  <c r="AH134" i="97"/>
  <c r="AI134" i="97"/>
  <c r="AP147" i="97"/>
  <c r="AQ147" i="97"/>
  <c r="AO163" i="97"/>
  <c r="AN163" i="97"/>
  <c r="AK174" i="97"/>
  <c r="AJ174" i="97"/>
  <c r="AS187" i="97"/>
  <c r="AR187" i="97"/>
  <c r="AM193" i="97"/>
  <c r="AL193" i="97"/>
  <c r="AI195" i="97"/>
  <c r="AH195" i="97"/>
  <c r="AK206" i="97"/>
  <c r="AJ206" i="97"/>
  <c r="AS216" i="97"/>
  <c r="AR216" i="97"/>
  <c r="AM225" i="97"/>
  <c r="AL225" i="97"/>
  <c r="AI227" i="97"/>
  <c r="AH227" i="97"/>
  <c r="AO230" i="97"/>
  <c r="AN230" i="97"/>
  <c r="AK232" i="97"/>
  <c r="AJ232" i="97"/>
  <c r="AJ292" i="97"/>
  <c r="AK292" i="97"/>
  <c r="AL8" i="97"/>
  <c r="AM8" i="97"/>
  <c r="AO13" i="97"/>
  <c r="AN13" i="97"/>
  <c r="AH16" i="97"/>
  <c r="AI16" i="97"/>
  <c r="AP16" i="97"/>
  <c r="AQ16" i="97"/>
  <c r="AK21" i="97"/>
  <c r="AJ21" i="97"/>
  <c r="AQ25" i="97"/>
  <c r="AP25" i="97"/>
  <c r="AR30" i="97"/>
  <c r="AS30" i="97"/>
  <c r="AM33" i="97"/>
  <c r="AL33" i="97"/>
  <c r="AN38" i="97"/>
  <c r="AO38" i="97"/>
  <c r="AH41" i="97"/>
  <c r="AI41" i="97"/>
  <c r="AJ46" i="97"/>
  <c r="AK46" i="97"/>
  <c r="AQ57" i="97"/>
  <c r="AP57" i="97"/>
  <c r="AR62" i="97"/>
  <c r="AS62" i="97"/>
  <c r="AM65" i="97"/>
  <c r="AL65" i="97"/>
  <c r="AO70" i="97"/>
  <c r="AN70" i="97"/>
  <c r="AH73" i="97"/>
  <c r="AI73" i="97"/>
  <c r="AK78" i="97"/>
  <c r="AJ78" i="97"/>
  <c r="AP89" i="97"/>
  <c r="AQ89" i="97"/>
  <c r="AL106" i="97"/>
  <c r="AM106" i="97"/>
  <c r="AO111" i="97"/>
  <c r="AN111" i="97"/>
  <c r="AP133" i="97"/>
  <c r="AQ133" i="97"/>
  <c r="AL135" i="97"/>
  <c r="AM135" i="97"/>
  <c r="AS138" i="97"/>
  <c r="AR138" i="97"/>
  <c r="AO140" i="97"/>
  <c r="AN140" i="97"/>
  <c r="AH149" i="97"/>
  <c r="AI149" i="97"/>
  <c r="AK154" i="97"/>
  <c r="AJ154" i="97"/>
  <c r="AQ162" i="97"/>
  <c r="AP162" i="97"/>
  <c r="AS167" i="97"/>
  <c r="AR167" i="97"/>
  <c r="AI178" i="97"/>
  <c r="AH178" i="97"/>
  <c r="AK183" i="97"/>
  <c r="AJ183" i="97"/>
  <c r="AQ191" i="97"/>
  <c r="AP191" i="97"/>
  <c r="AS196" i="97"/>
  <c r="AR196" i="97"/>
  <c r="AM205" i="97"/>
  <c r="AL205" i="97"/>
  <c r="AI207" i="97"/>
  <c r="AH207" i="97"/>
  <c r="AO210" i="97"/>
  <c r="AN210" i="97"/>
  <c r="AK212" i="97"/>
  <c r="AJ212" i="97"/>
  <c r="AS242" i="97"/>
  <c r="AR242" i="97"/>
  <c r="AI261" i="97"/>
  <c r="AH261" i="97"/>
  <c r="AK276" i="97"/>
  <c r="AJ276" i="97"/>
  <c r="AK280" i="97"/>
  <c r="AJ280" i="97"/>
  <c r="AM10" i="97"/>
  <c r="AL10" i="97"/>
  <c r="AO15" i="97"/>
  <c r="AN15" i="97"/>
  <c r="AH18" i="97"/>
  <c r="AI18" i="97"/>
  <c r="AR50" i="97"/>
  <c r="AS50" i="97"/>
  <c r="AM53" i="97"/>
  <c r="AL53" i="97"/>
  <c r="AN58" i="97"/>
  <c r="AO58" i="97"/>
  <c r="AH61" i="97"/>
  <c r="AI61" i="97"/>
  <c r="AO92" i="97"/>
  <c r="AN92" i="97"/>
  <c r="AK106" i="97"/>
  <c r="AJ106" i="97"/>
  <c r="AS119" i="97"/>
  <c r="AR119" i="97"/>
  <c r="AH130" i="97"/>
  <c r="AI130" i="97"/>
  <c r="AH133" i="97"/>
  <c r="AI133" i="97"/>
  <c r="AP146" i="97"/>
  <c r="AQ146" i="97"/>
  <c r="AP149" i="97"/>
  <c r="AQ149" i="97"/>
  <c r="AO156" i="97"/>
  <c r="AN156" i="97"/>
  <c r="AO162" i="97"/>
  <c r="AN162" i="97"/>
  <c r="AM186" i="97"/>
  <c r="AL186" i="97"/>
  <c r="AQ213" i="97"/>
  <c r="AP213" i="97"/>
  <c r="AO220" i="97"/>
  <c r="AN220" i="97"/>
  <c r="AK234" i="97"/>
  <c r="AJ234" i="97"/>
  <c r="AO245" i="97"/>
  <c r="AN245" i="97"/>
  <c r="AQ287" i="97"/>
  <c r="AP287" i="97"/>
  <c r="AO12" i="97"/>
  <c r="AN12" i="97"/>
  <c r="AI15" i="97"/>
  <c r="AH15" i="97"/>
  <c r="AP20" i="97"/>
  <c r="AQ20" i="97"/>
  <c r="AP32" i="97"/>
  <c r="AQ32" i="97"/>
  <c r="AR37" i="97"/>
  <c r="AS37" i="97"/>
  <c r="AM40" i="97"/>
  <c r="AL40" i="97"/>
  <c r="AR45" i="97"/>
  <c r="AS45" i="97"/>
  <c r="AM48" i="97"/>
  <c r="AL48" i="97"/>
  <c r="AR53" i="97"/>
  <c r="AS53" i="97"/>
  <c r="AL56" i="97"/>
  <c r="AM56" i="97"/>
  <c r="AN61" i="97"/>
  <c r="AO61" i="97"/>
  <c r="AI64" i="97"/>
  <c r="AH64" i="97"/>
  <c r="AJ69" i="97"/>
  <c r="AK69" i="97"/>
  <c r="AO99" i="97"/>
  <c r="AN99" i="97"/>
  <c r="AL123" i="97"/>
  <c r="AM123" i="97"/>
  <c r="AS126" i="97"/>
  <c r="AR126" i="97"/>
  <c r="AH137" i="97"/>
  <c r="AI137" i="97"/>
  <c r="AP150" i="97"/>
  <c r="AQ150" i="97"/>
  <c r="AQ185" i="97"/>
  <c r="AP185" i="97"/>
  <c r="AI9" i="97"/>
  <c r="AH9" i="97"/>
  <c r="AQ9" i="97"/>
  <c r="AP9" i="97"/>
  <c r="AK14" i="97"/>
  <c r="AJ14" i="97"/>
  <c r="AS14" i="97"/>
  <c r="AR14" i="97"/>
  <c r="AM17" i="97"/>
  <c r="AL17" i="97"/>
  <c r="AO19" i="97"/>
  <c r="AN19" i="97"/>
  <c r="AM20" i="97"/>
  <c r="AL20" i="97"/>
  <c r="AH22" i="97"/>
  <c r="AI22" i="97"/>
  <c r="AS25" i="97"/>
  <c r="AR25" i="97"/>
  <c r="AM28" i="97"/>
  <c r="AL28" i="97"/>
  <c r="AN33" i="97"/>
  <c r="AO33" i="97"/>
  <c r="AI36" i="97"/>
  <c r="AH36" i="97"/>
  <c r="AJ41" i="97"/>
  <c r="AK41" i="97"/>
  <c r="AP52" i="97"/>
  <c r="AQ52" i="97"/>
  <c r="AR57" i="97"/>
  <c r="AS57" i="97"/>
  <c r="AL60" i="97"/>
  <c r="AM60" i="97"/>
  <c r="AN65" i="97"/>
  <c r="AO65" i="97"/>
  <c r="AI68" i="97"/>
  <c r="AH68" i="97"/>
  <c r="AK73" i="97"/>
  <c r="AJ73" i="97"/>
  <c r="AQ84" i="97"/>
  <c r="AP84" i="97"/>
  <c r="AS89" i="97"/>
  <c r="AR89" i="97"/>
  <c r="AK91" i="97"/>
  <c r="AJ91" i="97"/>
  <c r="AP99" i="97"/>
  <c r="AQ99" i="97"/>
  <c r="AS104" i="97"/>
  <c r="AR104" i="97"/>
  <c r="AL113" i="97"/>
  <c r="AM113" i="97"/>
  <c r="AH115" i="97"/>
  <c r="AI115" i="97"/>
  <c r="AO118" i="97"/>
  <c r="AN118" i="97"/>
  <c r="AK120" i="97"/>
  <c r="AJ120" i="97"/>
  <c r="AL142" i="97"/>
  <c r="AM142" i="97"/>
  <c r="AO147" i="97"/>
  <c r="AN147" i="97"/>
  <c r="AQ169" i="97"/>
  <c r="AP169" i="97"/>
  <c r="AM171" i="97"/>
  <c r="AL171" i="97"/>
  <c r="AS174" i="97"/>
  <c r="AR174" i="97"/>
  <c r="AO176" i="97"/>
  <c r="AN176" i="97"/>
  <c r="AI185" i="97"/>
  <c r="AH185" i="97"/>
  <c r="AK190" i="97"/>
  <c r="AJ190" i="97"/>
  <c r="AQ198" i="97"/>
  <c r="AP198" i="97"/>
  <c r="AS203" i="97"/>
  <c r="AR203" i="97"/>
  <c r="AI214" i="97"/>
  <c r="AH214" i="97"/>
  <c r="AK219" i="97"/>
  <c r="AJ219" i="97"/>
  <c r="AQ227" i="97"/>
  <c r="AP227" i="97"/>
  <c r="AS232" i="97"/>
  <c r="AR232" i="97"/>
  <c r="AI237" i="97"/>
  <c r="AH237" i="97"/>
  <c r="AI240" i="97"/>
  <c r="AH240" i="97"/>
  <c r="AK246" i="97"/>
  <c r="AJ246" i="97"/>
  <c r="AK249" i="97"/>
  <c r="AJ249" i="97"/>
  <c r="AO272" i="97"/>
  <c r="AN272" i="97"/>
  <c r="AO280" i="97"/>
  <c r="AN280" i="97"/>
  <c r="AM22" i="97"/>
  <c r="AL22" i="97"/>
  <c r="AO27" i="97"/>
  <c r="AN27" i="97"/>
  <c r="AH30" i="97"/>
  <c r="AI30" i="97"/>
  <c r="AP30" i="97"/>
  <c r="AQ30" i="97"/>
  <c r="AJ35" i="97"/>
  <c r="AK35" i="97"/>
  <c r="AR35" i="97"/>
  <c r="AS35" i="97"/>
  <c r="AL38" i="97"/>
  <c r="AM38" i="97"/>
  <c r="AN43" i="97"/>
  <c r="AO43" i="97"/>
  <c r="AI46" i="97"/>
  <c r="AH46" i="97"/>
  <c r="AQ46" i="97"/>
  <c r="AP46" i="97"/>
  <c r="AJ51" i="97"/>
  <c r="AK51" i="97"/>
  <c r="AR51" i="97"/>
  <c r="AS51" i="97"/>
  <c r="AL54" i="97"/>
  <c r="AM54" i="97"/>
  <c r="AN59" i="97"/>
  <c r="AO59" i="97"/>
  <c r="AI62" i="97"/>
  <c r="AH62" i="97"/>
  <c r="AQ62" i="97"/>
  <c r="AP62" i="97"/>
  <c r="AJ67" i="97"/>
  <c r="AK67" i="97"/>
  <c r="AR67" i="97"/>
  <c r="AS67" i="97"/>
  <c r="AL70" i="97"/>
  <c r="AM70" i="97"/>
  <c r="AO75" i="97"/>
  <c r="AN75" i="97"/>
  <c r="AI78" i="97"/>
  <c r="AH78" i="97"/>
  <c r="AP78" i="97"/>
  <c r="AQ78" i="97"/>
  <c r="AK83" i="97"/>
  <c r="AJ83" i="97"/>
  <c r="AS83" i="97"/>
  <c r="AR83" i="97"/>
  <c r="AL86" i="97"/>
  <c r="AM86" i="97"/>
  <c r="AP91" i="97"/>
  <c r="AQ91" i="97"/>
  <c r="AS96" i="97"/>
  <c r="AR96" i="97"/>
  <c r="AP97" i="97"/>
  <c r="AQ97" i="97"/>
  <c r="AL99" i="97"/>
  <c r="AM99" i="97"/>
  <c r="AS102" i="97"/>
  <c r="AR102" i="97"/>
  <c r="AO104" i="97"/>
  <c r="AN104" i="97"/>
  <c r="AL105" i="97"/>
  <c r="AM105" i="97"/>
  <c r="AH107" i="97"/>
  <c r="AI107" i="97"/>
  <c r="AO110" i="97"/>
  <c r="AN110" i="97"/>
  <c r="AK112" i="97"/>
  <c r="AJ112" i="97"/>
  <c r="AH113" i="97"/>
  <c r="AI113" i="97"/>
  <c r="AK118" i="97"/>
  <c r="AJ118" i="97"/>
  <c r="AP126" i="97"/>
  <c r="AQ126" i="97"/>
  <c r="AS131" i="97"/>
  <c r="AR131" i="97"/>
  <c r="AL134" i="97"/>
  <c r="AM134" i="97"/>
  <c r="AO139" i="97"/>
  <c r="AN139" i="97"/>
  <c r="AH142" i="97"/>
  <c r="AI142" i="97"/>
  <c r="AK147" i="97"/>
  <c r="AJ147" i="97"/>
  <c r="AQ155" i="97"/>
  <c r="AP155" i="97"/>
  <c r="AS160" i="97"/>
  <c r="AR160" i="97"/>
  <c r="AQ161" i="97"/>
  <c r="AP161" i="97"/>
  <c r="AM163" i="97"/>
  <c r="AL163" i="97"/>
  <c r="AS166" i="97"/>
  <c r="AR166" i="97"/>
  <c r="AO168" i="97"/>
  <c r="AN168" i="97"/>
  <c r="AL169" i="97"/>
  <c r="AM169" i="97"/>
  <c r="AI171" i="97"/>
  <c r="AH171" i="97"/>
  <c r="AO174" i="97"/>
  <c r="AN174" i="97"/>
  <c r="AK176" i="97"/>
  <c r="AJ176" i="97"/>
  <c r="AI177" i="97"/>
  <c r="AH177" i="97"/>
  <c r="AK182" i="97"/>
  <c r="AJ182" i="97"/>
  <c r="AQ190" i="97"/>
  <c r="AP190" i="97"/>
  <c r="AS195" i="97"/>
  <c r="AR195" i="97"/>
  <c r="AM198" i="97"/>
  <c r="AL198" i="97"/>
  <c r="AO203" i="97"/>
  <c r="AN203" i="97"/>
  <c r="AI206" i="97"/>
  <c r="AH206" i="97"/>
  <c r="AK211" i="97"/>
  <c r="AJ211" i="97"/>
  <c r="AQ219" i="97"/>
  <c r="AP219" i="97"/>
  <c r="AS224" i="97"/>
  <c r="AR224" i="97"/>
  <c r="AQ225" i="97"/>
  <c r="AP225" i="97"/>
  <c r="AM227" i="97"/>
  <c r="AL227" i="97"/>
  <c r="AS230" i="97"/>
  <c r="AR230" i="97"/>
  <c r="AO232" i="97"/>
  <c r="AN232" i="97"/>
  <c r="AM233" i="97"/>
  <c r="AL233" i="97"/>
  <c r="AO239" i="97"/>
  <c r="AN239" i="97"/>
  <c r="AI241" i="97"/>
  <c r="AH241" i="97"/>
  <c r="AI244" i="97"/>
  <c r="AH244" i="97"/>
  <c r="AK250" i="97"/>
  <c r="AJ250" i="97"/>
  <c r="AK253" i="97"/>
  <c r="AJ253" i="97"/>
  <c r="AQ254" i="97"/>
  <c r="AP254" i="97"/>
  <c r="AQ257" i="97"/>
  <c r="AP257" i="97"/>
  <c r="AS263" i="97"/>
  <c r="AR263" i="97"/>
  <c r="AQ265" i="97"/>
  <c r="AP265" i="97"/>
  <c r="AQ271" i="97"/>
  <c r="AP271" i="97"/>
  <c r="AQ273" i="97"/>
  <c r="AP273" i="97"/>
  <c r="AI302" i="97"/>
  <c r="AH302" i="97"/>
  <c r="AL19" i="97"/>
  <c r="AM19" i="97"/>
  <c r="AO24" i="97"/>
  <c r="AN24" i="97"/>
  <c r="AH27" i="97"/>
  <c r="AI27" i="97"/>
  <c r="AQ27" i="97"/>
  <c r="AP27" i="97"/>
  <c r="AJ32" i="97"/>
  <c r="AK32" i="97"/>
  <c r="AR32" i="97"/>
  <c r="AS32" i="97"/>
  <c r="AM35" i="97"/>
  <c r="AL35" i="97"/>
  <c r="AN40" i="97"/>
  <c r="AO40" i="97"/>
  <c r="AI43" i="97"/>
  <c r="AH43" i="97"/>
  <c r="AP43" i="97"/>
  <c r="AQ43" i="97"/>
  <c r="AJ48" i="97"/>
  <c r="AK48" i="97"/>
  <c r="AR48" i="97"/>
  <c r="AS48" i="97"/>
  <c r="AM51" i="97"/>
  <c r="AL51" i="97"/>
  <c r="AN56" i="97"/>
  <c r="AO56" i="97"/>
  <c r="AI59" i="97"/>
  <c r="AH59" i="97"/>
  <c r="AP59" i="97"/>
  <c r="AQ59" i="97"/>
  <c r="AJ64" i="97"/>
  <c r="AK64" i="97"/>
  <c r="AR64" i="97"/>
  <c r="AS64" i="97"/>
  <c r="AM67" i="97"/>
  <c r="AL67" i="97"/>
  <c r="AO72" i="97"/>
  <c r="AN72" i="97"/>
  <c r="AH75" i="97"/>
  <c r="AI75" i="97"/>
  <c r="AP75" i="97"/>
  <c r="AQ75" i="97"/>
  <c r="AK80" i="97"/>
  <c r="AJ80" i="97"/>
  <c r="AS80" i="97"/>
  <c r="AR80" i="97"/>
  <c r="AM83" i="97"/>
  <c r="AL83" i="97"/>
  <c r="AO88" i="97"/>
  <c r="AN88" i="97"/>
  <c r="AS92" i="97"/>
  <c r="AR92" i="97"/>
  <c r="AP93" i="97"/>
  <c r="AQ93" i="97"/>
  <c r="AL95" i="97"/>
  <c r="AM95" i="97"/>
  <c r="AS98" i="97"/>
  <c r="AR98" i="97"/>
  <c r="AO100" i="97"/>
  <c r="AN100" i="97"/>
  <c r="AL101" i="97"/>
  <c r="AM101" i="97"/>
  <c r="AH103" i="97"/>
  <c r="AI103" i="97"/>
  <c r="AO106" i="97"/>
  <c r="AN106" i="97"/>
  <c r="AK108" i="97"/>
  <c r="AJ108" i="97"/>
  <c r="AH109" i="97"/>
  <c r="AI109" i="97"/>
  <c r="AK114" i="97"/>
  <c r="AJ114" i="97"/>
  <c r="AP122" i="97"/>
  <c r="AQ122" i="97"/>
  <c r="AS127" i="97"/>
  <c r="AR127" i="97"/>
  <c r="AL130" i="97"/>
  <c r="AM130" i="97"/>
  <c r="AO135" i="97"/>
  <c r="AN135" i="97"/>
  <c r="AH138" i="97"/>
  <c r="AI138" i="97"/>
  <c r="AK143" i="97"/>
  <c r="AJ143" i="97"/>
  <c r="AQ151" i="97"/>
  <c r="AP151" i="97"/>
  <c r="AS156" i="97"/>
  <c r="AR156" i="97"/>
  <c r="AQ157" i="97"/>
  <c r="AP157" i="97"/>
  <c r="AM159" i="97"/>
  <c r="AL159" i="97"/>
  <c r="AS162" i="97"/>
  <c r="AR162" i="97"/>
  <c r="AO164" i="97"/>
  <c r="AN164" i="97"/>
  <c r="AL165" i="97"/>
  <c r="AM165" i="97"/>
  <c r="AI167" i="97"/>
  <c r="AH167" i="97"/>
  <c r="AO170" i="97"/>
  <c r="AN170" i="97"/>
  <c r="AK172" i="97"/>
  <c r="AJ172" i="97"/>
  <c r="AI173" i="97"/>
  <c r="AH173" i="97"/>
  <c r="AK178" i="97"/>
  <c r="AJ178" i="97"/>
  <c r="AP186" i="97"/>
  <c r="AQ186" i="97"/>
  <c r="AS191" i="97"/>
  <c r="AR191" i="97"/>
  <c r="AM194" i="97"/>
  <c r="AL194" i="97"/>
  <c r="AO199" i="97"/>
  <c r="AN199" i="97"/>
  <c r="AI202" i="97"/>
  <c r="AH202" i="97"/>
  <c r="AK207" i="97"/>
  <c r="AJ207" i="97"/>
  <c r="AQ215" i="97"/>
  <c r="AP215" i="97"/>
  <c r="AS220" i="97"/>
  <c r="AR220" i="97"/>
  <c r="AQ221" i="97"/>
  <c r="AP221" i="97"/>
  <c r="AM223" i="97"/>
  <c r="AL223" i="97"/>
  <c r="AS226" i="97"/>
  <c r="AR226" i="97"/>
  <c r="AO228" i="97"/>
  <c r="AN228" i="97"/>
  <c r="AL229" i="97"/>
  <c r="AM229" i="97"/>
  <c r="AI231" i="97"/>
  <c r="AH231" i="97"/>
  <c r="AO238" i="97"/>
  <c r="AN238" i="97"/>
  <c r="AO241" i="97"/>
  <c r="AN241" i="97"/>
  <c r="AQ256" i="97"/>
  <c r="AP256" i="97"/>
  <c r="AJ258" i="97"/>
  <c r="AK258" i="97"/>
  <c r="AO278" i="97"/>
  <c r="AN278" i="97"/>
  <c r="AO284" i="97"/>
  <c r="AN284" i="97"/>
  <c r="AO286" i="97"/>
  <c r="AN286" i="97"/>
  <c r="AO288" i="97"/>
  <c r="AN288" i="97"/>
  <c r="AQ302" i="97"/>
  <c r="AP302" i="97"/>
  <c r="AQ306" i="97"/>
  <c r="AP306" i="97"/>
  <c r="AQ242" i="97"/>
  <c r="AP242" i="97"/>
  <c r="AS243" i="97"/>
  <c r="AR243" i="97"/>
  <c r="AM248" i="97"/>
  <c r="AL248" i="97"/>
  <c r="AI254" i="97"/>
  <c r="AH254" i="97"/>
  <c r="AK255" i="97"/>
  <c r="AJ255" i="97"/>
  <c r="AM256" i="97"/>
  <c r="AL256" i="97"/>
  <c r="AO257" i="97"/>
  <c r="AN257" i="97"/>
  <c r="AK263" i="97"/>
  <c r="AJ263" i="97"/>
  <c r="AM267" i="97"/>
  <c r="AL267" i="97"/>
  <c r="AM270" i="97"/>
  <c r="AL270" i="97"/>
  <c r="AI281" i="97"/>
  <c r="AH281" i="97"/>
  <c r="AI287" i="97"/>
  <c r="AH287" i="97"/>
  <c r="AQ294" i="97"/>
  <c r="AP294" i="97"/>
  <c r="AJ296" i="97"/>
  <c r="AK296" i="97"/>
  <c r="AQ297" i="97"/>
  <c r="AP297" i="97"/>
  <c r="AL92" i="97"/>
  <c r="AM92" i="97"/>
  <c r="AO97" i="97"/>
  <c r="AN97" i="97"/>
  <c r="AH100" i="97"/>
  <c r="AI100" i="97"/>
  <c r="AP100" i="97"/>
  <c r="AQ100" i="97"/>
  <c r="AK105" i="97"/>
  <c r="AJ105" i="97"/>
  <c r="AS105" i="97"/>
  <c r="AR105" i="97"/>
  <c r="AL108" i="97"/>
  <c r="AM108" i="97"/>
  <c r="AO113" i="97"/>
  <c r="AN113" i="97"/>
  <c r="AH116" i="97"/>
  <c r="AI116" i="97"/>
  <c r="AP116" i="97"/>
  <c r="AQ116" i="97"/>
  <c r="AK121" i="97"/>
  <c r="AJ121" i="97"/>
  <c r="AS121" i="97"/>
  <c r="AR121" i="97"/>
  <c r="AL124" i="97"/>
  <c r="AM124" i="97"/>
  <c r="AO129" i="97"/>
  <c r="AN129" i="97"/>
  <c r="AH132" i="97"/>
  <c r="AI132" i="97"/>
  <c r="AP132" i="97"/>
  <c r="AQ132" i="97"/>
  <c r="AK137" i="97"/>
  <c r="AJ137" i="97"/>
  <c r="AS137" i="97"/>
  <c r="AR137" i="97"/>
  <c r="AL140" i="97"/>
  <c r="AM140" i="97"/>
  <c r="AO145" i="97"/>
  <c r="AN145" i="97"/>
  <c r="AH148" i="97"/>
  <c r="AI148" i="97"/>
  <c r="AP148" i="97"/>
  <c r="AQ148" i="97"/>
  <c r="AK153" i="97"/>
  <c r="AJ153" i="97"/>
  <c r="AS153" i="97"/>
  <c r="AR153" i="97"/>
  <c r="AM156" i="97"/>
  <c r="AL156" i="97"/>
  <c r="AO161" i="97"/>
  <c r="AN161" i="97"/>
  <c r="AI164" i="97"/>
  <c r="AH164" i="97"/>
  <c r="AQ164" i="97"/>
  <c r="AP164" i="97"/>
  <c r="AK169" i="97"/>
  <c r="AJ169" i="97"/>
  <c r="AS169" i="97"/>
  <c r="AR169" i="97"/>
  <c r="AM172" i="97"/>
  <c r="AL172" i="97"/>
  <c r="AO177" i="97"/>
  <c r="AN177" i="97"/>
  <c r="AH180" i="97"/>
  <c r="AI180" i="97"/>
  <c r="AQ180" i="97"/>
  <c r="AP180" i="97"/>
  <c r="AK185" i="97"/>
  <c r="AJ185" i="97"/>
  <c r="AS185" i="97"/>
  <c r="AR185" i="97"/>
  <c r="AM188" i="97"/>
  <c r="AL188" i="97"/>
  <c r="AO193" i="97"/>
  <c r="AN193" i="97"/>
  <c r="AI196" i="97"/>
  <c r="AH196" i="97"/>
  <c r="AQ196" i="97"/>
  <c r="AP196" i="97"/>
  <c r="AK201" i="97"/>
  <c r="AJ201" i="97"/>
  <c r="AS201" i="97"/>
  <c r="AR201" i="97"/>
  <c r="AM204" i="97"/>
  <c r="AL204" i="97"/>
  <c r="AO209" i="97"/>
  <c r="AN209" i="97"/>
  <c r="AH212" i="97"/>
  <c r="AI212" i="97"/>
  <c r="AQ212" i="97"/>
  <c r="AP212" i="97"/>
  <c r="AK217" i="97"/>
  <c r="AJ217" i="97"/>
  <c r="AS217" i="97"/>
  <c r="AR217" i="97"/>
  <c r="AM220" i="97"/>
  <c r="AL220" i="97"/>
  <c r="AO225" i="97"/>
  <c r="AN225" i="97"/>
  <c r="AH228" i="97"/>
  <c r="AI228" i="97"/>
  <c r="AQ228" i="97"/>
  <c r="AP228" i="97"/>
  <c r="AK233" i="97"/>
  <c r="AJ233" i="97"/>
  <c r="AS233" i="97"/>
  <c r="AR233" i="97"/>
  <c r="AS238" i="97"/>
  <c r="AR238" i="97"/>
  <c r="AM241" i="97"/>
  <c r="AL241" i="97"/>
  <c r="AO246" i="97"/>
  <c r="AN246" i="97"/>
  <c r="AI249" i="97"/>
  <c r="AH249" i="97"/>
  <c r="AJ254" i="97"/>
  <c r="AK254" i="97"/>
  <c r="AQ262" i="97"/>
  <c r="AP262" i="97"/>
  <c r="AJ270" i="97"/>
  <c r="AK270" i="97"/>
  <c r="AQ274" i="97"/>
  <c r="AP274" i="97"/>
  <c r="AS275" i="97"/>
  <c r="AR275" i="97"/>
  <c r="AS283" i="97"/>
  <c r="AR283" i="97"/>
  <c r="AI286" i="97"/>
  <c r="AH286" i="97"/>
  <c r="AI294" i="97"/>
  <c r="AH294" i="97"/>
  <c r="AJ295" i="97"/>
  <c r="AK295" i="97"/>
  <c r="AQ299" i="97"/>
  <c r="AP299" i="97"/>
  <c r="AQ307" i="97"/>
  <c r="AP307" i="97"/>
  <c r="AM235" i="97"/>
  <c r="AL235" i="97"/>
  <c r="AO240" i="97"/>
  <c r="AN240" i="97"/>
  <c r="AI243" i="97"/>
  <c r="AH243" i="97"/>
  <c r="AQ243" i="97"/>
  <c r="AP243" i="97"/>
  <c r="AK248" i="97"/>
  <c r="AJ248" i="97"/>
  <c r="AS248" i="97"/>
  <c r="AR248" i="97"/>
  <c r="AM251" i="97"/>
  <c r="AL251" i="97"/>
  <c r="AO256" i="97"/>
  <c r="AN256" i="97"/>
  <c r="AI259" i="97"/>
  <c r="AH259" i="97"/>
  <c r="AQ259" i="97"/>
  <c r="AP259" i="97"/>
  <c r="AK264" i="97"/>
  <c r="AJ264" i="97"/>
  <c r="AQ266" i="97"/>
  <c r="AP266" i="97"/>
  <c r="AS271" i="97"/>
  <c r="AR271" i="97"/>
  <c r="AM274" i="97"/>
  <c r="AL274" i="97"/>
  <c r="AN279" i="97"/>
  <c r="AO279" i="97"/>
  <c r="AI282" i="97"/>
  <c r="AH282" i="97"/>
  <c r="AK287" i="97"/>
  <c r="AJ287" i="97"/>
  <c r="AQ295" i="97"/>
  <c r="AP295" i="97"/>
  <c r="AS300" i="97"/>
  <c r="AR300" i="97"/>
  <c r="AQ301" i="97"/>
  <c r="AP301" i="97"/>
  <c r="AM303" i="97"/>
  <c r="AL303" i="97"/>
  <c r="AS306" i="97"/>
  <c r="AR306" i="97"/>
  <c r="AQ264" i="97"/>
  <c r="AP264" i="97"/>
  <c r="AK269" i="97"/>
  <c r="AJ269" i="97"/>
  <c r="AS269" i="97"/>
  <c r="AR269" i="97"/>
  <c r="AM272" i="97"/>
  <c r="AL272" i="97"/>
  <c r="AO277" i="97"/>
  <c r="AN277" i="97"/>
  <c r="AI280" i="97"/>
  <c r="AH280" i="97"/>
  <c r="AQ280" i="97"/>
  <c r="AP280" i="97"/>
  <c r="AK285" i="97"/>
  <c r="AJ285" i="97"/>
  <c r="AS285" i="97"/>
  <c r="AR285" i="97"/>
  <c r="AM288" i="97"/>
  <c r="AL288" i="97"/>
  <c r="AN293" i="97"/>
  <c r="AO293" i="97"/>
  <c r="AI296" i="97"/>
  <c r="AH296" i="97"/>
  <c r="AQ296" i="97"/>
  <c r="AP296" i="97"/>
  <c r="AJ301" i="97"/>
  <c r="AK301" i="97"/>
  <c r="AR301" i="97"/>
  <c r="AS301" i="97"/>
  <c r="AM304" i="97"/>
  <c r="AL304" i="97"/>
  <c r="H10" i="98"/>
  <c r="I10" i="98" s="1"/>
  <c r="AB16" i="98"/>
  <c r="AS11" i="97"/>
  <c r="AR11" i="97"/>
  <c r="AM14" i="97"/>
  <c r="AL14" i="97"/>
  <c r="AO21" i="97"/>
  <c r="AN21" i="97"/>
  <c r="AK26" i="97"/>
  <c r="AJ26" i="97"/>
  <c r="AM85" i="97"/>
  <c r="AL85" i="97"/>
  <c r="AO90" i="97"/>
  <c r="AN90" i="97"/>
  <c r="AP117" i="97"/>
  <c r="AQ117" i="97"/>
  <c r="AO124" i="97"/>
  <c r="AN124" i="97"/>
  <c r="AK135" i="97"/>
  <c r="AJ135" i="97"/>
  <c r="AO159" i="97"/>
  <c r="AN159" i="97"/>
  <c r="AK167" i="97"/>
  <c r="AJ167" i="97"/>
  <c r="AS180" i="97"/>
  <c r="AR180" i="97"/>
  <c r="AI191" i="97"/>
  <c r="AH191" i="97"/>
  <c r="AO194" i="97"/>
  <c r="AN194" i="97"/>
  <c r="AM218" i="97"/>
  <c r="AL218" i="97"/>
  <c r="AQ241" i="97"/>
  <c r="AP241" i="97"/>
  <c r="AS8" i="97"/>
  <c r="AR8" i="97"/>
  <c r="AL11" i="97"/>
  <c r="AM11" i="97"/>
  <c r="AO16" i="97"/>
  <c r="AN16" i="97"/>
  <c r="AK19" i="97"/>
  <c r="AJ19" i="97"/>
  <c r="AQ40" i="97"/>
  <c r="AP40" i="97"/>
  <c r="AN45" i="97"/>
  <c r="AO45" i="97"/>
  <c r="AI48" i="97"/>
  <c r="AH48" i="97"/>
  <c r="AQ88" i="97"/>
  <c r="AP88" i="97"/>
  <c r="AM91" i="97"/>
  <c r="AL91" i="97"/>
  <c r="AS94" i="97"/>
  <c r="AR94" i="97"/>
  <c r="AH105" i="97"/>
  <c r="AI105" i="97"/>
  <c r="AP118" i="97"/>
  <c r="AQ118" i="97"/>
  <c r="AK139" i="97"/>
  <c r="AJ139" i="97"/>
  <c r="AS152" i="97"/>
  <c r="AR152" i="97"/>
  <c r="AI169" i="97"/>
  <c r="AH169" i="97"/>
  <c r="AQ182" i="97"/>
  <c r="AP182" i="97"/>
  <c r="AI198" i="97"/>
  <c r="AH198" i="97"/>
  <c r="AQ217" i="97"/>
  <c r="AP217" i="97"/>
  <c r="AM219" i="97"/>
  <c r="AL219" i="97"/>
  <c r="AS222" i="97"/>
  <c r="AR222" i="97"/>
  <c r="AO224" i="97"/>
  <c r="AN224" i="97"/>
  <c r="AI233" i="97"/>
  <c r="AH233" i="97"/>
  <c r="AM253" i="97"/>
  <c r="AL253" i="97"/>
  <c r="AI278" i="97"/>
  <c r="AH278" i="97"/>
  <c r="AJ286" i="97"/>
  <c r="AK286" i="97"/>
  <c r="AJ294" i="97"/>
  <c r="AK294" i="97"/>
  <c r="AM302" i="97"/>
  <c r="AL302" i="97"/>
  <c r="AH8" i="97"/>
  <c r="AI8" i="97"/>
  <c r="AP8" i="97"/>
  <c r="AQ8" i="97"/>
  <c r="AK13" i="97"/>
  <c r="AJ13" i="97"/>
  <c r="AS13" i="97"/>
  <c r="AR13" i="97"/>
  <c r="AL16" i="97"/>
  <c r="AM16" i="97"/>
  <c r="AO22" i="97"/>
  <c r="AN22" i="97"/>
  <c r="AI25" i="97"/>
  <c r="AH25" i="97"/>
  <c r="AJ30" i="97"/>
  <c r="AK30" i="97"/>
  <c r="AP41" i="97"/>
  <c r="AQ41" i="97"/>
  <c r="AR46" i="97"/>
  <c r="AS46" i="97"/>
  <c r="AM49" i="97"/>
  <c r="AL49" i="97"/>
  <c r="AN54" i="97"/>
  <c r="AO54" i="97"/>
  <c r="AH57" i="97"/>
  <c r="AI57" i="97"/>
  <c r="AJ62" i="97"/>
  <c r="AK62" i="97"/>
  <c r="AP73" i="97"/>
  <c r="AQ73" i="97"/>
  <c r="AS78" i="97"/>
  <c r="AR78" i="97"/>
  <c r="AM81" i="97"/>
  <c r="AL81" i="97"/>
  <c r="AO86" i="97"/>
  <c r="AN86" i="97"/>
  <c r="AH89" i="97"/>
  <c r="AI89" i="97"/>
  <c r="AP98" i="97"/>
  <c r="AQ98" i="97"/>
  <c r="AS103" i="97"/>
  <c r="AR103" i="97"/>
  <c r="AH114" i="97"/>
  <c r="AI114" i="97"/>
  <c r="AK119" i="97"/>
  <c r="AJ119" i="97"/>
  <c r="AP127" i="97"/>
  <c r="AQ127" i="97"/>
  <c r="AS132" i="97"/>
  <c r="AR132" i="97"/>
  <c r="AL141" i="97"/>
  <c r="AM141" i="97"/>
  <c r="AH143" i="97"/>
  <c r="AI143" i="97"/>
  <c r="AO146" i="97"/>
  <c r="AN146" i="97"/>
  <c r="AK148" i="97"/>
  <c r="AJ148" i="97"/>
  <c r="AM170" i="97"/>
  <c r="AL170" i="97"/>
  <c r="AO175" i="97"/>
  <c r="AN175" i="97"/>
  <c r="AQ197" i="97"/>
  <c r="AP197" i="97"/>
  <c r="AM199" i="97"/>
  <c r="AL199" i="97"/>
  <c r="AS202" i="97"/>
  <c r="AR202" i="97"/>
  <c r="AO204" i="97"/>
  <c r="AN204" i="97"/>
  <c r="AI213" i="97"/>
  <c r="AH213" i="97"/>
  <c r="AK218" i="97"/>
  <c r="AJ218" i="97"/>
  <c r="AQ226" i="97"/>
  <c r="AP226" i="97"/>
  <c r="AS231" i="97"/>
  <c r="AR231" i="97"/>
  <c r="AI270" i="97"/>
  <c r="AH270" i="97"/>
  <c r="AI274" i="97"/>
  <c r="AH274" i="97"/>
  <c r="AJ278" i="97"/>
  <c r="AK278" i="97"/>
  <c r="AM294" i="97"/>
  <c r="AL294" i="97"/>
  <c r="AM298" i="97"/>
  <c r="AL298" i="97"/>
  <c r="AN306" i="97"/>
  <c r="AO306" i="97"/>
  <c r="AP18" i="97"/>
  <c r="AQ18" i="97"/>
  <c r="AQ29" i="97"/>
  <c r="AP29" i="97"/>
  <c r="AR34" i="97"/>
  <c r="AS34" i="97"/>
  <c r="AM37" i="97"/>
  <c r="AL37" i="97"/>
  <c r="AJ42" i="97"/>
  <c r="AK42" i="97"/>
  <c r="AQ69" i="97"/>
  <c r="AP69" i="97"/>
  <c r="AS74" i="97"/>
  <c r="AR74" i="97"/>
  <c r="AM77" i="97"/>
  <c r="AL77" i="97"/>
  <c r="AS82" i="97"/>
  <c r="AR82" i="97"/>
  <c r="AP85" i="97"/>
  <c r="AQ85" i="97"/>
  <c r="AS90" i="97"/>
  <c r="AR90" i="97"/>
  <c r="AH101" i="97"/>
  <c r="AI101" i="97"/>
  <c r="AP114" i="97"/>
  <c r="AQ114" i="97"/>
  <c r="AK138" i="97"/>
  <c r="AJ138" i="97"/>
  <c r="AL151" i="97"/>
  <c r="AM151" i="97"/>
  <c r="AS154" i="97"/>
  <c r="AR154" i="97"/>
  <c r="AK164" i="97"/>
  <c r="AJ164" i="97"/>
  <c r="AO191" i="97"/>
  <c r="AN191" i="97"/>
  <c r="AM215" i="97"/>
  <c r="AL215" i="97"/>
  <c r="AS218" i="97"/>
  <c r="AR218" i="97"/>
  <c r="AI229" i="97"/>
  <c r="AH229" i="97"/>
  <c r="AO242" i="97"/>
  <c r="AN242" i="97"/>
  <c r="AQ260" i="97"/>
  <c r="AP260" i="97"/>
  <c r="AN267" i="97"/>
  <c r="AO267" i="97"/>
  <c r="AQ283" i="97"/>
  <c r="AP283" i="97"/>
  <c r="AR291" i="97"/>
  <c r="AS291" i="97"/>
  <c r="AQ15" i="97"/>
  <c r="AP15" i="97"/>
  <c r="AS19" i="97"/>
  <c r="AR19" i="97"/>
  <c r="AQ80" i="97"/>
  <c r="AP80" i="97"/>
  <c r="AS85" i="97"/>
  <c r="AR85" i="97"/>
  <c r="AL88" i="97"/>
  <c r="AM88" i="97"/>
  <c r="AL94" i="97"/>
  <c r="AM94" i="97"/>
  <c r="AP121" i="97"/>
  <c r="AQ121" i="97"/>
  <c r="AO128" i="97"/>
  <c r="AN128" i="97"/>
  <c r="AK142" i="97"/>
  <c r="AJ142" i="97"/>
  <c r="AS155" i="97"/>
  <c r="AR155" i="97"/>
  <c r="AS158" i="97"/>
  <c r="AR158" i="97"/>
  <c r="AM161" i="97"/>
  <c r="AL161" i="97"/>
  <c r="AM187" i="97"/>
  <c r="AL187" i="97"/>
  <c r="AS190" i="97"/>
  <c r="AR190" i="97"/>
  <c r="AM9" i="97"/>
  <c r="AL9" i="97"/>
  <c r="AO14" i="97"/>
  <c r="AN14" i="97"/>
  <c r="AI17" i="97"/>
  <c r="AH17" i="97"/>
  <c r="AQ17" i="97"/>
  <c r="AP17" i="97"/>
  <c r="AK25" i="97"/>
  <c r="AJ25" i="97"/>
  <c r="AP36" i="97"/>
  <c r="AQ36" i="97"/>
  <c r="AR41" i="97"/>
  <c r="AS41" i="97"/>
  <c r="AL44" i="97"/>
  <c r="AM44" i="97"/>
  <c r="AN49" i="97"/>
  <c r="AO49" i="97"/>
  <c r="AI52" i="97"/>
  <c r="AH52" i="97"/>
  <c r="AJ57" i="97"/>
  <c r="AK57" i="97"/>
  <c r="AP68" i="97"/>
  <c r="AQ68" i="97"/>
  <c r="AS73" i="97"/>
  <c r="AR73" i="97"/>
  <c r="AL76" i="97"/>
  <c r="AM76" i="97"/>
  <c r="AO81" i="97"/>
  <c r="AN81" i="97"/>
  <c r="AH84" i="97"/>
  <c r="AI84" i="97"/>
  <c r="AK89" i="97"/>
  <c r="AJ89" i="97"/>
  <c r="AP105" i="97"/>
  <c r="AQ105" i="97"/>
  <c r="AL107" i="97"/>
  <c r="AM107" i="97"/>
  <c r="AS110" i="97"/>
  <c r="AR110" i="97"/>
  <c r="AO112" i="97"/>
  <c r="AN112" i="97"/>
  <c r="AH121" i="97"/>
  <c r="AI121" i="97"/>
  <c r="AK126" i="97"/>
  <c r="AJ126" i="97"/>
  <c r="AP134" i="97"/>
  <c r="AQ134" i="97"/>
  <c r="AS139" i="97"/>
  <c r="AR139" i="97"/>
  <c r="AH150" i="97"/>
  <c r="AI150" i="97"/>
  <c r="AK155" i="97"/>
  <c r="AJ155" i="97"/>
  <c r="AQ163" i="97"/>
  <c r="AP163" i="97"/>
  <c r="AS168" i="97"/>
  <c r="AR168" i="97"/>
  <c r="AM177" i="97"/>
  <c r="AL177" i="97"/>
  <c r="AI179" i="97"/>
  <c r="AH179" i="97"/>
  <c r="AO182" i="97"/>
  <c r="AN182" i="97"/>
  <c r="AK184" i="97"/>
  <c r="AJ184" i="97"/>
  <c r="AM206" i="97"/>
  <c r="AL206" i="97"/>
  <c r="AO211" i="97"/>
  <c r="AN211" i="97"/>
  <c r="AQ233" i="97"/>
  <c r="AP233" i="97"/>
  <c r="AQ250" i="97"/>
  <c r="AP250" i="97"/>
  <c r="AQ253" i="97"/>
  <c r="AP253" i="97"/>
  <c r="AS259" i="97"/>
  <c r="AR259" i="97"/>
  <c r="AS262" i="97"/>
  <c r="AR262" i="97"/>
  <c r="AM266" i="97"/>
  <c r="AL266" i="97"/>
  <c r="AO270" i="97"/>
  <c r="AN270" i="97"/>
  <c r="AO274" i="97"/>
  <c r="AN274" i="97"/>
  <c r="AQ290" i="97"/>
  <c r="AP290" i="97"/>
  <c r="AS302" i="97"/>
  <c r="AR302" i="97"/>
  <c r="AQ22" i="97"/>
  <c r="AP22" i="97"/>
  <c r="AK27" i="97"/>
  <c r="AJ27" i="97"/>
  <c r="AS27" i="97"/>
  <c r="AR27" i="97"/>
  <c r="AL30" i="97"/>
  <c r="AM30" i="97"/>
  <c r="AN35" i="97"/>
  <c r="AO35" i="97"/>
  <c r="AI38" i="97"/>
  <c r="AH38" i="97"/>
  <c r="AQ38" i="97"/>
  <c r="AP38" i="97"/>
  <c r="AJ43" i="97"/>
  <c r="AK43" i="97"/>
  <c r="AR43" i="97"/>
  <c r="AS43" i="97"/>
  <c r="AL46" i="97"/>
  <c r="AM46" i="97"/>
  <c r="AN51" i="97"/>
  <c r="AO51" i="97"/>
  <c r="AH54" i="97"/>
  <c r="AI54" i="97"/>
  <c r="AQ54" i="97"/>
  <c r="AP54" i="97"/>
  <c r="AJ59" i="97"/>
  <c r="AK59" i="97"/>
  <c r="AR59" i="97"/>
  <c r="AS59" i="97"/>
  <c r="AL62" i="97"/>
  <c r="AM62" i="97"/>
  <c r="AN67" i="97"/>
  <c r="AO67" i="97"/>
  <c r="AI70" i="97"/>
  <c r="AH70" i="97"/>
  <c r="AP70" i="97"/>
  <c r="AQ70" i="97"/>
  <c r="AK75" i="97"/>
  <c r="AJ75" i="97"/>
  <c r="AS75" i="97"/>
  <c r="AR75" i="97"/>
  <c r="AL78" i="97"/>
  <c r="AM78" i="97"/>
  <c r="AO83" i="97"/>
  <c r="AN83" i="97"/>
  <c r="AI86" i="97"/>
  <c r="AH86" i="97"/>
  <c r="AQ86" i="97"/>
  <c r="AP86" i="97"/>
  <c r="AP94" i="97"/>
  <c r="AQ94" i="97"/>
  <c r="AS99" i="97"/>
  <c r="AR99" i="97"/>
  <c r="AL102" i="97"/>
  <c r="AM102" i="97"/>
  <c r="AO107" i="97"/>
  <c r="AN107" i="97"/>
  <c r="AH110" i="97"/>
  <c r="AI110" i="97"/>
  <c r="AK115" i="97"/>
  <c r="AJ115" i="97"/>
  <c r="AP123" i="97"/>
  <c r="AQ123" i="97"/>
  <c r="AS128" i="97"/>
  <c r="AR128" i="97"/>
  <c r="AP129" i="97"/>
  <c r="AQ129" i="97"/>
  <c r="AL131" i="97"/>
  <c r="AM131" i="97"/>
  <c r="AS134" i="97"/>
  <c r="AR134" i="97"/>
  <c r="AO136" i="97"/>
  <c r="AN136" i="97"/>
  <c r="AL137" i="97"/>
  <c r="AM137" i="97"/>
  <c r="AH139" i="97"/>
  <c r="AI139" i="97"/>
  <c r="AO142" i="97"/>
  <c r="AN142" i="97"/>
  <c r="AK144" i="97"/>
  <c r="AJ144" i="97"/>
  <c r="AH145" i="97"/>
  <c r="AI145" i="97"/>
  <c r="AK150" i="97"/>
  <c r="AJ150" i="97"/>
  <c r="AP158" i="97"/>
  <c r="AQ158" i="97"/>
  <c r="AS163" i="97"/>
  <c r="AR163" i="97"/>
  <c r="AM166" i="97"/>
  <c r="AL166" i="97"/>
  <c r="AO171" i="97"/>
  <c r="AN171" i="97"/>
  <c r="AI174" i="97"/>
  <c r="AH174" i="97"/>
  <c r="AK179" i="97"/>
  <c r="AJ179" i="97"/>
  <c r="AQ187" i="97"/>
  <c r="AP187" i="97"/>
  <c r="AS192" i="97"/>
  <c r="AR192" i="97"/>
  <c r="AQ193" i="97"/>
  <c r="AP193" i="97"/>
  <c r="AM195" i="97"/>
  <c r="AL195" i="97"/>
  <c r="AS198" i="97"/>
  <c r="AR198" i="97"/>
  <c r="AO200" i="97"/>
  <c r="AN200" i="97"/>
  <c r="AL201" i="97"/>
  <c r="AM201" i="97"/>
  <c r="AI203" i="97"/>
  <c r="AH203" i="97"/>
  <c r="AO206" i="97"/>
  <c r="AN206" i="97"/>
  <c r="AK208" i="97"/>
  <c r="AJ208" i="97"/>
  <c r="AI209" i="97"/>
  <c r="AH209" i="97"/>
  <c r="AK214" i="97"/>
  <c r="AJ214" i="97"/>
  <c r="AP222" i="97"/>
  <c r="AQ222" i="97"/>
  <c r="AS227" i="97"/>
  <c r="AR227" i="97"/>
  <c r="AM230" i="97"/>
  <c r="AL230" i="97"/>
  <c r="AS234" i="97"/>
  <c r="AR234" i="97"/>
  <c r="AM249" i="97"/>
  <c r="AL249" i="97"/>
  <c r="AO258" i="97"/>
  <c r="AN258" i="97"/>
  <c r="AS278" i="97"/>
  <c r="AR278" i="97"/>
  <c r="AR280" i="97"/>
  <c r="AS280" i="97"/>
  <c r="AS282" i="97"/>
  <c r="AR282" i="97"/>
  <c r="AR288" i="97"/>
  <c r="AS288" i="97"/>
  <c r="AI297" i="97"/>
  <c r="AH297" i="97"/>
  <c r="AI303" i="97"/>
  <c r="AH303" i="97"/>
  <c r="AI305" i="97"/>
  <c r="AH305" i="97"/>
  <c r="AI307" i="97"/>
  <c r="AH307" i="97"/>
  <c r="AH19" i="97"/>
  <c r="AI19" i="97"/>
  <c r="AQ19" i="97"/>
  <c r="AP19" i="97"/>
  <c r="AK24" i="97"/>
  <c r="AJ24" i="97"/>
  <c r="AS24" i="97"/>
  <c r="AR24" i="97"/>
  <c r="AL27" i="97"/>
  <c r="AM27" i="97"/>
  <c r="AN32" i="97"/>
  <c r="AO32" i="97"/>
  <c r="AH35" i="97"/>
  <c r="AI35" i="97"/>
  <c r="AP35" i="97"/>
  <c r="AQ35" i="97"/>
  <c r="AJ40" i="97"/>
  <c r="AK40" i="97"/>
  <c r="AR40" i="97"/>
  <c r="AS40" i="97"/>
  <c r="AM43" i="97"/>
  <c r="AL43" i="97"/>
  <c r="AN48" i="97"/>
  <c r="AO48" i="97"/>
  <c r="AI51" i="97"/>
  <c r="AH51" i="97"/>
  <c r="AP51" i="97"/>
  <c r="AQ51" i="97"/>
  <c r="AJ56" i="97"/>
  <c r="AK56" i="97"/>
  <c r="AR56" i="97"/>
  <c r="AS56" i="97"/>
  <c r="AM59" i="97"/>
  <c r="AL59" i="97"/>
  <c r="AN64" i="97"/>
  <c r="AO64" i="97"/>
  <c r="AH67" i="97"/>
  <c r="AI67" i="97"/>
  <c r="AP67" i="97"/>
  <c r="AQ67" i="97"/>
  <c r="AK72" i="97"/>
  <c r="AJ72" i="97"/>
  <c r="AS72" i="97"/>
  <c r="AR72" i="97"/>
  <c r="AM75" i="97"/>
  <c r="AL75" i="97"/>
  <c r="AO80" i="97"/>
  <c r="AN80" i="97"/>
  <c r="AH83" i="97"/>
  <c r="AI83" i="97"/>
  <c r="AQ83" i="97"/>
  <c r="AP83" i="97"/>
  <c r="AK88" i="97"/>
  <c r="AJ88" i="97"/>
  <c r="AS88" i="97"/>
  <c r="AR88" i="97"/>
  <c r="AS95" i="97"/>
  <c r="AR95" i="97"/>
  <c r="AL98" i="97"/>
  <c r="AM98" i="97"/>
  <c r="AO103" i="97"/>
  <c r="AN103" i="97"/>
  <c r="AH106" i="97"/>
  <c r="AI106" i="97"/>
  <c r="AK111" i="97"/>
  <c r="AJ111" i="97"/>
  <c r="AP119" i="97"/>
  <c r="AQ119" i="97"/>
  <c r="AS124" i="97"/>
  <c r="AR124" i="97"/>
  <c r="AP125" i="97"/>
  <c r="AQ125" i="97"/>
  <c r="AL127" i="97"/>
  <c r="AM127" i="97"/>
  <c r="AS130" i="97"/>
  <c r="AR130" i="97"/>
  <c r="AO132" i="97"/>
  <c r="AN132" i="97"/>
  <c r="AL133" i="97"/>
  <c r="AM133" i="97"/>
  <c r="AH135" i="97"/>
  <c r="AI135" i="97"/>
  <c r="AO138" i="97"/>
  <c r="AN138" i="97"/>
  <c r="AK140" i="97"/>
  <c r="AJ140" i="97"/>
  <c r="AH141" i="97"/>
  <c r="AI141" i="97"/>
  <c r="AK146" i="97"/>
  <c r="AJ146" i="97"/>
  <c r="AP154" i="97"/>
  <c r="AQ154" i="97"/>
  <c r="AS159" i="97"/>
  <c r="AR159" i="97"/>
  <c r="AM162" i="97"/>
  <c r="AL162" i="97"/>
  <c r="AO167" i="97"/>
  <c r="AN167" i="97"/>
  <c r="AI170" i="97"/>
  <c r="AH170" i="97"/>
  <c r="AK175" i="97"/>
  <c r="AJ175" i="97"/>
  <c r="AQ183" i="97"/>
  <c r="AP183" i="97"/>
  <c r="AS188" i="97"/>
  <c r="AR188" i="97"/>
  <c r="AQ189" i="97"/>
  <c r="AP189" i="97"/>
  <c r="AM191" i="97"/>
  <c r="AL191" i="97"/>
  <c r="AS194" i="97"/>
  <c r="AR194" i="97"/>
  <c r="AO196" i="97"/>
  <c r="AN196" i="97"/>
  <c r="AL197" i="97"/>
  <c r="AM197" i="97"/>
  <c r="AI199" i="97"/>
  <c r="AH199" i="97"/>
  <c r="AO202" i="97"/>
  <c r="AN202" i="97"/>
  <c r="AK204" i="97"/>
  <c r="AJ204" i="97"/>
  <c r="AI205" i="97"/>
  <c r="AH205" i="97"/>
  <c r="AK210" i="97"/>
  <c r="AJ210" i="97"/>
  <c r="AP218" i="97"/>
  <c r="AQ218" i="97"/>
  <c r="AS223" i="97"/>
  <c r="AR223" i="97"/>
  <c r="AM226" i="97"/>
  <c r="AL226" i="97"/>
  <c r="AO231" i="97"/>
  <c r="AN231" i="97"/>
  <c r="AI234" i="97"/>
  <c r="AH234" i="97"/>
  <c r="AQ237" i="97"/>
  <c r="AP237" i="97"/>
  <c r="AK239" i="97"/>
  <c r="AJ239" i="97"/>
  <c r="AS246" i="97"/>
  <c r="AR246" i="97"/>
  <c r="AN263" i="97"/>
  <c r="AO263" i="97"/>
  <c r="AM269" i="97"/>
  <c r="AL269" i="97"/>
  <c r="AM273" i="97"/>
  <c r="AL273" i="97"/>
  <c r="AM275" i="97"/>
  <c r="AL275" i="97"/>
  <c r="AM279" i="97"/>
  <c r="AL279" i="97"/>
  <c r="AQ238" i="97"/>
  <c r="AP238" i="97"/>
  <c r="AS239" i="97"/>
  <c r="AR239" i="97"/>
  <c r="AS247" i="97"/>
  <c r="AR247" i="97"/>
  <c r="AI250" i="97"/>
  <c r="AH250" i="97"/>
  <c r="AM252" i="97"/>
  <c r="AL252" i="97"/>
  <c r="AO253" i="97"/>
  <c r="AN253" i="97"/>
  <c r="AI258" i="97"/>
  <c r="AH258" i="97"/>
  <c r="AK259" i="97"/>
  <c r="AJ259" i="97"/>
  <c r="AO261" i="97"/>
  <c r="AN261" i="97"/>
  <c r="AQ275" i="97"/>
  <c r="AP275" i="97"/>
  <c r="AM289" i="97"/>
  <c r="AL289" i="97"/>
  <c r="AM295" i="97"/>
  <c r="AL295" i="97"/>
  <c r="AN304" i="97"/>
  <c r="AO304" i="97"/>
  <c r="AI306" i="97"/>
  <c r="AH306" i="97"/>
  <c r="AI92" i="97"/>
  <c r="AH92" i="97"/>
  <c r="AQ92" i="97"/>
  <c r="AP92" i="97"/>
  <c r="AK97" i="97"/>
  <c r="AJ97" i="97"/>
  <c r="AS97" i="97"/>
  <c r="AR97" i="97"/>
  <c r="AL100" i="97"/>
  <c r="AM100" i="97"/>
  <c r="AO105" i="97"/>
  <c r="AN105" i="97"/>
  <c r="AH108" i="97"/>
  <c r="AI108" i="97"/>
  <c r="AP108" i="97"/>
  <c r="AQ108" i="97"/>
  <c r="AK113" i="97"/>
  <c r="AJ113" i="97"/>
  <c r="AS113" i="97"/>
  <c r="AR113" i="97"/>
  <c r="AL116" i="97"/>
  <c r="AM116" i="97"/>
  <c r="AO121" i="97"/>
  <c r="AN121" i="97"/>
  <c r="AH124" i="97"/>
  <c r="AI124" i="97"/>
  <c r="AP124" i="97"/>
  <c r="AQ124" i="97"/>
  <c r="AK129" i="97"/>
  <c r="AJ129" i="97"/>
  <c r="AS129" i="97"/>
  <c r="AR129" i="97"/>
  <c r="AL132" i="97"/>
  <c r="AM132" i="97"/>
  <c r="AO137" i="97"/>
  <c r="AN137" i="97"/>
  <c r="AH140" i="97"/>
  <c r="AI140" i="97"/>
  <c r="AP140" i="97"/>
  <c r="AQ140" i="97"/>
  <c r="AK145" i="97"/>
  <c r="AJ145" i="97"/>
  <c r="AS145" i="97"/>
  <c r="AR145" i="97"/>
  <c r="AL148" i="97"/>
  <c r="AM148" i="97"/>
  <c r="AO153" i="97"/>
  <c r="AN153" i="97"/>
  <c r="AI156" i="97"/>
  <c r="AH156" i="97"/>
  <c r="AQ156" i="97"/>
  <c r="AP156" i="97"/>
  <c r="AK161" i="97"/>
  <c r="AJ161" i="97"/>
  <c r="AS161" i="97"/>
  <c r="AR161" i="97"/>
  <c r="AM164" i="97"/>
  <c r="AL164" i="97"/>
  <c r="AO169" i="97"/>
  <c r="AN169" i="97"/>
  <c r="AI172" i="97"/>
  <c r="AH172" i="97"/>
  <c r="AQ172" i="97"/>
  <c r="AP172" i="97"/>
  <c r="AK177" i="97"/>
  <c r="AJ177" i="97"/>
  <c r="AS177" i="97"/>
  <c r="AR177" i="97"/>
  <c r="AM180" i="97"/>
  <c r="AL180" i="97"/>
  <c r="AO185" i="97"/>
  <c r="AN185" i="97"/>
  <c r="AI188" i="97"/>
  <c r="AH188" i="97"/>
  <c r="AQ188" i="97"/>
  <c r="AP188" i="97"/>
  <c r="AK193" i="97"/>
  <c r="AJ193" i="97"/>
  <c r="AS193" i="97"/>
  <c r="AR193" i="97"/>
  <c r="AM196" i="97"/>
  <c r="AL196" i="97"/>
  <c r="AO201" i="97"/>
  <c r="AN201" i="97"/>
  <c r="AI204" i="97"/>
  <c r="AH204" i="97"/>
  <c r="AQ204" i="97"/>
  <c r="AP204" i="97"/>
  <c r="AK209" i="97"/>
  <c r="AJ209" i="97"/>
  <c r="AS209" i="97"/>
  <c r="AR209" i="97"/>
  <c r="AM212" i="97"/>
  <c r="AL212" i="97"/>
  <c r="AO217" i="97"/>
  <c r="AN217" i="97"/>
  <c r="AI220" i="97"/>
  <c r="AH220" i="97"/>
  <c r="AQ220" i="97"/>
  <c r="AP220" i="97"/>
  <c r="AK225" i="97"/>
  <c r="AJ225" i="97"/>
  <c r="AS225" i="97"/>
  <c r="AR225" i="97"/>
  <c r="AM228" i="97"/>
  <c r="AL228" i="97"/>
  <c r="AO233" i="97"/>
  <c r="AN233" i="97"/>
  <c r="AS235" i="97"/>
  <c r="AR235" i="97"/>
  <c r="AQ236" i="97"/>
  <c r="AP236" i="97"/>
  <c r="AM238" i="97"/>
  <c r="AL238" i="97"/>
  <c r="AS241" i="97"/>
  <c r="AR241" i="97"/>
  <c r="AN243" i="97"/>
  <c r="AO243" i="97"/>
  <c r="AM244" i="97"/>
  <c r="AL244" i="97"/>
  <c r="AI246" i="97"/>
  <c r="AH246" i="97"/>
  <c r="AO249" i="97"/>
  <c r="AN249" i="97"/>
  <c r="AK251" i="97"/>
  <c r="AJ251" i="97"/>
  <c r="AI252" i="97"/>
  <c r="AH252" i="97"/>
  <c r="AK257" i="97"/>
  <c r="AJ257" i="97"/>
  <c r="AI265" i="97"/>
  <c r="AH265" i="97"/>
  <c r="AJ266" i="97"/>
  <c r="AK266" i="97"/>
  <c r="AQ270" i="97"/>
  <c r="AP270" i="97"/>
  <c r="AQ278" i="97"/>
  <c r="AP278" i="97"/>
  <c r="AS279" i="97"/>
  <c r="AR279" i="97"/>
  <c r="AI290" i="97"/>
  <c r="AH290" i="97"/>
  <c r="AJ291" i="97"/>
  <c r="AK291" i="97"/>
  <c r="AJ299" i="97"/>
  <c r="AK299" i="97"/>
  <c r="AQ303" i="97"/>
  <c r="AP303" i="97"/>
  <c r="AS304" i="97"/>
  <c r="AR304" i="97"/>
  <c r="AI235" i="97"/>
  <c r="AH235" i="97"/>
  <c r="AQ235" i="97"/>
  <c r="AP235" i="97"/>
  <c r="AK240" i="97"/>
  <c r="AJ240" i="97"/>
  <c r="AS240" i="97"/>
  <c r="AR240" i="97"/>
  <c r="AM243" i="97"/>
  <c r="AL243" i="97"/>
  <c r="AO248" i="97"/>
  <c r="AN248" i="97"/>
  <c r="AI251" i="97"/>
  <c r="AH251" i="97"/>
  <c r="AQ251" i="97"/>
  <c r="AP251" i="97"/>
  <c r="AK256" i="97"/>
  <c r="AJ256" i="97"/>
  <c r="AR256" i="97"/>
  <c r="AS256" i="97"/>
  <c r="AM259" i="97"/>
  <c r="AL259" i="97"/>
  <c r="AR268" i="97"/>
  <c r="AS268" i="97"/>
  <c r="AQ269" i="97"/>
  <c r="AP269" i="97"/>
  <c r="AM271" i="97"/>
  <c r="AL271" i="97"/>
  <c r="AS274" i="97"/>
  <c r="AR274" i="97"/>
  <c r="AO276" i="97"/>
  <c r="AN276" i="97"/>
  <c r="AM277" i="97"/>
  <c r="AL277" i="97"/>
  <c r="AI279" i="97"/>
  <c r="AH279" i="97"/>
  <c r="AO282" i="97"/>
  <c r="AN282" i="97"/>
  <c r="AK284" i="97"/>
  <c r="AJ284" i="97"/>
  <c r="AI285" i="97"/>
  <c r="AH285" i="97"/>
  <c r="AJ290" i="97"/>
  <c r="AK290" i="97"/>
  <c r="AQ298" i="97"/>
  <c r="AP298" i="97"/>
  <c r="AR303" i="97"/>
  <c r="AS303" i="97"/>
  <c r="AM306" i="97"/>
  <c r="AL306" i="97"/>
  <c r="AM264" i="97"/>
  <c r="AL264" i="97"/>
  <c r="AO269" i="97"/>
  <c r="AN269" i="97"/>
  <c r="AI272" i="97"/>
  <c r="AH272" i="97"/>
  <c r="AQ272" i="97"/>
  <c r="AP272" i="97"/>
  <c r="AK277" i="97"/>
  <c r="AJ277" i="97"/>
  <c r="AS277" i="97"/>
  <c r="AR277" i="97"/>
  <c r="AM280" i="97"/>
  <c r="AL280" i="97"/>
  <c r="AO285" i="97"/>
  <c r="AN285" i="97"/>
  <c r="AI288" i="97"/>
  <c r="AH288" i="97"/>
  <c r="AQ288" i="97"/>
  <c r="AP288" i="97"/>
  <c r="AJ293" i="97"/>
  <c r="AK293" i="97"/>
  <c r="AR293" i="97"/>
  <c r="AS293" i="97"/>
  <c r="AM296" i="97"/>
  <c r="AL296" i="97"/>
  <c r="AO301" i="97"/>
  <c r="AN301" i="97"/>
  <c r="AI304" i="97"/>
  <c r="AH304" i="97"/>
  <c r="AQ304" i="97"/>
  <c r="AP304" i="97"/>
  <c r="AO102" i="97"/>
  <c r="AN102" i="97"/>
  <c r="AK213" i="97"/>
  <c r="AJ213" i="97"/>
  <c r="AB13" i="98"/>
  <c r="Q21" i="98"/>
  <c r="Q22" i="98" s="1"/>
  <c r="AA22" i="98" s="1"/>
  <c r="G25" i="98"/>
  <c r="H23" i="98"/>
  <c r="G19" i="98"/>
  <c r="J18" i="98"/>
  <c r="H22" i="98"/>
  <c r="I18" i="98"/>
  <c r="H24" i="98"/>
  <c r="AO11" i="97"/>
  <c r="AN11" i="97"/>
  <c r="AH14" i="97"/>
  <c r="AI14" i="97"/>
  <c r="AI21" i="97"/>
  <c r="AH21" i="97"/>
  <c r="AP77" i="97"/>
  <c r="AQ77" i="97"/>
  <c r="AO82" i="97"/>
  <c r="AN82" i="97"/>
  <c r="AK103" i="97"/>
  <c r="AJ103" i="97"/>
  <c r="AS116" i="97"/>
  <c r="AR116" i="97"/>
  <c r="AH127" i="97"/>
  <c r="AI127" i="97"/>
  <c r="AO130" i="97"/>
  <c r="AN130" i="97"/>
  <c r="AS151" i="97"/>
  <c r="AR151" i="97"/>
  <c r="AM183" i="97"/>
  <c r="AL183" i="97"/>
  <c r="AS186" i="97"/>
  <c r="AR186" i="97"/>
  <c r="AI197" i="97"/>
  <c r="AH197" i="97"/>
  <c r="AP210" i="97"/>
  <c r="AQ210" i="97"/>
  <c r="AK231" i="97"/>
  <c r="AJ231" i="97"/>
  <c r="AP234" i="97"/>
  <c r="AQ234" i="97"/>
  <c r="AM258" i="97"/>
  <c r="AL258" i="97"/>
  <c r="AO264" i="97"/>
  <c r="AN264" i="97"/>
  <c r="AR296" i="97"/>
  <c r="AS296" i="97"/>
  <c r="AO8" i="97"/>
  <c r="AN8" i="97"/>
  <c r="AH11" i="97"/>
  <c r="AI11" i="97"/>
  <c r="AK16" i="97"/>
  <c r="AJ16" i="97"/>
  <c r="AK22" i="97"/>
  <c r="AJ22" i="97"/>
  <c r="AP24" i="97"/>
  <c r="AQ24" i="97"/>
  <c r="AS29" i="97"/>
  <c r="AR29" i="97"/>
  <c r="AM32" i="97"/>
  <c r="AL32" i="97"/>
  <c r="AN37" i="97"/>
  <c r="AO37" i="97"/>
  <c r="AI40" i="97"/>
  <c r="AH40" i="97"/>
  <c r="AQ72" i="97"/>
  <c r="AP72" i="97"/>
  <c r="AS77" i="97"/>
  <c r="AR77" i="97"/>
  <c r="AL80" i="97"/>
  <c r="AM80" i="97"/>
  <c r="AO85" i="97"/>
  <c r="AN85" i="97"/>
  <c r="AI88" i="97"/>
  <c r="AH88" i="97"/>
  <c r="AL97" i="97"/>
  <c r="AM97" i="97"/>
  <c r="AK104" i="97"/>
  <c r="AJ104" i="97"/>
  <c r="AO131" i="97"/>
  <c r="AN131" i="97"/>
  <c r="AM155" i="97"/>
  <c r="AL155" i="97"/>
  <c r="AK168" i="97"/>
  <c r="AJ168" i="97"/>
  <c r="AO195" i="97"/>
  <c r="AN195" i="97"/>
  <c r="AI201" i="97"/>
  <c r="AH201" i="97"/>
  <c r="AK203" i="97"/>
  <c r="AJ203" i="97"/>
  <c r="AQ211" i="97"/>
  <c r="AP211" i="97"/>
  <c r="AM222" i="97"/>
  <c r="AL222" i="97"/>
  <c r="AO227" i="97"/>
  <c r="AN227" i="97"/>
  <c r="AM234" i="97"/>
  <c r="AL234" i="97"/>
  <c r="AQ258" i="97"/>
  <c r="AP258" i="97"/>
  <c r="AQ261" i="97"/>
  <c r="AP261" i="97"/>
  <c r="AI277" i="97"/>
  <c r="AH277" i="97"/>
  <c r="AM305" i="97"/>
  <c r="AL305" i="97"/>
  <c r="AK9" i="97"/>
  <c r="AJ9" i="97"/>
  <c r="AS9" i="97"/>
  <c r="AR9" i="97"/>
  <c r="AM12" i="97"/>
  <c r="AL12" i="97"/>
  <c r="AO17" i="97"/>
  <c r="AN17" i="97"/>
  <c r="AS18" i="97"/>
  <c r="AR18" i="97"/>
  <c r="AL21" i="97"/>
  <c r="AM21" i="97"/>
  <c r="AQ33" i="97"/>
  <c r="AP33" i="97"/>
  <c r="AR38" i="97"/>
  <c r="AS38" i="97"/>
  <c r="AM41" i="97"/>
  <c r="AL41" i="97"/>
  <c r="AN46" i="97"/>
  <c r="AO46" i="97"/>
  <c r="AH49" i="97"/>
  <c r="AI49" i="97"/>
  <c r="AJ54" i="97"/>
  <c r="AK54" i="97"/>
  <c r="AP65" i="97"/>
  <c r="AQ65" i="97"/>
  <c r="AS70" i="97"/>
  <c r="AR70" i="97"/>
  <c r="AL73" i="97"/>
  <c r="AM73" i="97"/>
  <c r="AO78" i="97"/>
  <c r="AN78" i="97"/>
  <c r="AH81" i="97"/>
  <c r="AI81" i="97"/>
  <c r="AK86" i="97"/>
  <c r="AJ86" i="97"/>
  <c r="AP101" i="97"/>
  <c r="AQ101" i="97"/>
  <c r="AL103" i="97"/>
  <c r="AM103" i="97"/>
  <c r="AS106" i="97"/>
  <c r="AR106" i="97"/>
  <c r="AO108" i="97"/>
  <c r="AN108" i="97"/>
  <c r="AH117" i="97"/>
  <c r="AI117" i="97"/>
  <c r="AK122" i="97"/>
  <c r="AJ122" i="97"/>
  <c r="AP130" i="97"/>
  <c r="AQ130" i="97"/>
  <c r="AS135" i="97"/>
  <c r="AR135" i="97"/>
  <c r="AH146" i="97"/>
  <c r="AI146" i="97"/>
  <c r="AK151" i="97"/>
  <c r="AJ151" i="97"/>
  <c r="AQ159" i="97"/>
  <c r="AP159" i="97"/>
  <c r="AS164" i="97"/>
  <c r="AR164" i="97"/>
  <c r="AM173" i="97"/>
  <c r="AL173" i="97"/>
  <c r="AI175" i="97"/>
  <c r="AH175" i="97"/>
  <c r="AO178" i="97"/>
  <c r="AN178" i="97"/>
  <c r="AK180" i="97"/>
  <c r="AJ180" i="97"/>
  <c r="AM202" i="97"/>
  <c r="AL202" i="97"/>
  <c r="AO207" i="97"/>
  <c r="AN207" i="97"/>
  <c r="AQ229" i="97"/>
  <c r="AP229" i="97"/>
  <c r="AM231" i="97"/>
  <c r="AL231" i="97"/>
  <c r="AO237" i="97"/>
  <c r="AN237" i="97"/>
  <c r="AS261" i="97"/>
  <c r="AR261" i="97"/>
  <c r="AM297" i="97"/>
  <c r="AL297" i="97"/>
  <c r="AM301" i="97"/>
  <c r="AL301" i="97"/>
  <c r="AQ10" i="97"/>
  <c r="AP10" i="97"/>
  <c r="AS15" i="97"/>
  <c r="AR15" i="97"/>
  <c r="AM18" i="97"/>
  <c r="AL18" i="97"/>
  <c r="AP21" i="97"/>
  <c r="AQ21" i="97"/>
  <c r="AO26" i="97"/>
  <c r="AN26" i="97"/>
  <c r="AI29" i="97"/>
  <c r="AH29" i="97"/>
  <c r="AJ34" i="97"/>
  <c r="AK34" i="97"/>
  <c r="AM61" i="97"/>
  <c r="AL61" i="97"/>
  <c r="AN66" i="97"/>
  <c r="AO66" i="97"/>
  <c r="AH69" i="97"/>
  <c r="AI69" i="97"/>
  <c r="AK74" i="97"/>
  <c r="AJ74" i="97"/>
  <c r="AK82" i="97"/>
  <c r="AJ82" i="97"/>
  <c r="AI85" i="97"/>
  <c r="AH85" i="97"/>
  <c r="AK90" i="97"/>
  <c r="AJ90" i="97"/>
  <c r="AM93" i="97"/>
  <c r="AL93" i="97"/>
  <c r="AK100" i="97"/>
  <c r="AJ100" i="97"/>
  <c r="AO127" i="97"/>
  <c r="AN127" i="97"/>
  <c r="AM157" i="97"/>
  <c r="AL157" i="97"/>
  <c r="AK170" i="97"/>
  <c r="AJ170" i="97"/>
  <c r="AS183" i="97"/>
  <c r="AR183" i="97"/>
  <c r="AI194" i="97"/>
  <c r="AH194" i="97"/>
  <c r="AQ207" i="97"/>
  <c r="AP207" i="97"/>
  <c r="AL221" i="97"/>
  <c r="AM221" i="97"/>
  <c r="AK228" i="97"/>
  <c r="AJ228" i="97"/>
  <c r="AI253" i="97"/>
  <c r="AH253" i="97"/>
  <c r="AQ281" i="97"/>
  <c r="AP281" i="97"/>
  <c r="AS12" i="97"/>
  <c r="AR12" i="97"/>
  <c r="AL15" i="97"/>
  <c r="AM15" i="97"/>
  <c r="AQ64" i="97"/>
  <c r="AP64" i="97"/>
  <c r="AR69" i="97"/>
  <c r="AS69" i="97"/>
  <c r="AL72" i="97"/>
  <c r="AM72" i="97"/>
  <c r="AO77" i="97"/>
  <c r="AN77" i="97"/>
  <c r="AH80" i="97"/>
  <c r="AI80" i="97"/>
  <c r="AK85" i="97"/>
  <c r="AJ85" i="97"/>
  <c r="AK107" i="97"/>
  <c r="AJ107" i="97"/>
  <c r="AS120" i="97"/>
  <c r="AR120" i="97"/>
  <c r="AH131" i="97"/>
  <c r="AI131" i="97"/>
  <c r="AO134" i="97"/>
  <c r="AN134" i="97"/>
  <c r="AM158" i="97"/>
  <c r="AL158" i="97"/>
  <c r="AO160" i="97"/>
  <c r="AN160" i="97"/>
  <c r="AI163" i="97"/>
  <c r="AH163" i="97"/>
  <c r="AI166" i="97"/>
  <c r="AH166" i="97"/>
  <c r="AQ179" i="97"/>
  <c r="AP179" i="97"/>
  <c r="AO10" i="97"/>
  <c r="AN10" i="97"/>
  <c r="AI13" i="97"/>
  <c r="AH13" i="97"/>
  <c r="AP13" i="97"/>
  <c r="AQ13" i="97"/>
  <c r="AK18" i="97"/>
  <c r="AJ18" i="97"/>
  <c r="AP28" i="97"/>
  <c r="AQ28" i="97"/>
  <c r="AR33" i="97"/>
  <c r="AS33" i="97"/>
  <c r="AM36" i="97"/>
  <c r="AL36" i="97"/>
  <c r="AN41" i="97"/>
  <c r="AO41" i="97"/>
  <c r="AI44" i="97"/>
  <c r="AH44" i="97"/>
  <c r="AJ49" i="97"/>
  <c r="AK49" i="97"/>
  <c r="AP60" i="97"/>
  <c r="AQ60" i="97"/>
  <c r="AR65" i="97"/>
  <c r="AS65" i="97"/>
  <c r="AM68" i="97"/>
  <c r="AL68" i="97"/>
  <c r="AO73" i="97"/>
  <c r="AN73" i="97"/>
  <c r="AH76" i="97"/>
  <c r="AI76" i="97"/>
  <c r="AK81" i="97"/>
  <c r="AJ81" i="97"/>
  <c r="AL110" i="97"/>
  <c r="AM110" i="97"/>
  <c r="AO115" i="97"/>
  <c r="AN115" i="97"/>
  <c r="AP137" i="97"/>
  <c r="AQ137" i="97"/>
  <c r="AL139" i="97"/>
  <c r="AM139" i="97"/>
  <c r="AS142" i="97"/>
  <c r="AR142" i="97"/>
  <c r="AO144" i="97"/>
  <c r="AN144" i="97"/>
  <c r="AI153" i="97"/>
  <c r="AH153" i="97"/>
  <c r="AK158" i="97"/>
  <c r="AJ158" i="97"/>
  <c r="AQ166" i="97"/>
  <c r="AP166" i="97"/>
  <c r="AS171" i="97"/>
  <c r="AR171" i="97"/>
  <c r="AI182" i="97"/>
  <c r="AH182" i="97"/>
  <c r="AK187" i="97"/>
  <c r="AJ187" i="97"/>
  <c r="AQ195" i="97"/>
  <c r="AP195" i="97"/>
  <c r="AS200" i="97"/>
  <c r="AR200" i="97"/>
  <c r="AM209" i="97"/>
  <c r="AL209" i="97"/>
  <c r="AI211" i="97"/>
  <c r="AH211" i="97"/>
  <c r="AO214" i="97"/>
  <c r="AN214" i="97"/>
  <c r="AK216" i="97"/>
  <c r="AJ216" i="97"/>
  <c r="AS237" i="97"/>
  <c r="AR237" i="97"/>
  <c r="AM265" i="97"/>
  <c r="AL265" i="97"/>
  <c r="AQ293" i="97"/>
  <c r="AP293" i="97"/>
  <c r="AK23" i="97"/>
  <c r="AJ23" i="97"/>
  <c r="AS23" i="97"/>
  <c r="AR23" i="97"/>
  <c r="AM26" i="97"/>
  <c r="AL26" i="97"/>
  <c r="AN31" i="97"/>
  <c r="AO31" i="97"/>
  <c r="AI34" i="97"/>
  <c r="AH34" i="97"/>
  <c r="AQ34" i="97"/>
  <c r="AP34" i="97"/>
  <c r="AJ39" i="97"/>
  <c r="AK39" i="97"/>
  <c r="AR39" i="97"/>
  <c r="AS39" i="97"/>
  <c r="AL42" i="97"/>
  <c r="AM42" i="97"/>
  <c r="AN47" i="97"/>
  <c r="AO47" i="97"/>
  <c r="AH50" i="97"/>
  <c r="AI50" i="97"/>
  <c r="AQ50" i="97"/>
  <c r="AP50" i="97"/>
  <c r="AJ55" i="97"/>
  <c r="AK55" i="97"/>
  <c r="AR55" i="97"/>
  <c r="AS55" i="97"/>
  <c r="AL58" i="97"/>
  <c r="AM58" i="97"/>
  <c r="AN63" i="97"/>
  <c r="AO63" i="97"/>
  <c r="AH66" i="97"/>
  <c r="AI66" i="97"/>
  <c r="AQ66" i="97"/>
  <c r="AP66" i="97"/>
  <c r="AK71" i="97"/>
  <c r="AJ71" i="97"/>
  <c r="AS71" i="97"/>
  <c r="AR71" i="97"/>
  <c r="AM74" i="97"/>
  <c r="AL74" i="97"/>
  <c r="AO79" i="97"/>
  <c r="AN79" i="97"/>
  <c r="AI82" i="97"/>
  <c r="AH82" i="97"/>
  <c r="AQ82" i="97"/>
  <c r="AP82" i="97"/>
  <c r="AK87" i="97"/>
  <c r="AJ87" i="97"/>
  <c r="AS87" i="97"/>
  <c r="AR87" i="97"/>
  <c r="AM90" i="97"/>
  <c r="AL90" i="97"/>
  <c r="AH91" i="97"/>
  <c r="AI91" i="97"/>
  <c r="AO94" i="97"/>
  <c r="AN94" i="97"/>
  <c r="AK96" i="97"/>
  <c r="AJ96" i="97"/>
  <c r="AH97" i="97"/>
  <c r="AI97" i="97"/>
  <c r="AK102" i="97"/>
  <c r="AJ102" i="97"/>
  <c r="AP110" i="97"/>
  <c r="AQ110" i="97"/>
  <c r="AS115" i="97"/>
  <c r="AR115" i="97"/>
  <c r="AL118" i="97"/>
  <c r="AM118" i="97"/>
  <c r="AO123" i="97"/>
  <c r="AN123" i="97"/>
  <c r="AH126" i="97"/>
  <c r="AI126" i="97"/>
  <c r="AK131" i="97"/>
  <c r="AJ131" i="97"/>
  <c r="AP139" i="97"/>
  <c r="AQ139" i="97"/>
  <c r="AS144" i="97"/>
  <c r="AR144" i="97"/>
  <c r="AP145" i="97"/>
  <c r="AQ145" i="97"/>
  <c r="AL147" i="97"/>
  <c r="AM147" i="97"/>
  <c r="AS150" i="97"/>
  <c r="AR150" i="97"/>
  <c r="AO152" i="97"/>
  <c r="AN152" i="97"/>
  <c r="AM153" i="97"/>
  <c r="AL153" i="97"/>
  <c r="AI155" i="97"/>
  <c r="AH155" i="97"/>
  <c r="AO158" i="97"/>
  <c r="AN158" i="97"/>
  <c r="AK160" i="97"/>
  <c r="AJ160" i="97"/>
  <c r="AI161" i="97"/>
  <c r="AH161" i="97"/>
  <c r="AK166" i="97"/>
  <c r="AJ166" i="97"/>
  <c r="AQ174" i="97"/>
  <c r="AP174" i="97"/>
  <c r="AS179" i="97"/>
  <c r="AR179" i="97"/>
  <c r="AM182" i="97"/>
  <c r="AL182" i="97"/>
  <c r="AO187" i="97"/>
  <c r="AN187" i="97"/>
  <c r="AI190" i="97"/>
  <c r="AH190" i="97"/>
  <c r="AK195" i="97"/>
  <c r="AJ195" i="97"/>
  <c r="AQ203" i="97"/>
  <c r="AP203" i="97"/>
  <c r="AS208" i="97"/>
  <c r="AR208" i="97"/>
  <c r="AQ209" i="97"/>
  <c r="AP209" i="97"/>
  <c r="AM211" i="97"/>
  <c r="AL211" i="97"/>
  <c r="AS214" i="97"/>
  <c r="AR214" i="97"/>
  <c r="AO216" i="97"/>
  <c r="AN216" i="97"/>
  <c r="AM217" i="97"/>
  <c r="AL217" i="97"/>
  <c r="AI219" i="97"/>
  <c r="AH219" i="97"/>
  <c r="AO222" i="97"/>
  <c r="AN222" i="97"/>
  <c r="AK224" i="97"/>
  <c r="AJ224" i="97"/>
  <c r="AI225" i="97"/>
  <c r="AH225" i="97"/>
  <c r="AK230" i="97"/>
  <c r="AJ230" i="97"/>
  <c r="AO234" i="97"/>
  <c r="AN234" i="97"/>
  <c r="AO250" i="97"/>
  <c r="AN250" i="97"/>
  <c r="AK272" i="97"/>
  <c r="AJ272" i="97"/>
  <c r="AN294" i="97"/>
  <c r="AO294" i="97"/>
  <c r="AN300" i="97"/>
  <c r="AO300" i="97"/>
  <c r="AN302" i="97"/>
  <c r="AO302" i="97"/>
  <c r="AK20" i="97"/>
  <c r="AJ20" i="97"/>
  <c r="AS20" i="97"/>
  <c r="AR20" i="97"/>
  <c r="AL23" i="97"/>
  <c r="AM23" i="97"/>
  <c r="AO28" i="97"/>
  <c r="AN28" i="97"/>
  <c r="AH31" i="97"/>
  <c r="AI31" i="97"/>
  <c r="AP31" i="97"/>
  <c r="AQ31" i="97"/>
  <c r="AJ36" i="97"/>
  <c r="AK36" i="97"/>
  <c r="AR36" i="97"/>
  <c r="AS36" i="97"/>
  <c r="AM39" i="97"/>
  <c r="AL39" i="97"/>
  <c r="AN44" i="97"/>
  <c r="AO44" i="97"/>
  <c r="AH47" i="97"/>
  <c r="AI47" i="97"/>
  <c r="AP47" i="97"/>
  <c r="AQ47" i="97"/>
  <c r="AJ52" i="97"/>
  <c r="AK52" i="97"/>
  <c r="AR52" i="97"/>
  <c r="AS52" i="97"/>
  <c r="AM55" i="97"/>
  <c r="AL55" i="97"/>
  <c r="AN60" i="97"/>
  <c r="AO60" i="97"/>
  <c r="AI63" i="97"/>
  <c r="AH63" i="97"/>
  <c r="AP63" i="97"/>
  <c r="AQ63" i="97"/>
  <c r="AJ68" i="97"/>
  <c r="AK68" i="97"/>
  <c r="AR68" i="97"/>
  <c r="AS68" i="97"/>
  <c r="AM71" i="97"/>
  <c r="AL71" i="97"/>
  <c r="AO76" i="97"/>
  <c r="AN76" i="97"/>
  <c r="AH79" i="97"/>
  <c r="AI79" i="97"/>
  <c r="AQ79" i="97"/>
  <c r="AP79" i="97"/>
  <c r="AK84" i="97"/>
  <c r="AJ84" i="97"/>
  <c r="AS84" i="97"/>
  <c r="AR84" i="97"/>
  <c r="AM87" i="97"/>
  <c r="AL87" i="97"/>
  <c r="AK92" i="97"/>
  <c r="AJ92" i="97"/>
  <c r="AH93" i="97"/>
  <c r="AI93" i="97"/>
  <c r="AK98" i="97"/>
  <c r="AJ98" i="97"/>
  <c r="AP106" i="97"/>
  <c r="AQ106" i="97"/>
  <c r="AS111" i="97"/>
  <c r="AR111" i="97"/>
  <c r="AL114" i="97"/>
  <c r="AM114" i="97"/>
  <c r="AO119" i="97"/>
  <c r="AN119" i="97"/>
  <c r="AH122" i="97"/>
  <c r="AI122" i="97"/>
  <c r="AK127" i="97"/>
  <c r="AJ127" i="97"/>
  <c r="AP135" i="97"/>
  <c r="AQ135" i="97"/>
  <c r="AS140" i="97"/>
  <c r="AR140" i="97"/>
  <c r="AP141" i="97"/>
  <c r="AQ141" i="97"/>
  <c r="AL143" i="97"/>
  <c r="AM143" i="97"/>
  <c r="AS146" i="97"/>
  <c r="AR146" i="97"/>
  <c r="AO148" i="97"/>
  <c r="AN148" i="97"/>
  <c r="AL149" i="97"/>
  <c r="AM149" i="97"/>
  <c r="AH151" i="97"/>
  <c r="AI151" i="97"/>
  <c r="AO154" i="97"/>
  <c r="AN154" i="97"/>
  <c r="AK156" i="97"/>
  <c r="AJ156" i="97"/>
  <c r="AI157" i="97"/>
  <c r="AH157" i="97"/>
  <c r="AK162" i="97"/>
  <c r="AJ162" i="97"/>
  <c r="AP170" i="97"/>
  <c r="AQ170" i="97"/>
  <c r="AS175" i="97"/>
  <c r="AR175" i="97"/>
  <c r="AM178" i="97"/>
  <c r="AL178" i="97"/>
  <c r="AO183" i="97"/>
  <c r="AN183" i="97"/>
  <c r="AI186" i="97"/>
  <c r="AH186" i="97"/>
  <c r="AK191" i="97"/>
  <c r="AJ191" i="97"/>
  <c r="AQ199" i="97"/>
  <c r="AP199" i="97"/>
  <c r="AS204" i="97"/>
  <c r="AR204" i="97"/>
  <c r="AQ205" i="97"/>
  <c r="AP205" i="97"/>
  <c r="AM207" i="97"/>
  <c r="AL207" i="97"/>
  <c r="AS210" i="97"/>
  <c r="AR210" i="97"/>
  <c r="AO212" i="97"/>
  <c r="AN212" i="97"/>
  <c r="AL213" i="97"/>
  <c r="AM213" i="97"/>
  <c r="AI215" i="97"/>
  <c r="AH215" i="97"/>
  <c r="AO218" i="97"/>
  <c r="AN218" i="97"/>
  <c r="AK220" i="97"/>
  <c r="AJ220" i="97"/>
  <c r="AI221" i="97"/>
  <c r="AH221" i="97"/>
  <c r="AK226" i="97"/>
  <c r="AJ226" i="97"/>
  <c r="AM237" i="97"/>
  <c r="AL237" i="97"/>
  <c r="AM240" i="97"/>
  <c r="AL240" i="97"/>
  <c r="AI257" i="97"/>
  <c r="AH257" i="97"/>
  <c r="AR264" i="97"/>
  <c r="AS264" i="97"/>
  <c r="AS266" i="97"/>
  <c r="AR266" i="97"/>
  <c r="AR272" i="97"/>
  <c r="AS272" i="97"/>
  <c r="AI289" i="97"/>
  <c r="AH289" i="97"/>
  <c r="AI291" i="97"/>
  <c r="AH291" i="97"/>
  <c r="AI293" i="97"/>
  <c r="AH293" i="97"/>
  <c r="AI299" i="97"/>
  <c r="AH299" i="97"/>
  <c r="AQ240" i="97"/>
  <c r="AP240" i="97"/>
  <c r="AM246" i="97"/>
  <c r="AL246" i="97"/>
  <c r="AO247" i="97"/>
  <c r="AN247" i="97"/>
  <c r="AQ248" i="97"/>
  <c r="AP248" i="97"/>
  <c r="AS249" i="97"/>
  <c r="AR249" i="97"/>
  <c r="AO255" i="97"/>
  <c r="AN255" i="97"/>
  <c r="AI260" i="97"/>
  <c r="AH260" i="97"/>
  <c r="AK261" i="97"/>
  <c r="AJ261" i="97"/>
  <c r="AQ267" i="97"/>
  <c r="AP267" i="97"/>
  <c r="AS270" i="97"/>
  <c r="AR270" i="97"/>
  <c r="AR276" i="97"/>
  <c r="AS276" i="97"/>
  <c r="AM281" i="97"/>
  <c r="AL281" i="97"/>
  <c r="AO290" i="97"/>
  <c r="AN290" i="97"/>
  <c r="AN296" i="97"/>
  <c r="AO296" i="97"/>
  <c r="AJ307" i="97"/>
  <c r="AK307" i="97"/>
  <c r="AK93" i="97"/>
  <c r="AJ93" i="97"/>
  <c r="AS93" i="97"/>
  <c r="AR93" i="97"/>
  <c r="AL96" i="97"/>
  <c r="AM96" i="97"/>
  <c r="AO101" i="97"/>
  <c r="AN101" i="97"/>
  <c r="AH104" i="97"/>
  <c r="AI104" i="97"/>
  <c r="AP104" i="97"/>
  <c r="AQ104" i="97"/>
  <c r="AK109" i="97"/>
  <c r="AJ109" i="97"/>
  <c r="AS109" i="97"/>
  <c r="AR109" i="97"/>
  <c r="AL112" i="97"/>
  <c r="AM112" i="97"/>
  <c r="AO117" i="97"/>
  <c r="AN117" i="97"/>
  <c r="AH120" i="97"/>
  <c r="AI120" i="97"/>
  <c r="AP120" i="97"/>
  <c r="AQ120" i="97"/>
  <c r="AK125" i="97"/>
  <c r="AJ125" i="97"/>
  <c r="AS125" i="97"/>
  <c r="AR125" i="97"/>
  <c r="AL128" i="97"/>
  <c r="AM128" i="97"/>
  <c r="AO133" i="97"/>
  <c r="AN133" i="97"/>
  <c r="AH136" i="97"/>
  <c r="AI136" i="97"/>
  <c r="AP136" i="97"/>
  <c r="AQ136" i="97"/>
  <c r="AK141" i="97"/>
  <c r="AJ141" i="97"/>
  <c r="AS141" i="97"/>
  <c r="AR141" i="97"/>
  <c r="AL144" i="97"/>
  <c r="AM144" i="97"/>
  <c r="AO149" i="97"/>
  <c r="AN149" i="97"/>
  <c r="AH152" i="97"/>
  <c r="AI152" i="97"/>
  <c r="AQ152" i="97"/>
  <c r="AP152" i="97"/>
  <c r="AK157" i="97"/>
  <c r="AJ157" i="97"/>
  <c r="AS157" i="97"/>
  <c r="AR157" i="97"/>
  <c r="AM160" i="97"/>
  <c r="AL160" i="97"/>
  <c r="AO165" i="97"/>
  <c r="AN165" i="97"/>
  <c r="AH168" i="97"/>
  <c r="AI168" i="97"/>
  <c r="AQ168" i="97"/>
  <c r="AP168" i="97"/>
  <c r="AK173" i="97"/>
  <c r="AJ173" i="97"/>
  <c r="AS173" i="97"/>
  <c r="AR173" i="97"/>
  <c r="AM176" i="97"/>
  <c r="AL176" i="97"/>
  <c r="AO181" i="97"/>
  <c r="AN181" i="97"/>
  <c r="AI184" i="97"/>
  <c r="AH184" i="97"/>
  <c r="AQ184" i="97"/>
  <c r="AP184" i="97"/>
  <c r="AK189" i="97"/>
  <c r="AJ189" i="97"/>
  <c r="AS189" i="97"/>
  <c r="AR189" i="97"/>
  <c r="AM192" i="97"/>
  <c r="AL192" i="97"/>
  <c r="AO197" i="97"/>
  <c r="AN197" i="97"/>
  <c r="AH200" i="97"/>
  <c r="AI200" i="97"/>
  <c r="AQ200" i="97"/>
  <c r="AP200" i="97"/>
  <c r="AK205" i="97"/>
  <c r="AJ205" i="97"/>
  <c r="AS205" i="97"/>
  <c r="AR205" i="97"/>
  <c r="AM208" i="97"/>
  <c r="AL208" i="97"/>
  <c r="AO213" i="97"/>
  <c r="AN213" i="97"/>
  <c r="AI216" i="97"/>
  <c r="AH216" i="97"/>
  <c r="AQ216" i="97"/>
  <c r="AP216" i="97"/>
  <c r="AK221" i="97"/>
  <c r="AJ221" i="97"/>
  <c r="AS221" i="97"/>
  <c r="AR221" i="97"/>
  <c r="AM224" i="97"/>
  <c r="AL224" i="97"/>
  <c r="AO229" i="97"/>
  <c r="AN229" i="97"/>
  <c r="AH232" i="97"/>
  <c r="AI232" i="97"/>
  <c r="AQ232" i="97"/>
  <c r="AP232" i="97"/>
  <c r="AJ238" i="97"/>
  <c r="AK238" i="97"/>
  <c r="AQ246" i="97"/>
  <c r="AP246" i="97"/>
  <c r="AS251" i="97"/>
  <c r="AR251" i="97"/>
  <c r="AQ252" i="97"/>
  <c r="AP252" i="97"/>
  <c r="AM254" i="97"/>
  <c r="AL254" i="97"/>
  <c r="AS257" i="97"/>
  <c r="AR257" i="97"/>
  <c r="AN259" i="97"/>
  <c r="AO259" i="97"/>
  <c r="AM260" i="97"/>
  <c r="AL260" i="97"/>
  <c r="AI262" i="97"/>
  <c r="AH262" i="97"/>
  <c r="AM278" i="97"/>
  <c r="AL278" i="97"/>
  <c r="AM286" i="97"/>
  <c r="AL286" i="97"/>
  <c r="AN287" i="97"/>
  <c r="AO287" i="97"/>
  <c r="AQ305" i="97"/>
  <c r="AP305" i="97"/>
  <c r="AK236" i="97"/>
  <c r="AJ236" i="97"/>
  <c r="AS236" i="97"/>
  <c r="AR236" i="97"/>
  <c r="AM239" i="97"/>
  <c r="AL239" i="97"/>
  <c r="AO244" i="97"/>
  <c r="AN244" i="97"/>
  <c r="AI247" i="97"/>
  <c r="AH247" i="97"/>
  <c r="AQ247" i="97"/>
  <c r="AP247" i="97"/>
  <c r="AK252" i="97"/>
  <c r="AJ252" i="97"/>
  <c r="AS252" i="97"/>
  <c r="AR252" i="97"/>
  <c r="AM255" i="97"/>
  <c r="AL255" i="97"/>
  <c r="AO260" i="97"/>
  <c r="AN260" i="97"/>
  <c r="AI263" i="97"/>
  <c r="AH263" i="97"/>
  <c r="AQ263" i="97"/>
  <c r="AP263" i="97"/>
  <c r="AI266" i="97"/>
  <c r="AH266" i="97"/>
  <c r="AK271" i="97"/>
  <c r="AJ271" i="97"/>
  <c r="AQ279" i="97"/>
  <c r="AP279" i="97"/>
  <c r="AR284" i="97"/>
  <c r="AS284" i="97"/>
  <c r="AQ285" i="97"/>
  <c r="AP285" i="97"/>
  <c r="AM287" i="97"/>
  <c r="AL287" i="97"/>
  <c r="AS290" i="97"/>
  <c r="AR290" i="97"/>
  <c r="AN292" i="97"/>
  <c r="AO292" i="97"/>
  <c r="AM293" i="97"/>
  <c r="AL293" i="97"/>
  <c r="AI295" i="97"/>
  <c r="AH295" i="97"/>
  <c r="AN298" i="97"/>
  <c r="AO298" i="97"/>
  <c r="AJ300" i="97"/>
  <c r="AK300" i="97"/>
  <c r="AI301" i="97"/>
  <c r="AH301" i="97"/>
  <c r="AK306" i="97"/>
  <c r="AJ306" i="97"/>
  <c r="AO265" i="97"/>
  <c r="AN265" i="97"/>
  <c r="AI268" i="97"/>
  <c r="AH268" i="97"/>
  <c r="AQ268" i="97"/>
  <c r="AP268" i="97"/>
  <c r="AK273" i="97"/>
  <c r="AJ273" i="97"/>
  <c r="AS273" i="97"/>
  <c r="AR273" i="97"/>
  <c r="AM276" i="97"/>
  <c r="AL276" i="97"/>
  <c r="AO281" i="97"/>
  <c r="AN281" i="97"/>
  <c r="AI284" i="97"/>
  <c r="AH284" i="97"/>
  <c r="AQ284" i="97"/>
  <c r="AP284" i="97"/>
  <c r="AK289" i="97"/>
  <c r="AJ289" i="97"/>
  <c r="AS289" i="97"/>
  <c r="AR289" i="97"/>
  <c r="AM292" i="97"/>
  <c r="AL292" i="97"/>
  <c r="AN297" i="97"/>
  <c r="AO297" i="97"/>
  <c r="AI300" i="97"/>
  <c r="AH300" i="97"/>
  <c r="AQ300" i="97"/>
  <c r="AP300" i="97"/>
  <c r="AJ305" i="97"/>
  <c r="AK305" i="97"/>
  <c r="AR305" i="97"/>
  <c r="AS305" i="97"/>
  <c r="N21" i="98" l="1"/>
  <c r="N22" i="98" s="1"/>
  <c r="X22" i="98" s="1"/>
  <c r="T21" i="98"/>
  <c r="T22" i="98" s="1"/>
  <c r="AD22" i="98" s="1"/>
  <c r="M24" i="98"/>
  <c r="N24" i="98" s="1"/>
  <c r="N25" i="98" s="1"/>
  <c r="X25" i="98" s="1"/>
  <c r="M22" i="98"/>
  <c r="W22" i="98" s="1"/>
  <c r="O21" i="98"/>
  <c r="O22" i="98" s="1"/>
  <c r="Y22" i="98" s="1"/>
  <c r="R21" i="98"/>
  <c r="R22" i="98" s="1"/>
  <c r="AB22" i="98" s="1"/>
  <c r="K24" i="98"/>
  <c r="J24" i="98"/>
  <c r="I24" i="98"/>
  <c r="K22" i="98"/>
  <c r="H19" i="98"/>
  <c r="I19" i="98" s="1"/>
  <c r="K23" i="98"/>
  <c r="G27" i="98"/>
  <c r="I25" i="98"/>
  <c r="J25" i="98"/>
  <c r="U24" i="98"/>
  <c r="U25" i="98" s="1"/>
  <c r="AE25" i="98" s="1"/>
  <c r="R24" i="98"/>
  <c r="R25" i="98" s="1"/>
  <c r="AB25" i="98" s="1"/>
  <c r="K10" i="98"/>
  <c r="J10" i="98"/>
  <c r="G12" i="98"/>
  <c r="H11" i="98"/>
  <c r="M27" i="98" l="1"/>
  <c r="M30" i="98" s="1"/>
  <c r="T24" i="98"/>
  <c r="T25" i="98" s="1"/>
  <c r="AD25" i="98" s="1"/>
  <c r="M25" i="98"/>
  <c r="W25" i="98" s="1"/>
  <c r="Q24" i="98"/>
  <c r="Q25" i="98" s="1"/>
  <c r="AA25" i="98" s="1"/>
  <c r="O24" i="98"/>
  <c r="O25" i="98" s="1"/>
  <c r="Y25" i="98" s="1"/>
  <c r="K11" i="98"/>
  <c r="J11" i="98"/>
  <c r="I11" i="98"/>
  <c r="G13" i="98"/>
  <c r="I12" i="98"/>
  <c r="J12" i="98"/>
  <c r="T27" i="98"/>
  <c r="T28" i="98" s="1"/>
  <c r="AD28" i="98" s="1"/>
  <c r="N27" i="98"/>
  <c r="N28" i="98" s="1"/>
  <c r="X28" i="98" s="1"/>
  <c r="R27" i="98"/>
  <c r="R28" i="98" s="1"/>
  <c r="AB28" i="98" s="1"/>
  <c r="U27" i="98"/>
  <c r="U28" i="98" s="1"/>
  <c r="AE28" i="98" s="1"/>
  <c r="I27" i="98"/>
  <c r="H33" i="98"/>
  <c r="H31" i="98"/>
  <c r="G34" i="98"/>
  <c r="H32" i="98"/>
  <c r="J27" i="98"/>
  <c r="G28" i="98"/>
  <c r="G21" i="98"/>
  <c r="H20" i="98"/>
  <c r="K19" i="98"/>
  <c r="J19" i="98"/>
  <c r="M28" i="98" l="1"/>
  <c r="W28" i="98" s="1"/>
  <c r="Q27" i="98"/>
  <c r="Q28" i="98" s="1"/>
  <c r="AA28" i="98" s="1"/>
  <c r="O27" i="98"/>
  <c r="O28" i="98" s="1"/>
  <c r="Y28" i="98" s="1"/>
  <c r="K20" i="98"/>
  <c r="I20" i="98"/>
  <c r="J20" i="98"/>
  <c r="G22" i="98"/>
  <c r="J22" i="98" s="1"/>
  <c r="I21" i="98"/>
  <c r="J21" i="98"/>
  <c r="H28" i="98"/>
  <c r="I28" i="98" s="1"/>
  <c r="K32" i="98"/>
  <c r="I34" i="98"/>
  <c r="G36" i="98"/>
  <c r="J34" i="98"/>
  <c r="K31" i="98"/>
  <c r="K33" i="98"/>
  <c r="J33" i="98"/>
  <c r="I33" i="98"/>
  <c r="T30" i="98"/>
  <c r="T31" i="98" s="1"/>
  <c r="AD31" i="98" s="1"/>
  <c r="N30" i="98"/>
  <c r="N31" i="98" s="1"/>
  <c r="X31" i="98" s="1"/>
  <c r="M33" i="98"/>
  <c r="M31" i="98"/>
  <c r="W31" i="98" s="1"/>
  <c r="R30" i="98"/>
  <c r="R31" i="98" s="1"/>
  <c r="AB31" i="98" s="1"/>
  <c r="U30" i="98"/>
  <c r="U31" i="98" s="1"/>
  <c r="AE31" i="98" s="1"/>
  <c r="Q30" i="98"/>
  <c r="Q31" i="98" s="1"/>
  <c r="AA31" i="98" s="1"/>
  <c r="O30" i="98"/>
  <c r="O31" i="98" s="1"/>
  <c r="Y31" i="98" s="1"/>
  <c r="G14" i="98"/>
  <c r="I13" i="98"/>
  <c r="J13" i="98"/>
  <c r="I14" i="98" l="1"/>
  <c r="J14" i="98"/>
  <c r="T33" i="98"/>
  <c r="T34" i="98" s="1"/>
  <c r="AD34" i="98" s="1"/>
  <c r="N33" i="98"/>
  <c r="N34" i="98" s="1"/>
  <c r="X34" i="98" s="1"/>
  <c r="M34" i="98"/>
  <c r="W34" i="98" s="1"/>
  <c r="R33" i="98"/>
  <c r="R34" i="98" s="1"/>
  <c r="AB34" i="98" s="1"/>
  <c r="O33" i="98"/>
  <c r="O34" i="98" s="1"/>
  <c r="Y34" i="98" s="1"/>
  <c r="M36" i="98"/>
  <c r="U33" i="98"/>
  <c r="U34" i="98" s="1"/>
  <c r="AE34" i="98" s="1"/>
  <c r="Q33" i="98"/>
  <c r="Q34" i="98" s="1"/>
  <c r="AA34" i="98" s="1"/>
  <c r="H41" i="98"/>
  <c r="G37" i="98"/>
  <c r="J36" i="98"/>
  <c r="H42" i="98"/>
  <c r="H40" i="98"/>
  <c r="I36" i="98"/>
  <c r="G43" i="98"/>
  <c r="H29" i="98"/>
  <c r="K28" i="98"/>
  <c r="J28" i="98"/>
  <c r="G30" i="98"/>
  <c r="G23" i="98"/>
  <c r="I22" i="98"/>
  <c r="I23" i="98" l="1"/>
  <c r="J23" i="98"/>
  <c r="I30" i="98"/>
  <c r="J30" i="98"/>
  <c r="G31" i="98"/>
  <c r="J31" i="98" s="1"/>
  <c r="J29" i="98"/>
  <c r="K29" i="98"/>
  <c r="I29" i="98"/>
  <c r="I43" i="98"/>
  <c r="G45" i="98"/>
  <c r="J43" i="98"/>
  <c r="K40" i="98"/>
  <c r="K42" i="98"/>
  <c r="J42" i="98"/>
  <c r="I42" i="98"/>
  <c r="H37" i="98"/>
  <c r="I37" i="98" s="1"/>
  <c r="K41" i="98"/>
  <c r="Q36" i="98"/>
  <c r="Q37" i="98" s="1"/>
  <c r="AA37" i="98" s="1"/>
  <c r="U36" i="98"/>
  <c r="U37" i="98" s="1"/>
  <c r="AE37" i="98" s="1"/>
  <c r="O36" i="98"/>
  <c r="O37" i="98" s="1"/>
  <c r="Y37" i="98" s="1"/>
  <c r="N36" i="98"/>
  <c r="N37" i="98" s="1"/>
  <c r="X37" i="98" s="1"/>
  <c r="T36" i="98"/>
  <c r="T37" i="98" s="1"/>
  <c r="AD37" i="98" s="1"/>
  <c r="R36" i="98"/>
  <c r="R37" i="98" s="1"/>
  <c r="AB37" i="98" s="1"/>
  <c r="M39" i="98"/>
  <c r="M37" i="98"/>
  <c r="W37" i="98" s="1"/>
  <c r="Q39" i="98" l="1"/>
  <c r="Q40" i="98" s="1"/>
  <c r="AA40" i="98" s="1"/>
  <c r="U39" i="98"/>
  <c r="U40" i="98" s="1"/>
  <c r="AE40" i="98" s="1"/>
  <c r="O39" i="98"/>
  <c r="O40" i="98" s="1"/>
  <c r="Y40" i="98" s="1"/>
  <c r="M40" i="98"/>
  <c r="W40" i="98" s="1"/>
  <c r="R39" i="98"/>
  <c r="R40" i="98" s="1"/>
  <c r="AB40" i="98" s="1"/>
  <c r="N39" i="98"/>
  <c r="N40" i="98" s="1"/>
  <c r="X40" i="98" s="1"/>
  <c r="T39" i="98"/>
  <c r="T40" i="98" s="1"/>
  <c r="AD40" i="98" s="1"/>
  <c r="G39" i="98"/>
  <c r="H38" i="98"/>
  <c r="K37" i="98"/>
  <c r="J37" i="98"/>
  <c r="G52" i="98"/>
  <c r="H51" i="98"/>
  <c r="J45" i="98"/>
  <c r="H50" i="98"/>
  <c r="I45" i="98"/>
  <c r="H49" i="98"/>
  <c r="G46" i="98"/>
  <c r="I31" i="98"/>
  <c r="G32" i="98"/>
  <c r="I32" i="98" l="1"/>
  <c r="J32" i="98"/>
  <c r="H46" i="98"/>
  <c r="I46" i="98" s="1"/>
  <c r="K49" i="98"/>
  <c r="K50" i="98"/>
  <c r="K51" i="98"/>
  <c r="J51" i="98"/>
  <c r="I51" i="98"/>
  <c r="I52" i="98"/>
  <c r="J52" i="98"/>
  <c r="K38" i="98"/>
  <c r="J38" i="98"/>
  <c r="I38" i="98"/>
  <c r="G40" i="98"/>
  <c r="J40" i="98" s="1"/>
  <c r="I39" i="98"/>
  <c r="J39" i="98"/>
  <c r="G41" i="98" l="1"/>
  <c r="I40" i="98"/>
  <c r="G48" i="98"/>
  <c r="H47" i="98"/>
  <c r="K46" i="98"/>
  <c r="J46" i="98"/>
  <c r="I41" i="98" l="1"/>
  <c r="J41" i="98"/>
  <c r="K47" i="98"/>
  <c r="J47" i="98"/>
  <c r="I47" i="98"/>
  <c r="I48" i="98"/>
  <c r="G49" i="98"/>
  <c r="J49" i="98" s="1"/>
  <c r="J48" i="98"/>
  <c r="I49" i="98" l="1"/>
  <c r="G50" i="98"/>
  <c r="I50" i="98" l="1"/>
  <c r="J50" i="98"/>
  <c r="B13" i="2" l="1"/>
  <c r="F18" i="8" a="1"/>
  <c r="N12" i="1"/>
  <c r="C7" i="28"/>
  <c r="G3" i="31"/>
  <c r="F4" i="2" a="1"/>
  <c r="G4" i="2" l="1"/>
  <c r="H11" i="2"/>
  <c r="I18" i="2"/>
  <c r="J25" i="2"/>
  <c r="K32" i="2"/>
  <c r="L39" i="2"/>
  <c r="K10" i="2"/>
  <c r="F20" i="2"/>
  <c r="K29" i="2"/>
  <c r="F39" i="2"/>
  <c r="G10" i="2"/>
  <c r="J11" i="2"/>
  <c r="K25" i="2"/>
  <c r="G38" i="2"/>
  <c r="N16" i="2"/>
  <c r="L29" i="2"/>
  <c r="I7" i="2"/>
  <c r="I35" i="2"/>
  <c r="G26" i="2"/>
  <c r="H17" i="2"/>
  <c r="M41" i="2"/>
  <c r="L34" i="2"/>
  <c r="N9" i="2"/>
  <c r="F17" i="2"/>
  <c r="G24" i="2"/>
  <c r="H31" i="2"/>
  <c r="I38" i="2"/>
  <c r="M8" i="2"/>
  <c r="H18" i="2"/>
  <c r="M27" i="2"/>
  <c r="H37" i="2"/>
  <c r="I8" i="2"/>
  <c r="N7" i="2"/>
  <c r="G23" i="2"/>
  <c r="M35" i="2"/>
  <c r="F14" i="2"/>
  <c r="I27" i="2"/>
  <c r="N39" i="2"/>
  <c r="K30" i="2"/>
  <c r="I21" i="2"/>
  <c r="N10" i="2"/>
  <c r="L37" i="2"/>
  <c r="M6" i="2"/>
  <c r="N13" i="2"/>
  <c r="F21" i="2"/>
  <c r="G28" i="2"/>
  <c r="H35" i="2"/>
  <c r="L4" i="2"/>
  <c r="G14" i="2"/>
  <c r="K23" i="2"/>
  <c r="G33" i="2"/>
  <c r="H4" i="2"/>
  <c r="L13" i="2"/>
  <c r="K17" i="2"/>
  <c r="H30" i="2"/>
  <c r="L5" i="2"/>
  <c r="L21" i="2"/>
  <c r="J34" i="2"/>
  <c r="K19" i="2"/>
  <c r="J7" i="2"/>
  <c r="K35" i="2"/>
  <c r="L26" i="2"/>
  <c r="I17" i="2"/>
  <c r="J5" i="2"/>
  <c r="N33" i="2"/>
  <c r="I31" i="2"/>
  <c r="N27" i="2"/>
  <c r="J14" i="2"/>
  <c r="F11" i="2"/>
  <c r="J18" i="2"/>
  <c r="M9" i="2"/>
  <c r="H33" i="2"/>
  <c r="K9" i="2"/>
  <c r="N40" i="2"/>
  <c r="K28" i="2"/>
  <c r="H24" i="2"/>
  <c r="G21" i="2"/>
  <c r="K15" i="2"/>
  <c r="H23" i="2"/>
  <c r="G17" i="2"/>
  <c r="K5" i="2"/>
  <c r="L25" i="2"/>
  <c r="G6" i="2"/>
  <c r="M10" i="2"/>
  <c r="J19" i="2"/>
  <c r="N5" i="2"/>
  <c r="F13" i="2"/>
  <c r="G20" i="2"/>
  <c r="H27" i="2"/>
  <c r="I34" i="2"/>
  <c r="J41" i="2"/>
  <c r="N12" i="2"/>
  <c r="J22" i="2"/>
  <c r="N31" i="2"/>
  <c r="I41" i="2"/>
  <c r="J12" i="2"/>
  <c r="F16" i="2"/>
  <c r="L28" i="2"/>
  <c r="H41" i="2"/>
  <c r="H20" i="2"/>
  <c r="M32" i="2"/>
  <c r="I16" i="2"/>
  <c r="K41" i="2"/>
  <c r="I32" i="2"/>
  <c r="J23" i="2"/>
  <c r="I13" i="2"/>
  <c r="K4" i="2"/>
  <c r="L11" i="2"/>
  <c r="M18" i="2"/>
  <c r="N25" i="2"/>
  <c r="F33" i="2"/>
  <c r="G40" i="2"/>
  <c r="G11" i="2"/>
  <c r="L20" i="2"/>
  <c r="G30" i="2"/>
  <c r="K39" i="2"/>
  <c r="L10" i="2"/>
  <c r="L12" i="2"/>
  <c r="H26" i="2"/>
  <c r="N38" i="2"/>
  <c r="M17" i="2"/>
  <c r="J30" i="2"/>
  <c r="L9" i="2"/>
  <c r="N36" i="2"/>
  <c r="K27" i="2"/>
  <c r="L18" i="2"/>
  <c r="H6" i="2"/>
  <c r="K8" i="2"/>
  <c r="L15" i="2"/>
  <c r="M22" i="2"/>
  <c r="N29" i="2"/>
  <c r="F37" i="2"/>
  <c r="F7" i="2"/>
  <c r="J16" i="2"/>
  <c r="F26" i="2"/>
  <c r="J35" i="2"/>
  <c r="K6" i="2"/>
  <c r="I4" i="2"/>
  <c r="M20" i="2"/>
  <c r="I33" i="2"/>
  <c r="J10" i="2"/>
  <c r="N24" i="2"/>
  <c r="K37" i="2"/>
  <c r="M25" i="2"/>
  <c r="L16" i="2"/>
  <c r="L41" i="2"/>
  <c r="N32" i="2"/>
  <c r="M23" i="2"/>
  <c r="K12" i="2"/>
  <c r="F41" i="2"/>
  <c r="M40" i="2"/>
  <c r="J40" i="2"/>
  <c r="F40" i="2"/>
  <c r="F30" i="2"/>
  <c r="N6" i="2"/>
  <c r="G37" i="2"/>
  <c r="N17" i="2"/>
  <c r="I37" i="2"/>
  <c r="H7" i="2"/>
  <c r="L35" i="2"/>
  <c r="L33" i="2"/>
  <c r="G41" i="2"/>
  <c r="J39" i="2"/>
  <c r="I30" i="2"/>
  <c r="K26" i="2"/>
  <c r="K21" i="2"/>
  <c r="H38" i="2"/>
  <c r="K34" i="2"/>
  <c r="F25" i="2"/>
  <c r="L7" i="2"/>
  <c r="M14" i="2"/>
  <c r="N21" i="2"/>
  <c r="F29" i="2"/>
  <c r="G36" i="2"/>
  <c r="M5" i="2"/>
  <c r="I15" i="2"/>
  <c r="M24" i="2"/>
  <c r="H34" i="2"/>
  <c r="I5" i="2"/>
  <c r="N14" i="2"/>
  <c r="G19" i="2"/>
  <c r="M31" i="2"/>
  <c r="F8" i="2"/>
  <c r="I23" i="2"/>
  <c r="N35" i="2"/>
  <c r="L22" i="2"/>
  <c r="H12" i="2"/>
  <c r="L38" i="2"/>
  <c r="M29" i="2"/>
  <c r="J20" i="2"/>
  <c r="I6" i="2"/>
  <c r="J13" i="2"/>
  <c r="K20" i="2"/>
  <c r="L27" i="2"/>
  <c r="M34" i="2"/>
  <c r="F4" i="2"/>
  <c r="K13" i="2"/>
  <c r="F23" i="2"/>
  <c r="J32" i="2"/>
  <c r="N41" i="2"/>
  <c r="G13" i="2"/>
  <c r="M16" i="2"/>
  <c r="I29" i="2"/>
  <c r="J4" i="2"/>
  <c r="N20" i="2"/>
  <c r="K33" i="2"/>
  <c r="F18" i="2"/>
  <c r="G5" i="2"/>
  <c r="F34" i="2"/>
  <c r="G25" i="2"/>
  <c r="M15" i="2"/>
  <c r="I10" i="2"/>
  <c r="J17" i="2"/>
  <c r="K24" i="2"/>
  <c r="L31" i="2"/>
  <c r="M38" i="2"/>
  <c r="I9" i="2"/>
  <c r="N18" i="2"/>
  <c r="I28" i="2"/>
  <c r="M37" i="2"/>
  <c r="N8" i="2"/>
  <c r="G9" i="2"/>
  <c r="N23" i="2"/>
  <c r="J36" i="2"/>
  <c r="G15" i="2"/>
  <c r="F28" i="2"/>
  <c r="L40" i="2"/>
  <c r="H32" i="2"/>
  <c r="N22" i="2"/>
  <c r="H13" i="2"/>
  <c r="I39" i="2"/>
  <c r="K31" i="2"/>
  <c r="L19" i="2"/>
  <c r="I12" i="2"/>
  <c r="N11" i="2"/>
  <c r="I19" i="2"/>
  <c r="N30" i="2"/>
  <c r="J28" i="2"/>
  <c r="K22" i="2"/>
  <c r="H28" i="2"/>
  <c r="H39" i="2"/>
  <c r="M28" i="2"/>
  <c r="I14" i="2"/>
  <c r="H5" i="2"/>
  <c r="H14" i="2"/>
  <c r="H10" i="2"/>
  <c r="F9" i="2"/>
  <c r="J37" i="2"/>
  <c r="F36" i="2"/>
  <c r="G34" i="2"/>
  <c r="J27" i="2"/>
  <c r="G22" i="2"/>
  <c r="G32" i="2"/>
  <c r="L24" i="2"/>
  <c r="J9" i="2"/>
  <c r="N37" i="2"/>
  <c r="L36" i="2"/>
  <c r="F35" i="2"/>
  <c r="G29" i="2"/>
  <c r="N26" i="2"/>
  <c r="J29" i="2"/>
  <c r="I25" i="2"/>
  <c r="N19" i="2"/>
  <c r="M36" i="2"/>
  <c r="J31" i="2"/>
  <c r="I26" i="2"/>
  <c r="H21" i="2"/>
  <c r="M13" i="2"/>
  <c r="G31" i="2"/>
  <c r="I20" i="2"/>
  <c r="M21" i="2"/>
  <c r="M4" i="2"/>
  <c r="M33" i="2"/>
  <c r="N4" i="2"/>
  <c r="K11" i="2"/>
  <c r="J38" i="2"/>
  <c r="L17" i="2"/>
  <c r="J26" i="2"/>
  <c r="H15" i="2"/>
  <c r="H9" i="2"/>
  <c r="G12" i="2"/>
  <c r="H40" i="2"/>
  <c r="K38" i="2"/>
  <c r="F32" i="2"/>
  <c r="L14" i="2"/>
  <c r="I36" i="2"/>
  <c r="G27" i="2"/>
  <c r="G39" i="2"/>
  <c r="I22" i="2"/>
  <c r="J15" i="2"/>
  <c r="I40" i="2"/>
  <c r="M11" i="2"/>
  <c r="K18" i="2"/>
  <c r="M26" i="2"/>
  <c r="N28" i="2"/>
  <c r="G7" i="2"/>
  <c r="H25" i="2"/>
  <c r="K16" i="2"/>
  <c r="H8" i="2"/>
  <c r="M7" i="2"/>
  <c r="M12" i="2"/>
  <c r="M19" i="2"/>
  <c r="G8" i="2"/>
  <c r="K36" i="2"/>
  <c r="N34" i="2"/>
  <c r="L32" i="2"/>
  <c r="I24" i="2"/>
  <c r="F5" i="2"/>
  <c r="J33" i="2"/>
  <c r="L30" i="2"/>
  <c r="F27" i="2"/>
  <c r="F12" i="2"/>
  <c r="L8" i="2"/>
  <c r="F15" i="2"/>
  <c r="G35" i="2"/>
  <c r="J21" i="2"/>
  <c r="G16" i="2"/>
  <c r="G18" i="2"/>
  <c r="H16" i="2"/>
  <c r="L23" i="2"/>
  <c r="L6" i="2"/>
  <c r="J8" i="2"/>
  <c r="F6" i="2"/>
  <c r="K14" i="2"/>
  <c r="K40" i="2"/>
  <c r="M39" i="2"/>
  <c r="F38" i="2"/>
  <c r="F19" i="2"/>
  <c r="K7" i="2"/>
  <c r="J24" i="2"/>
  <c r="M30" i="2"/>
  <c r="H22" i="2"/>
  <c r="H36" i="2"/>
  <c r="N15" i="2"/>
  <c r="F24" i="2"/>
  <c r="H19" i="2"/>
  <c r="I11" i="2"/>
  <c r="H29" i="2"/>
  <c r="F22" i="2"/>
  <c r="F31" i="2"/>
  <c r="F10" i="2"/>
  <c r="J6" i="2"/>
  <c r="F18" i="8"/>
  <c r="F25" i="8"/>
  <c r="F19" i="8"/>
  <c r="F30" i="8"/>
  <c r="F36" i="8"/>
  <c r="F34" i="8"/>
  <c r="F27" i="8"/>
  <c r="F35" i="8"/>
  <c r="F26" i="8"/>
  <c r="F33" i="8"/>
  <c r="F31" i="8"/>
  <c r="F21" i="8"/>
  <c r="F32" i="8"/>
  <c r="F23" i="8"/>
  <c r="F24" i="8"/>
  <c r="F28" i="8"/>
  <c r="F22" i="8"/>
  <c r="F29" i="8"/>
  <c r="F20" i="8"/>
  <c r="F37" i="8"/>
  <c r="O5" i="2"/>
  <c r="F3" i="2"/>
  <c r="B13" i="1" l="1"/>
  <c r="K152" i="1"/>
  <c r="K96" i="1"/>
  <c r="K48" i="1"/>
  <c r="K24" i="1" a="1"/>
  <c r="K62" i="1"/>
  <c r="K7" i="1"/>
  <c r="K25" i="1"/>
  <c r="K70" i="1"/>
  <c r="K75" i="1"/>
  <c r="K74" i="1"/>
  <c r="K147" i="1"/>
  <c r="K77" i="1"/>
  <c r="K11" i="1"/>
  <c r="K14" i="1"/>
  <c r="K15" i="1"/>
  <c r="K37" i="1"/>
  <c r="K43" i="1"/>
  <c r="K39" i="1"/>
  <c r="K34" i="1"/>
  <c r="K68" i="1"/>
  <c r="K19" i="1"/>
  <c r="K66" i="1"/>
  <c r="K22" i="1"/>
  <c r="I127" i="1" a="1"/>
  <c r="K9" i="1"/>
  <c r="K65" i="1"/>
  <c r="K16" i="1"/>
  <c r="K13" i="1"/>
  <c r="K71" i="1"/>
  <c r="K69" i="1"/>
  <c r="K28" i="1"/>
  <c r="K164" i="1" a="1"/>
  <c r="K64" i="1"/>
  <c r="K38" i="1"/>
  <c r="K6" i="1"/>
  <c r="I107" i="1" a="1"/>
  <c r="K27" i="1"/>
  <c r="K53" i="1"/>
  <c r="K31" i="1"/>
  <c r="K12" i="1"/>
  <c r="H179" i="1" a="1"/>
  <c r="K60" i="1"/>
  <c r="K40" i="1"/>
  <c r="K76" i="1"/>
  <c r="K63" i="1"/>
  <c r="K78" i="1"/>
  <c r="K100" i="1"/>
  <c r="K42" i="1"/>
  <c r="K103" i="1"/>
  <c r="K45" i="1"/>
  <c r="K99" i="1"/>
  <c r="K21" i="1"/>
  <c r="K30" i="1"/>
  <c r="K50" i="1"/>
  <c r="K26" i="1"/>
  <c r="K57" i="1"/>
  <c r="K35" i="1"/>
  <c r="K46" i="1"/>
  <c r="K49" i="1"/>
  <c r="K95" i="1"/>
  <c r="K55" i="1"/>
  <c r="K149" i="1"/>
  <c r="K8" i="1"/>
  <c r="K102" i="1"/>
  <c r="K67" i="1"/>
  <c r="K33" i="1"/>
  <c r="K104" i="1"/>
  <c r="I82" i="1" a="1"/>
  <c r="K54" i="1"/>
  <c r="K17" i="1"/>
  <c r="K58" i="1"/>
  <c r="K36" i="1"/>
  <c r="K47" i="1"/>
  <c r="K23" i="1"/>
  <c r="K101" i="1"/>
  <c r="K44" i="1"/>
  <c r="K148" i="1"/>
  <c r="K98" i="1"/>
  <c r="K29" i="1"/>
  <c r="K18" i="1"/>
  <c r="K150" i="1"/>
  <c r="K41" i="1"/>
  <c r="K32" i="1"/>
  <c r="K151" i="1"/>
  <c r="K10" i="1"/>
  <c r="K61" i="1"/>
  <c r="K20" i="1"/>
  <c r="K153" i="1"/>
  <c r="K56" i="1"/>
  <c r="K59" i="1"/>
  <c r="K107" i="1" l="1"/>
  <c r="J113" i="1"/>
  <c r="K117" i="1"/>
  <c r="J122" i="1"/>
  <c r="I109" i="1"/>
  <c r="K114" i="1"/>
  <c r="I119" i="1"/>
  <c r="I117" i="1"/>
  <c r="J110" i="1"/>
  <c r="I116" i="1"/>
  <c r="J120" i="1"/>
  <c r="K111" i="1"/>
  <c r="I107" i="1"/>
  <c r="J112" i="1"/>
  <c r="I118" i="1"/>
  <c r="K116" i="1"/>
  <c r="J109" i="1"/>
  <c r="K113" i="1"/>
  <c r="J119" i="1"/>
  <c r="J111" i="1"/>
  <c r="K110" i="1"/>
  <c r="I115" i="1"/>
  <c r="K120" i="1"/>
  <c r="I122" i="1"/>
  <c r="I113" i="1"/>
  <c r="K118" i="1"/>
  <c r="J107" i="1"/>
  <c r="K122" i="1"/>
  <c r="J114" i="1"/>
  <c r="I120" i="1"/>
  <c r="K108" i="1"/>
  <c r="J117" i="1"/>
  <c r="K115" i="1"/>
  <c r="J121" i="1"/>
  <c r="I110" i="1"/>
  <c r="I112" i="1"/>
  <c r="J118" i="1"/>
  <c r="K112" i="1"/>
  <c r="J116" i="1"/>
  <c r="K119" i="1"/>
  <c r="J108" i="1"/>
  <c r="I114" i="1"/>
  <c r="I111" i="1"/>
  <c r="I121" i="1"/>
  <c r="K109" i="1"/>
  <c r="J115" i="1"/>
  <c r="K121" i="1"/>
  <c r="I108" i="1"/>
  <c r="I141" i="1"/>
  <c r="K139" i="1"/>
  <c r="J138" i="1"/>
  <c r="I137" i="1"/>
  <c r="K135" i="1"/>
  <c r="J134" i="1"/>
  <c r="I133" i="1"/>
  <c r="K131" i="1"/>
  <c r="J130" i="1"/>
  <c r="I129" i="1"/>
  <c r="K127" i="1"/>
  <c r="K140" i="1"/>
  <c r="J139" i="1"/>
  <c r="I138" i="1"/>
  <c r="K136" i="1"/>
  <c r="J135" i="1"/>
  <c r="I134" i="1"/>
  <c r="K132" i="1"/>
  <c r="J131" i="1"/>
  <c r="I130" i="1"/>
  <c r="K128" i="1"/>
  <c r="J127" i="1"/>
  <c r="K141" i="1"/>
  <c r="J140" i="1"/>
  <c r="I139" i="1"/>
  <c r="K137" i="1"/>
  <c r="J136" i="1"/>
  <c r="I135" i="1"/>
  <c r="K133" i="1"/>
  <c r="J132" i="1"/>
  <c r="I131" i="1"/>
  <c r="K129" i="1"/>
  <c r="J128" i="1"/>
  <c r="I127" i="1"/>
  <c r="J141" i="1"/>
  <c r="I140" i="1"/>
  <c r="K138" i="1"/>
  <c r="J137" i="1"/>
  <c r="I136" i="1"/>
  <c r="K134" i="1"/>
  <c r="J133" i="1"/>
  <c r="I132" i="1"/>
  <c r="K130" i="1"/>
  <c r="J129" i="1"/>
  <c r="I128" i="1"/>
  <c r="Q173" i="1"/>
  <c r="L169" i="1"/>
  <c r="S169" i="1"/>
  <c r="M173" i="1"/>
  <c r="Q168" i="1"/>
  <c r="O169" i="1"/>
  <c r="K166" i="1"/>
  <c r="Q165" i="1"/>
  <c r="O168" i="1"/>
  <c r="R169" i="1"/>
  <c r="R168" i="1"/>
  <c r="M164" i="1"/>
  <c r="K165" i="1"/>
  <c r="N170" i="1"/>
  <c r="S170" i="1"/>
  <c r="Q171" i="1"/>
  <c r="P170" i="1"/>
  <c r="N164" i="1"/>
  <c r="R165" i="1"/>
  <c r="L167" i="1"/>
  <c r="P173" i="1"/>
  <c r="S164" i="1"/>
  <c r="M166" i="1"/>
  <c r="Q172" i="1"/>
  <c r="K164" i="1"/>
  <c r="Q164" i="1"/>
  <c r="N172" i="1"/>
  <c r="P168" i="1"/>
  <c r="R164" i="1"/>
  <c r="K168" i="1"/>
  <c r="S172" i="1"/>
  <c r="O167" i="1"/>
  <c r="N173" i="1"/>
  <c r="L170" i="1"/>
  <c r="P165" i="1"/>
  <c r="N166" i="1"/>
  <c r="Q169" i="1"/>
  <c r="L165" i="1"/>
  <c r="S165" i="1"/>
  <c r="N165" i="1"/>
  <c r="R171" i="1"/>
  <c r="P172" i="1"/>
  <c r="L173" i="1"/>
  <c r="M165" i="1"/>
  <c r="P167" i="1"/>
  <c r="S168" i="1"/>
  <c r="S171" i="1"/>
  <c r="N167" i="1"/>
  <c r="L168" i="1"/>
  <c r="L171" i="1"/>
  <c r="O170" i="1"/>
  <c r="M171" i="1"/>
  <c r="O172" i="1"/>
  <c r="K170" i="1"/>
  <c r="R170" i="1"/>
  <c r="R166" i="1"/>
  <c r="O173" i="1"/>
  <c r="M172" i="1"/>
  <c r="K173" i="1"/>
  <c r="M169" i="1"/>
  <c r="O165" i="1"/>
  <c r="R167" i="1"/>
  <c r="P169" i="1"/>
  <c r="Q166" i="1"/>
  <c r="S167" i="1"/>
  <c r="L164" i="1"/>
  <c r="K172" i="1"/>
  <c r="P166" i="1"/>
  <c r="M170" i="1"/>
  <c r="P171" i="1"/>
  <c r="L166" i="1"/>
  <c r="N169" i="1"/>
  <c r="Q170" i="1"/>
  <c r="R172" i="1"/>
  <c r="M168" i="1"/>
  <c r="K169" i="1"/>
  <c r="S173" i="1"/>
  <c r="N171" i="1"/>
  <c r="L172" i="1"/>
  <c r="K167" i="1"/>
  <c r="N168" i="1"/>
  <c r="R173" i="1"/>
  <c r="P164" i="1"/>
  <c r="O171" i="1"/>
  <c r="S166" i="1"/>
  <c r="Q167" i="1"/>
  <c r="K171" i="1"/>
  <c r="O166" i="1"/>
  <c r="M167" i="1"/>
  <c r="O164" i="1"/>
  <c r="M91" i="1"/>
  <c r="AB91" i="1"/>
  <c r="O86" i="1"/>
  <c r="S83" i="1"/>
  <c r="AC89" i="1"/>
  <c r="V82" i="1"/>
  <c r="Q82" i="1"/>
  <c r="AD87" i="1"/>
  <c r="L82" i="1"/>
  <c r="U85" i="1"/>
  <c r="AA93" i="1"/>
  <c r="N88" i="1"/>
  <c r="AC88" i="1"/>
  <c r="P83" i="1"/>
  <c r="T92" i="1"/>
  <c r="Z86" i="1"/>
  <c r="V87" i="1"/>
  <c r="U82" i="1"/>
  <c r="AE84" i="1"/>
  <c r="AB88" i="1"/>
  <c r="AB90" i="1"/>
  <c r="T91" i="1"/>
  <c r="AD85" i="1"/>
  <c r="Z82" i="1"/>
  <c r="U89" i="1"/>
  <c r="J82" i="1"/>
  <c r="K85" i="1"/>
  <c r="M87" i="1"/>
  <c r="T82" i="1"/>
  <c r="O89" i="1"/>
  <c r="AD89" i="1"/>
  <c r="Q84" i="1"/>
  <c r="U93" i="1"/>
  <c r="AE87" i="1"/>
  <c r="Z91" i="1"/>
  <c r="Y86" i="1"/>
  <c r="U90" i="1"/>
  <c r="Z88" i="1"/>
  <c r="W84" i="1"/>
  <c r="T90" i="1"/>
  <c r="L91" i="1"/>
  <c r="V85" i="1"/>
  <c r="X93" i="1"/>
  <c r="M89" i="1"/>
  <c r="T93" i="1"/>
  <c r="Y83" i="1"/>
  <c r="T86" i="1"/>
  <c r="V93" i="1"/>
  <c r="J91" i="1"/>
  <c r="AD88" i="1"/>
  <c r="V89" i="1"/>
  <c r="I84" i="1"/>
  <c r="M93" i="1"/>
  <c r="W87" i="1"/>
  <c r="M90" i="1"/>
  <c r="P85" i="1"/>
  <c r="Z87" i="1"/>
  <c r="M92" i="1"/>
  <c r="W86" i="1"/>
  <c r="N90" i="1"/>
  <c r="Z92" i="1"/>
  <c r="R93" i="1"/>
  <c r="AB87" i="1"/>
  <c r="O82" i="1"/>
  <c r="S91" i="1"/>
  <c r="M85" i="1"/>
  <c r="T85" i="1"/>
  <c r="O85" i="1"/>
  <c r="AA89" i="1"/>
  <c r="S90" i="1"/>
  <c r="AC84" i="1"/>
  <c r="K92" i="1"/>
  <c r="T88" i="1"/>
  <c r="O92" i="1"/>
  <c r="AB89" i="1"/>
  <c r="J84" i="1"/>
  <c r="U91" i="1"/>
  <c r="AB85" i="1"/>
  <c r="R92" i="1"/>
  <c r="J93" i="1"/>
  <c r="T87" i="1"/>
  <c r="K87" i="1"/>
  <c r="K91" i="1"/>
  <c r="X84" i="1"/>
  <c r="AA84" i="1"/>
  <c r="AC83" i="1"/>
  <c r="I87" i="1"/>
  <c r="X86" i="1"/>
  <c r="S89" i="1"/>
  <c r="K90" i="1"/>
  <c r="U84" i="1"/>
  <c r="Y93" i="1"/>
  <c r="L88" i="1"/>
  <c r="V91" i="1"/>
  <c r="R87" i="1"/>
  <c r="X82" i="1"/>
  <c r="S93" i="1"/>
  <c r="AC87" i="1"/>
  <c r="U88" i="1"/>
  <c r="AE82" i="1"/>
  <c r="L92" i="1"/>
  <c r="R86" i="1"/>
  <c r="AC86" i="1"/>
  <c r="X89" i="1"/>
  <c r="V83" i="1"/>
  <c r="T84" i="1"/>
  <c r="J87" i="1"/>
  <c r="K89" i="1"/>
  <c r="Z89" i="1"/>
  <c r="M84" i="1"/>
  <c r="Q93" i="1"/>
  <c r="AA87" i="1"/>
  <c r="AC90" i="1"/>
  <c r="I86" i="1"/>
  <c r="L89" i="1"/>
  <c r="AE92" i="1"/>
  <c r="K93" i="1"/>
  <c r="Z93" i="1"/>
  <c r="M88" i="1"/>
  <c r="W82" i="1"/>
  <c r="AA91" i="1"/>
  <c r="AC85" i="1"/>
  <c r="M86" i="1"/>
  <c r="Q87" i="1"/>
  <c r="M82" i="1"/>
  <c r="AA90" i="1"/>
  <c r="AB83" i="1"/>
  <c r="AA92" i="1"/>
  <c r="Q91" i="1"/>
  <c r="I92" i="1"/>
  <c r="S86" i="1"/>
  <c r="AE83" i="1"/>
  <c r="J90" i="1"/>
  <c r="AE93" i="1"/>
  <c r="R88" i="1"/>
  <c r="J89" i="1"/>
  <c r="T83" i="1"/>
  <c r="X92" i="1"/>
  <c r="AD86" i="1"/>
  <c r="K88" i="1"/>
  <c r="N83" i="1"/>
  <c r="X85" i="1"/>
  <c r="N85" i="1"/>
  <c r="P89" i="1"/>
  <c r="I91" i="1"/>
  <c r="X91" i="1"/>
  <c r="K86" i="1"/>
  <c r="K83" i="1"/>
  <c r="Y89" i="1"/>
  <c r="R82" i="1"/>
  <c r="AA85" i="1"/>
  <c r="U87" i="1"/>
  <c r="AE85" i="1"/>
  <c r="W93" i="1"/>
  <c r="J88" i="1"/>
  <c r="Y88" i="1"/>
  <c r="L83" i="1"/>
  <c r="P92" i="1"/>
  <c r="V86" i="1"/>
  <c r="N87" i="1"/>
  <c r="Q90" i="1"/>
  <c r="O84" i="1"/>
  <c r="J92" i="1"/>
  <c r="Y92" i="1"/>
  <c r="L87" i="1"/>
  <c r="Y85" i="1"/>
  <c r="Z90" i="1"/>
  <c r="L84" i="1"/>
  <c r="K84" i="1"/>
  <c r="R91" i="1"/>
  <c r="W85" i="1"/>
  <c r="S87" i="1"/>
  <c r="O93" i="1"/>
  <c r="AD93" i="1"/>
  <c r="Q88" i="1"/>
  <c r="AA82" i="1"/>
  <c r="AE91" i="1"/>
  <c r="J86" i="1"/>
  <c r="U86" i="1"/>
  <c r="O88" i="1"/>
  <c r="AC82" i="1"/>
  <c r="O83" i="1"/>
  <c r="Y91" i="1"/>
  <c r="Q92" i="1"/>
  <c r="AA86" i="1"/>
  <c r="AB84" i="1"/>
  <c r="R90" i="1"/>
  <c r="W83" i="1"/>
  <c r="R83" i="1"/>
  <c r="I90" i="1"/>
  <c r="N84" i="1"/>
  <c r="R89" i="1"/>
  <c r="S82" i="1"/>
  <c r="J83" i="1"/>
  <c r="AE89" i="1"/>
  <c r="W90" i="1"/>
  <c r="J85" i="1"/>
  <c r="W92" i="1"/>
  <c r="X88" i="1"/>
  <c r="S92" i="1"/>
  <c r="N91" i="1"/>
  <c r="Z84" i="1"/>
  <c r="V92" i="1"/>
  <c r="O91" i="1"/>
  <c r="Y87" i="1"/>
  <c r="O90" i="1"/>
  <c r="AD91" i="1"/>
  <c r="N92" i="1"/>
  <c r="AD90" i="1"/>
  <c r="P86" i="1"/>
  <c r="N82" i="1"/>
  <c r="AB86" i="1"/>
  <c r="U92" i="1"/>
  <c r="AA83" i="1"/>
  <c r="P82" i="1"/>
  <c r="P93" i="1"/>
  <c r="L86" i="1"/>
  <c r="S85" i="1"/>
  <c r="AB92" i="1"/>
  <c r="Y82" i="1"/>
  <c r="AE88" i="1"/>
  <c r="N93" i="1"/>
  <c r="I85" i="1"/>
  <c r="W91" i="1"/>
  <c r="Y84" i="1"/>
  <c r="S88" i="1"/>
  <c r="AC92" i="1"/>
  <c r="P84" i="1"/>
  <c r="X90" i="1"/>
  <c r="Q89" i="1"/>
  <c r="I82" i="1"/>
  <c r="AE86" i="1"/>
  <c r="Z83" i="1"/>
  <c r="P90" i="1"/>
  <c r="I89" i="1"/>
  <c r="AD92" i="1"/>
  <c r="V88" i="1"/>
  <c r="O87" i="1"/>
  <c r="AD83" i="1"/>
  <c r="AB82" i="1"/>
  <c r="V84" i="1"/>
  <c r="P88" i="1"/>
  <c r="N86" i="1"/>
  <c r="M83" i="1"/>
  <c r="R84" i="1"/>
  <c r="V90" i="1"/>
  <c r="R85" i="1"/>
  <c r="I93" i="1"/>
  <c r="AA88" i="1"/>
  <c r="X87" i="1"/>
  <c r="L85" i="1"/>
  <c r="U83" i="1"/>
  <c r="AC93" i="1"/>
  <c r="Q83" i="1"/>
  <c r="P87" i="1"/>
  <c r="S84" i="1"/>
  <c r="P91" i="1"/>
  <c r="AB93" i="1"/>
  <c r="T89" i="1"/>
  <c r="Q85" i="1"/>
  <c r="Y90" i="1"/>
  <c r="AE90" i="1"/>
  <c r="L93" i="1"/>
  <c r="I88" i="1"/>
  <c r="N89" i="1"/>
  <c r="AD82" i="1"/>
  <c r="W88" i="1"/>
  <c r="K82" i="1"/>
  <c r="W89" i="1"/>
  <c r="L90" i="1"/>
  <c r="Z85" i="1"/>
  <c r="AC91" i="1"/>
  <c r="AD84" i="1"/>
  <c r="I83" i="1"/>
  <c r="X83" i="1"/>
  <c r="Q86" i="1"/>
  <c r="J183" i="1"/>
  <c r="I183" i="1"/>
  <c r="L180" i="1"/>
  <c r="Q181" i="1"/>
  <c r="H180" i="1"/>
  <c r="M181" i="1"/>
  <c r="H179" i="1"/>
  <c r="K183" i="1"/>
  <c r="O182" i="1"/>
  <c r="Q182" i="1"/>
  <c r="R181" i="1"/>
  <c r="K182" i="1"/>
  <c r="L183" i="1"/>
  <c r="N180" i="1"/>
  <c r="P182" i="1"/>
  <c r="L181" i="1"/>
  <c r="K180" i="1"/>
  <c r="T180" i="1"/>
  <c r="P180" i="1"/>
  <c r="M182" i="1"/>
  <c r="K179" i="1"/>
  <c r="I182" i="1"/>
  <c r="S182" i="1"/>
  <c r="R180" i="1"/>
  <c r="T182" i="1"/>
  <c r="M180" i="1"/>
  <c r="O179" i="1"/>
  <c r="L179" i="1"/>
  <c r="T183" i="1"/>
  <c r="P183" i="1"/>
  <c r="H181" i="1"/>
  <c r="O183" i="1"/>
  <c r="J179" i="1"/>
  <c r="T181" i="1"/>
  <c r="H182" i="1"/>
  <c r="T179" i="1"/>
  <c r="R183" i="1"/>
  <c r="P179" i="1"/>
  <c r="Q183" i="1"/>
  <c r="P181" i="1"/>
  <c r="S183" i="1"/>
  <c r="O180" i="1"/>
  <c r="J182" i="1"/>
  <c r="N179" i="1"/>
  <c r="M179" i="1"/>
  <c r="O181" i="1"/>
  <c r="K181" i="1"/>
  <c r="H183" i="1"/>
  <c r="J180" i="1"/>
  <c r="R179" i="1"/>
  <c r="I180" i="1"/>
  <c r="S179" i="1"/>
  <c r="J181" i="1"/>
  <c r="N181" i="1"/>
  <c r="R182" i="1"/>
  <c r="S181" i="1"/>
  <c r="Q179" i="1"/>
  <c r="S180" i="1"/>
  <c r="M183" i="1"/>
  <c r="N183" i="1"/>
  <c r="Q180" i="1"/>
  <c r="I179" i="1"/>
  <c r="I181" i="1"/>
  <c r="L182" i="1"/>
  <c r="N182" i="1"/>
  <c r="K24" i="1"/>
  <c r="A17" i="31"/>
  <c r="B27" i="7"/>
  <c r="I18" i="8"/>
  <c r="B18" i="29"/>
  <c r="B18" i="28"/>
  <c r="B13" i="3"/>
  <c r="AA97" i="1"/>
  <c r="AE97" i="1"/>
  <c r="X97" i="1"/>
  <c r="I4" i="29" a="1"/>
  <c r="M97" i="1"/>
  <c r="AD97" i="1"/>
  <c r="P97" i="1"/>
  <c r="T97" i="1"/>
  <c r="V97" i="1"/>
  <c r="U97" i="1"/>
  <c r="Q97" i="1"/>
  <c r="H4" i="28" a="1"/>
  <c r="M42" i="1"/>
  <c r="M95" i="1"/>
  <c r="AB97" i="1"/>
  <c r="S97" i="1"/>
  <c r="G4" i="3" a="1"/>
  <c r="L97" i="1"/>
  <c r="K97" i="1"/>
  <c r="Y97" i="1"/>
  <c r="R97" i="1"/>
  <c r="Z97" i="1"/>
  <c r="O97" i="1"/>
  <c r="M77" i="1"/>
  <c r="N97" i="1"/>
  <c r="AC97" i="1"/>
  <c r="M96" i="1"/>
  <c r="W97" i="1"/>
  <c r="M18" i="8" a="1"/>
  <c r="L4" i="28" l="1"/>
  <c r="J7" i="28"/>
  <c r="H10" i="28"/>
  <c r="L12" i="28"/>
  <c r="J15" i="28"/>
  <c r="H18" i="28"/>
  <c r="L20" i="28"/>
  <c r="J23" i="28"/>
  <c r="H26" i="28"/>
  <c r="L28" i="28"/>
  <c r="J31" i="28"/>
  <c r="H34" i="28"/>
  <c r="L36" i="28"/>
  <c r="J36" i="28"/>
  <c r="M7" i="28"/>
  <c r="M11" i="28"/>
  <c r="I15" i="28"/>
  <c r="M19" i="28"/>
  <c r="I23" i="28"/>
  <c r="M25" i="28"/>
  <c r="I29" i="28"/>
  <c r="I4" i="28"/>
  <c r="M6" i="28"/>
  <c r="K9" i="28"/>
  <c r="I12" i="28"/>
  <c r="M14" i="28"/>
  <c r="K17" i="28"/>
  <c r="I20" i="28"/>
  <c r="M22" i="28"/>
  <c r="K25" i="28"/>
  <c r="I28" i="28"/>
  <c r="M30" i="28"/>
  <c r="K33" i="28"/>
  <c r="I36" i="28"/>
  <c r="H25" i="28"/>
  <c r="L27" i="28"/>
  <c r="J30" i="28"/>
  <c r="L33" i="28"/>
  <c r="K8" i="28"/>
  <c r="I17" i="28"/>
  <c r="K30" i="28"/>
  <c r="L5" i="28"/>
  <c r="J8" i="28"/>
  <c r="H11" i="28"/>
  <c r="L13" i="28"/>
  <c r="J16" i="28"/>
  <c r="H19" i="28"/>
  <c r="L21" i="28"/>
  <c r="M35" i="28"/>
  <c r="I35" i="28"/>
  <c r="J5" i="28"/>
  <c r="H8" i="28"/>
  <c r="L10" i="28"/>
  <c r="J13" i="28"/>
  <c r="H16" i="28"/>
  <c r="L18" i="28"/>
  <c r="J21" i="28"/>
  <c r="H24" i="28"/>
  <c r="L26" i="28"/>
  <c r="J29" i="28"/>
  <c r="H32" i="28"/>
  <c r="L34" i="28"/>
  <c r="J32" i="28"/>
  <c r="K4" i="28"/>
  <c r="I9" i="28"/>
  <c r="K12" i="28"/>
  <c r="K16" i="28"/>
  <c r="I21" i="28"/>
  <c r="M23" i="28"/>
  <c r="I27" i="28"/>
  <c r="M29" i="28"/>
  <c r="M4" i="28"/>
  <c r="K7" i="28"/>
  <c r="I10" i="28"/>
  <c r="M12" i="28"/>
  <c r="K15" i="28"/>
  <c r="I18" i="28"/>
  <c r="M20" i="28"/>
  <c r="K23" i="28"/>
  <c r="I26" i="28"/>
  <c r="M28" i="28"/>
  <c r="K31" i="28"/>
  <c r="I34" i="28"/>
  <c r="M36" i="28"/>
  <c r="L25" i="28"/>
  <c r="J28" i="28"/>
  <c r="H31" i="28"/>
  <c r="H35" i="28"/>
  <c r="K10" i="28"/>
  <c r="K18" i="28"/>
  <c r="K32" i="28"/>
  <c r="J6" i="28"/>
  <c r="H9" i="28"/>
  <c r="L11" i="28"/>
  <c r="J14" i="28"/>
  <c r="H17" i="28"/>
  <c r="L19" i="28"/>
  <c r="J22" i="28"/>
  <c r="M33" i="28"/>
  <c r="H6" i="28"/>
  <c r="L8" i="28"/>
  <c r="J11" i="28"/>
  <c r="H14" i="28"/>
  <c r="L16" i="28"/>
  <c r="J19" i="28"/>
  <c r="H22" i="28"/>
  <c r="L24" i="28"/>
  <c r="J27" i="28"/>
  <c r="H30" i="28"/>
  <c r="L32" i="28"/>
  <c r="J35" i="28"/>
  <c r="J34" i="28"/>
  <c r="M5" i="28"/>
  <c r="M9" i="28"/>
  <c r="I13" i="28"/>
  <c r="M17" i="28"/>
  <c r="M21" i="28"/>
  <c r="K24" i="28"/>
  <c r="M27" i="28"/>
  <c r="I31" i="28"/>
  <c r="K5" i="28"/>
  <c r="I8" i="28"/>
  <c r="M10" i="28"/>
  <c r="K13" i="28"/>
  <c r="I16" i="28"/>
  <c r="M18" i="28"/>
  <c r="K21" i="28"/>
  <c r="I24" i="28"/>
  <c r="M26" i="28"/>
  <c r="K29" i="28"/>
  <c r="I32" i="28"/>
  <c r="M34" i="28"/>
  <c r="L23" i="28"/>
  <c r="J26" i="28"/>
  <c r="H29" i="28"/>
  <c r="L31" i="28"/>
  <c r="I5" i="28"/>
  <c r="M13" i="28"/>
  <c r="K20" i="28"/>
  <c r="J4" i="28"/>
  <c r="H7" i="28"/>
  <c r="L9" i="28"/>
  <c r="J12" i="28"/>
  <c r="H15" i="28"/>
  <c r="L17" i="28"/>
  <c r="J20" i="28"/>
  <c r="H23" i="28"/>
  <c r="K36" i="28"/>
  <c r="H4" i="28"/>
  <c r="L6" i="28"/>
  <c r="J9" i="28"/>
  <c r="H12" i="28"/>
  <c r="L14" i="28"/>
  <c r="J17" i="28"/>
  <c r="H20" i="28"/>
  <c r="L22" i="28"/>
  <c r="J25" i="28"/>
  <c r="H28" i="28"/>
  <c r="L30" i="28"/>
  <c r="J33" i="28"/>
  <c r="H36" i="28"/>
  <c r="L35" i="28"/>
  <c r="I7" i="28"/>
  <c r="I11" i="28"/>
  <c r="K14" i="28"/>
  <c r="I19" i="28"/>
  <c r="K22" i="28"/>
  <c r="I25" i="28"/>
  <c r="K28" i="28"/>
  <c r="M31" i="28"/>
  <c r="I6" i="28"/>
  <c r="M8" i="28"/>
  <c r="K11" i="28"/>
  <c r="I14" i="28"/>
  <c r="M16" i="28"/>
  <c r="K19" i="28"/>
  <c r="I22" i="28"/>
  <c r="M24" i="28"/>
  <c r="K27" i="28"/>
  <c r="I30" i="28"/>
  <c r="M32" i="28"/>
  <c r="K35" i="28"/>
  <c r="J24" i="28"/>
  <c r="H27" i="28"/>
  <c r="L29" i="28"/>
  <c r="H33" i="28"/>
  <c r="K6" i="28"/>
  <c r="M15" i="28"/>
  <c r="K26" i="28"/>
  <c r="H5" i="28"/>
  <c r="L7" i="28"/>
  <c r="J10" i="28"/>
  <c r="H13" i="28"/>
  <c r="L15" i="28"/>
  <c r="J18" i="28"/>
  <c r="H21" i="28"/>
  <c r="I33" i="28"/>
  <c r="K34" i="28"/>
  <c r="K4" i="3"/>
  <c r="AA4" i="3"/>
  <c r="Q5" i="3"/>
  <c r="G6" i="3"/>
  <c r="W6" i="3"/>
  <c r="M7" i="3"/>
  <c r="AC7" i="3"/>
  <c r="S8" i="3"/>
  <c r="I9" i="3"/>
  <c r="Y9" i="3"/>
  <c r="O10" i="3"/>
  <c r="AE10" i="3"/>
  <c r="U11" i="3"/>
  <c r="K12" i="3"/>
  <c r="AA12" i="3"/>
  <c r="Q13" i="3"/>
  <c r="G14" i="3"/>
  <c r="W14" i="3"/>
  <c r="M15" i="3"/>
  <c r="AC15" i="3"/>
  <c r="S16" i="3"/>
  <c r="H4" i="3"/>
  <c r="X4" i="3"/>
  <c r="N5" i="3"/>
  <c r="U4" i="3"/>
  <c r="K5" i="3"/>
  <c r="AA5" i="3"/>
  <c r="Q6" i="3"/>
  <c r="G7" i="3"/>
  <c r="W7" i="3"/>
  <c r="M8" i="3"/>
  <c r="AC8" i="3"/>
  <c r="S9" i="3"/>
  <c r="I10" i="3"/>
  <c r="Y10" i="3"/>
  <c r="O11" i="3"/>
  <c r="AE11" i="3"/>
  <c r="U12" i="3"/>
  <c r="K13" i="3"/>
  <c r="AA13" i="3"/>
  <c r="Q14" i="3"/>
  <c r="G15" i="3"/>
  <c r="W15" i="3"/>
  <c r="M16" i="3"/>
  <c r="AC16" i="3"/>
  <c r="P5" i="3"/>
  <c r="V6" i="3"/>
  <c r="AB7" i="3"/>
  <c r="H9" i="3"/>
  <c r="N10" i="3"/>
  <c r="T11" i="3"/>
  <c r="Z12" i="3"/>
  <c r="AF13" i="3"/>
  <c r="L15" i="3"/>
  <c r="R16" i="3"/>
  <c r="P17" i="3"/>
  <c r="AF17" i="3"/>
  <c r="V18" i="3"/>
  <c r="L19" i="3"/>
  <c r="AB19" i="3"/>
  <c r="R20" i="3"/>
  <c r="H21" i="3"/>
  <c r="X21" i="3"/>
  <c r="N22" i="3"/>
  <c r="AD22" i="3"/>
  <c r="T23" i="3"/>
  <c r="H5" i="3"/>
  <c r="R6" i="3"/>
  <c r="X7" i="3"/>
  <c r="AD8" i="3"/>
  <c r="J10" i="3"/>
  <c r="P11" i="3"/>
  <c r="V12" i="3"/>
  <c r="AB13" i="3"/>
  <c r="H15" i="3"/>
  <c r="N16" i="3"/>
  <c r="N17" i="3"/>
  <c r="AD17" i="3"/>
  <c r="T18" i="3"/>
  <c r="J19" i="3"/>
  <c r="Z19" i="3"/>
  <c r="P20" i="3"/>
  <c r="AF20" i="3"/>
  <c r="V21" i="3"/>
  <c r="O4" i="3"/>
  <c r="AE4" i="3"/>
  <c r="U5" i="3"/>
  <c r="K6" i="3"/>
  <c r="AA6" i="3"/>
  <c r="Q7" i="3"/>
  <c r="G8" i="3"/>
  <c r="W8" i="3"/>
  <c r="M9" i="3"/>
  <c r="AC9" i="3"/>
  <c r="S10" i="3"/>
  <c r="I11" i="3"/>
  <c r="Y11" i="3"/>
  <c r="O12" i="3"/>
  <c r="AE12" i="3"/>
  <c r="U13" i="3"/>
  <c r="K14" i="3"/>
  <c r="AA14" i="3"/>
  <c r="Q15" i="3"/>
  <c r="G16" i="3"/>
  <c r="W16" i="3"/>
  <c r="L4" i="3"/>
  <c r="AB4" i="3"/>
  <c r="I4" i="3"/>
  <c r="Y4" i="3"/>
  <c r="O5" i="3"/>
  <c r="AE5" i="3"/>
  <c r="U6" i="3"/>
  <c r="K7" i="3"/>
  <c r="AA7" i="3"/>
  <c r="Q8" i="3"/>
  <c r="G9" i="3"/>
  <c r="W9" i="3"/>
  <c r="M10" i="3"/>
  <c r="AC10" i="3"/>
  <c r="S11" i="3"/>
  <c r="I12" i="3"/>
  <c r="Y12" i="3"/>
  <c r="O13" i="3"/>
  <c r="AE13" i="3"/>
  <c r="U14" i="3"/>
  <c r="K15" i="3"/>
  <c r="AA15" i="3"/>
  <c r="Q16" i="3"/>
  <c r="G17" i="3"/>
  <c r="X5" i="3"/>
  <c r="AD6" i="3"/>
  <c r="J8" i="3"/>
  <c r="P9" i="3"/>
  <c r="V10" i="3"/>
  <c r="AB11" i="3"/>
  <c r="H13" i="3"/>
  <c r="N14" i="3"/>
  <c r="T15" i="3"/>
  <c r="Z16" i="3"/>
  <c r="T17" i="3"/>
  <c r="J18" i="3"/>
  <c r="Z18" i="3"/>
  <c r="P19" i="3"/>
  <c r="AF19" i="3"/>
  <c r="V20" i="3"/>
  <c r="L21" i="3"/>
  <c r="AB21" i="3"/>
  <c r="R22" i="3"/>
  <c r="H23" i="3"/>
  <c r="X23" i="3"/>
  <c r="T5" i="3"/>
  <c r="Z6" i="3"/>
  <c r="AF7" i="3"/>
  <c r="L9" i="3"/>
  <c r="R10" i="3"/>
  <c r="X11" i="3"/>
  <c r="AD12" i="3"/>
  <c r="J14" i="3"/>
  <c r="P15" i="3"/>
  <c r="V16" i="3"/>
  <c r="R17" i="3"/>
  <c r="H18" i="3"/>
  <c r="X18" i="3"/>
  <c r="N19" i="3"/>
  <c r="AD19" i="3"/>
  <c r="T20" i="3"/>
  <c r="J21" i="3"/>
  <c r="Z21" i="3"/>
  <c r="W4" i="3"/>
  <c r="AC5" i="3"/>
  <c r="I7" i="3"/>
  <c r="O8" i="3"/>
  <c r="U9" i="3"/>
  <c r="AA10" i="3"/>
  <c r="G12" i="3"/>
  <c r="M13" i="3"/>
  <c r="S14" i="3"/>
  <c r="Y15" i="3"/>
  <c r="AE16" i="3"/>
  <c r="J5" i="3"/>
  <c r="G5" i="3"/>
  <c r="M6" i="3"/>
  <c r="S7" i="3"/>
  <c r="Y8" i="3"/>
  <c r="AE9" i="3"/>
  <c r="K11" i="3"/>
  <c r="Q12" i="3"/>
  <c r="W13" i="3"/>
  <c r="AC14" i="3"/>
  <c r="I16" i="3"/>
  <c r="Z4" i="3"/>
  <c r="T7" i="3"/>
  <c r="AF9" i="3"/>
  <c r="R12" i="3"/>
  <c r="AD14" i="3"/>
  <c r="L17" i="3"/>
  <c r="R18" i="3"/>
  <c r="X19" i="3"/>
  <c r="AD20" i="3"/>
  <c r="J22" i="3"/>
  <c r="P23" i="3"/>
  <c r="J6" i="3"/>
  <c r="V8" i="3"/>
  <c r="H11" i="3"/>
  <c r="T13" i="3"/>
  <c r="AF15" i="3"/>
  <c r="Z17" i="3"/>
  <c r="AF18" i="3"/>
  <c r="L20" i="3"/>
  <c r="R21" i="3"/>
  <c r="P22" i="3"/>
  <c r="AF22" i="3"/>
  <c r="V23" i="3"/>
  <c r="R5" i="3"/>
  <c r="AD7" i="3"/>
  <c r="P10" i="3"/>
  <c r="AB12" i="3"/>
  <c r="N15" i="3"/>
  <c r="Q17" i="3"/>
  <c r="W18" i="3"/>
  <c r="AC19" i="3"/>
  <c r="I21" i="3"/>
  <c r="O22" i="3"/>
  <c r="U23" i="3"/>
  <c r="P24" i="3"/>
  <c r="AF24" i="3"/>
  <c r="V25" i="3"/>
  <c r="L26" i="3"/>
  <c r="AB26" i="3"/>
  <c r="R27" i="3"/>
  <c r="H28" i="3"/>
  <c r="X28" i="3"/>
  <c r="N29" i="3"/>
  <c r="AD29" i="3"/>
  <c r="L6" i="3"/>
  <c r="X8" i="3"/>
  <c r="J11" i="3"/>
  <c r="V13" i="3"/>
  <c r="H16" i="3"/>
  <c r="AA17" i="3"/>
  <c r="G19" i="3"/>
  <c r="M20" i="3"/>
  <c r="S21" i="3"/>
  <c r="Y22" i="3"/>
  <c r="AE23" i="3"/>
  <c r="U24" i="3"/>
  <c r="K25" i="3"/>
  <c r="AA25" i="3"/>
  <c r="Q26" i="3"/>
  <c r="G27" i="3"/>
  <c r="W27" i="3"/>
  <c r="M28" i="3"/>
  <c r="AC28" i="3"/>
  <c r="M5" i="3"/>
  <c r="AE6" i="3"/>
  <c r="AA8" i="3"/>
  <c r="K10" i="3"/>
  <c r="AC11" i="3"/>
  <c r="Y13" i="3"/>
  <c r="I15" i="3"/>
  <c r="AA16" i="3"/>
  <c r="M4" i="3"/>
  <c r="W5" i="3"/>
  <c r="O7" i="3"/>
  <c r="K9" i="3"/>
  <c r="U10" i="3"/>
  <c r="M12" i="3"/>
  <c r="I14" i="3"/>
  <c r="S15" i="3"/>
  <c r="J4" i="3"/>
  <c r="R8" i="3"/>
  <c r="L11" i="3"/>
  <c r="V14" i="3"/>
  <c r="X17" i="3"/>
  <c r="H19" i="3"/>
  <c r="Z20" i="3"/>
  <c r="V22" i="3"/>
  <c r="R4" i="3"/>
  <c r="N8" i="3"/>
  <c r="AF11" i="3"/>
  <c r="Z14" i="3"/>
  <c r="V17" i="3"/>
  <c r="R19" i="3"/>
  <c r="AB20" i="3"/>
  <c r="L22" i="3"/>
  <c r="J23" i="3"/>
  <c r="AD23" i="3"/>
  <c r="N7" i="3"/>
  <c r="AF10" i="3"/>
  <c r="H14" i="3"/>
  <c r="I17" i="3"/>
  <c r="AE18" i="3"/>
  <c r="S20" i="3"/>
  <c r="G22" i="3"/>
  <c r="AC23" i="3"/>
  <c r="X24" i="3"/>
  <c r="R25" i="3"/>
  <c r="P26" i="3"/>
  <c r="J27" i="3"/>
  <c r="AD27" i="3"/>
  <c r="AB28" i="3"/>
  <c r="V29" i="3"/>
  <c r="V5" i="3"/>
  <c r="N9" i="3"/>
  <c r="P12" i="3"/>
  <c r="R15" i="3"/>
  <c r="I18" i="3"/>
  <c r="W19" i="3"/>
  <c r="K21" i="3"/>
  <c r="G23" i="3"/>
  <c r="M24" i="3"/>
  <c r="G25" i="3"/>
  <c r="AE25" i="3"/>
  <c r="Y26" i="3"/>
  <c r="S27" i="3"/>
  <c r="Q28" i="3"/>
  <c r="K29" i="3"/>
  <c r="AA29" i="3"/>
  <c r="P6" i="3"/>
  <c r="AB8" i="3"/>
  <c r="N11" i="3"/>
  <c r="Z13" i="3"/>
  <c r="L16" i="3"/>
  <c r="AC17" i="3"/>
  <c r="I19" i="3"/>
  <c r="O20" i="3"/>
  <c r="U21" i="3"/>
  <c r="AA22" i="3"/>
  <c r="AF23" i="3"/>
  <c r="V24" i="3"/>
  <c r="L25" i="3"/>
  <c r="AB25" i="3"/>
  <c r="R26" i="3"/>
  <c r="H27" i="3"/>
  <c r="X27" i="3"/>
  <c r="N28" i="3"/>
  <c r="AD28" i="3"/>
  <c r="T29" i="3"/>
  <c r="J30" i="3"/>
  <c r="Z7" i="3"/>
  <c r="O17" i="3"/>
  <c r="M22" i="3"/>
  <c r="U25" i="3"/>
  <c r="G28" i="3"/>
  <c r="L30" i="3"/>
  <c r="AD30" i="3"/>
  <c r="T31" i="3"/>
  <c r="J32" i="3"/>
  <c r="Z32" i="3"/>
  <c r="P33" i="3"/>
  <c r="AF33" i="3"/>
  <c r="V34" i="3"/>
  <c r="L35" i="3"/>
  <c r="AB35" i="3"/>
  <c r="R36" i="3"/>
  <c r="H37" i="3"/>
  <c r="X37" i="3"/>
  <c r="N38" i="3"/>
  <c r="AD38" i="3"/>
  <c r="T39" i="3"/>
  <c r="J40" i="3"/>
  <c r="Z40" i="3"/>
  <c r="P41" i="3"/>
  <c r="AF41" i="3"/>
  <c r="V42" i="3"/>
  <c r="L43" i="3"/>
  <c r="AB43" i="3"/>
  <c r="R44" i="3"/>
  <c r="H45" i="3"/>
  <c r="X45" i="3"/>
  <c r="N46" i="3"/>
  <c r="AD46" i="3"/>
  <c r="T47" i="3"/>
  <c r="J48" i="3"/>
  <c r="Z48" i="3"/>
  <c r="P49" i="3"/>
  <c r="AF49" i="3"/>
  <c r="V50" i="3"/>
  <c r="L51" i="3"/>
  <c r="AB51" i="3"/>
  <c r="R52" i="3"/>
  <c r="H53" i="3"/>
  <c r="N13" i="3"/>
  <c r="I20" i="3"/>
  <c r="S24" i="3"/>
  <c r="AE26" i="3"/>
  <c r="Q29" i="3"/>
  <c r="W30" i="3"/>
  <c r="M31" i="3"/>
  <c r="AC31" i="3"/>
  <c r="S32" i="3"/>
  <c r="I33" i="3"/>
  <c r="Y33" i="3"/>
  <c r="O34" i="3"/>
  <c r="AE34" i="3"/>
  <c r="U35" i="3"/>
  <c r="K36" i="3"/>
  <c r="AA36" i="3"/>
  <c r="Q37" i="3"/>
  <c r="G38" i="3"/>
  <c r="W38" i="3"/>
  <c r="M39" i="3"/>
  <c r="AC39" i="3"/>
  <c r="S40" i="3"/>
  <c r="I41" i="3"/>
  <c r="Y41" i="3"/>
  <c r="O42" i="3"/>
  <c r="AE42" i="3"/>
  <c r="U43" i="3"/>
  <c r="K44" i="3"/>
  <c r="AA44" i="3"/>
  <c r="Q45" i="3"/>
  <c r="G46" i="3"/>
  <c r="W46" i="3"/>
  <c r="M47" i="3"/>
  <c r="AC47" i="3"/>
  <c r="S48" i="3"/>
  <c r="I49" i="3"/>
  <c r="Y49" i="3"/>
  <c r="O50" i="3"/>
  <c r="AE50" i="3"/>
  <c r="U51" i="3"/>
  <c r="K52" i="3"/>
  <c r="G4" i="3"/>
  <c r="O6" i="3"/>
  <c r="K8" i="3"/>
  <c r="W10" i="3"/>
  <c r="W12" i="3"/>
  <c r="AE14" i="3"/>
  <c r="P4" i="3"/>
  <c r="AC4" i="3"/>
  <c r="AC6" i="3"/>
  <c r="O9" i="3"/>
  <c r="W11" i="3"/>
  <c r="S13" i="3"/>
  <c r="AE15" i="3"/>
  <c r="N6" i="3"/>
  <c r="AD10" i="3"/>
  <c r="AB15" i="3"/>
  <c r="N18" i="3"/>
  <c r="N20" i="3"/>
  <c r="Z22" i="3"/>
  <c r="H7" i="3"/>
  <c r="Z10" i="3"/>
  <c r="X15" i="3"/>
  <c r="P18" i="3"/>
  <c r="X20" i="3"/>
  <c r="T22" i="3"/>
  <c r="R23" i="3"/>
  <c r="X6" i="3"/>
  <c r="V11" i="3"/>
  <c r="AD15" i="3"/>
  <c r="O18" i="3"/>
  <c r="AA20" i="3"/>
  <c r="AE22" i="3"/>
  <c r="T24" i="3"/>
  <c r="Z25" i="3"/>
  <c r="X26" i="3"/>
  <c r="Z27" i="3"/>
  <c r="AF28" i="3"/>
  <c r="H30" i="3"/>
  <c r="H8" i="3"/>
  <c r="AF12" i="3"/>
  <c r="K17" i="3"/>
  <c r="O19" i="3"/>
  <c r="AA21" i="3"/>
  <c r="W23" i="3"/>
  <c r="AC24" i="3"/>
  <c r="I26" i="3"/>
  <c r="K27" i="3"/>
  <c r="I28" i="3"/>
  <c r="O29" i="3"/>
  <c r="AD4" i="3"/>
  <c r="L8" i="3"/>
  <c r="AD11" i="3"/>
  <c r="AF14" i="3"/>
  <c r="U17" i="3"/>
  <c r="Q19" i="3"/>
  <c r="AE20" i="3"/>
  <c r="S22" i="3"/>
  <c r="J24" i="3"/>
  <c r="AD24" i="3"/>
  <c r="X25" i="3"/>
  <c r="V26" i="3"/>
  <c r="P27" i="3"/>
  <c r="J28" i="3"/>
  <c r="H29" i="3"/>
  <c r="AB29" i="3"/>
  <c r="L5" i="3"/>
  <c r="U18" i="3"/>
  <c r="O24" i="3"/>
  <c r="Q27" i="3"/>
  <c r="Q30" i="3"/>
  <c r="L31" i="3"/>
  <c r="AF31" i="3"/>
  <c r="AD32" i="3"/>
  <c r="X33" i="3"/>
  <c r="R34" i="3"/>
  <c r="P35" i="3"/>
  <c r="J36" i="3"/>
  <c r="AD36" i="3"/>
  <c r="AB37" i="3"/>
  <c r="V38" i="3"/>
  <c r="P39" i="3"/>
  <c r="N40" i="3"/>
  <c r="H41" i="3"/>
  <c r="AB41" i="3"/>
  <c r="Z42" i="3"/>
  <c r="S6" i="3"/>
  <c r="Q9" i="3"/>
  <c r="S12" i="3"/>
  <c r="U15" i="3"/>
  <c r="AF4" i="3"/>
  <c r="Y6" i="3"/>
  <c r="AA9" i="3"/>
  <c r="AC12" i="3"/>
  <c r="O15" i="3"/>
  <c r="L7" i="3"/>
  <c r="P13" i="3"/>
  <c r="AB17" i="3"/>
  <c r="P21" i="3"/>
  <c r="AB23" i="3"/>
  <c r="AB9" i="3"/>
  <c r="AD16" i="3"/>
  <c r="V19" i="3"/>
  <c r="H22" i="3"/>
  <c r="Z23" i="3"/>
  <c r="J9" i="3"/>
  <c r="X14" i="3"/>
  <c r="M19" i="3"/>
  <c r="Y21" i="3"/>
  <c r="L24" i="3"/>
  <c r="AD25" i="3"/>
  <c r="N27" i="3"/>
  <c r="T28" i="3"/>
  <c r="V4" i="3"/>
  <c r="T10" i="3"/>
  <c r="X16" i="3"/>
  <c r="AE19" i="3"/>
  <c r="Q22" i="3"/>
  <c r="Y24" i="3"/>
  <c r="M26" i="3"/>
  <c r="AA27" i="3"/>
  <c r="G29" i="3"/>
  <c r="Z5" i="3"/>
  <c r="H10" i="3"/>
  <c r="P14" i="3"/>
  <c r="K18" i="3"/>
  <c r="G20" i="3"/>
  <c r="K22" i="3"/>
  <c r="N24" i="3"/>
  <c r="P25" i="3"/>
  <c r="N26" i="3"/>
  <c r="T27" i="3"/>
  <c r="V28" i="3"/>
  <c r="X29" i="3"/>
  <c r="L10" i="3"/>
  <c r="G21" i="3"/>
  <c r="AA26" i="3"/>
  <c r="V30" i="3"/>
  <c r="X31" i="3"/>
  <c r="V32" i="3"/>
  <c r="AB33" i="3"/>
  <c r="AD34" i="3"/>
  <c r="AF35" i="3"/>
  <c r="L37" i="3"/>
  <c r="J38" i="3"/>
  <c r="L39" i="3"/>
  <c r="R40" i="3"/>
  <c r="T41" i="3"/>
  <c r="R42" i="3"/>
  <c r="T43" i="3"/>
  <c r="N44" i="3"/>
  <c r="L45" i="3"/>
  <c r="AF45" i="3"/>
  <c r="Z46" i="3"/>
  <c r="X47" i="3"/>
  <c r="R48" i="3"/>
  <c r="L49" i="3"/>
  <c r="S4" i="3"/>
  <c r="U7" i="3"/>
  <c r="G10" i="3"/>
  <c r="I13" i="3"/>
  <c r="K16" i="3"/>
  <c r="Q4" i="3"/>
  <c r="AE7" i="3"/>
  <c r="Q10" i="3"/>
  <c r="G13" i="3"/>
  <c r="U16" i="3"/>
  <c r="Z8" i="3"/>
  <c r="X13" i="3"/>
  <c r="AD18" i="3"/>
  <c r="T21" i="3"/>
  <c r="AB5" i="3"/>
  <c r="N12" i="3"/>
  <c r="J17" i="3"/>
  <c r="H20" i="3"/>
  <c r="X22" i="3"/>
  <c r="N4" i="3"/>
  <c r="Z9" i="3"/>
  <c r="T16" i="3"/>
  <c r="U19" i="3"/>
  <c r="W22" i="3"/>
  <c r="AB24" i="3"/>
  <c r="H26" i="3"/>
  <c r="V27" i="3"/>
  <c r="J29" i="3"/>
  <c r="AB6" i="3"/>
  <c r="Z11" i="3"/>
  <c r="S17" i="3"/>
  <c r="U20" i="3"/>
  <c r="O23" i="3"/>
  <c r="O25" i="3"/>
  <c r="U26" i="3"/>
  <c r="AE27" i="3"/>
  <c r="S29" i="3"/>
  <c r="AF6" i="3"/>
  <c r="X10" i="3"/>
  <c r="V15" i="3"/>
  <c r="S18" i="3"/>
  <c r="W20" i="3"/>
  <c r="I23" i="3"/>
  <c r="R24" i="3"/>
  <c r="T25" i="3"/>
  <c r="Z26" i="3"/>
  <c r="AB27" i="3"/>
  <c r="Z28" i="3"/>
  <c r="AF29" i="3"/>
  <c r="X12" i="3"/>
  <c r="S23" i="3"/>
  <c r="W28" i="3"/>
  <c r="Z30" i="3"/>
  <c r="AB31" i="3"/>
  <c r="H33" i="3"/>
  <c r="J34" i="3"/>
  <c r="H35" i="3"/>
  <c r="N36" i="3"/>
  <c r="P37" i="3"/>
  <c r="R38" i="3"/>
  <c r="X39" i="3"/>
  <c r="V40" i="3"/>
  <c r="X41" i="3"/>
  <c r="AD42" i="3"/>
  <c r="X43" i="3"/>
  <c r="V44" i="3"/>
  <c r="P45" i="3"/>
  <c r="J46" i="3"/>
  <c r="H47" i="3"/>
  <c r="AB47" i="3"/>
  <c r="V48" i="3"/>
  <c r="T49" i="3"/>
  <c r="N50" i="3"/>
  <c r="H51" i="3"/>
  <c r="AF51" i="3"/>
  <c r="Z52" i="3"/>
  <c r="AB10" i="3"/>
  <c r="O21" i="3"/>
  <c r="Y25" i="3"/>
  <c r="AA28" i="3"/>
  <c r="AA30" i="3"/>
  <c r="U31" i="3"/>
  <c r="O32" i="3"/>
  <c r="M33" i="3"/>
  <c r="G34" i="3"/>
  <c r="AA34" i="3"/>
  <c r="Y35" i="3"/>
  <c r="S36" i="3"/>
  <c r="M37" i="3"/>
  <c r="K38" i="3"/>
  <c r="AE38" i="3"/>
  <c r="Y39" i="3"/>
  <c r="W40" i="3"/>
  <c r="Q41" i="3"/>
  <c r="K42" i="3"/>
  <c r="I43" i="3"/>
  <c r="AC43" i="3"/>
  <c r="W44" i="3"/>
  <c r="U45" i="3"/>
  <c r="O46" i="3"/>
  <c r="I47" i="3"/>
  <c r="G48" i="3"/>
  <c r="AA48" i="3"/>
  <c r="U49" i="3"/>
  <c r="S50" i="3"/>
  <c r="M51" i="3"/>
  <c r="G52" i="3"/>
  <c r="AA52" i="3"/>
  <c r="AF8" i="3"/>
  <c r="AE17" i="3"/>
  <c r="AC22" i="3"/>
  <c r="AC25" i="3"/>
  <c r="O28" i="3"/>
  <c r="O30" i="3"/>
  <c r="AF30" i="3"/>
  <c r="V31" i="3"/>
  <c r="L32" i="3"/>
  <c r="AB32" i="3"/>
  <c r="R33" i="3"/>
  <c r="H34" i="3"/>
  <c r="X34" i="3"/>
  <c r="N35" i="3"/>
  <c r="AD35" i="3"/>
  <c r="T36" i="3"/>
  <c r="J37" i="3"/>
  <c r="Z37" i="3"/>
  <c r="P38" i="3"/>
  <c r="AF38" i="3"/>
  <c r="V39" i="3"/>
  <c r="L40" i="3"/>
  <c r="AB40" i="3"/>
  <c r="R41" i="3"/>
  <c r="H42" i="3"/>
  <c r="X42" i="3"/>
  <c r="N43" i="3"/>
  <c r="AD43" i="3"/>
  <c r="T44" i="3"/>
  <c r="J45" i="3"/>
  <c r="Z45" i="3"/>
  <c r="P46" i="3"/>
  <c r="AF46" i="3"/>
  <c r="V47" i="3"/>
  <c r="L48" i="3"/>
  <c r="AB48" i="3"/>
  <c r="R49" i="3"/>
  <c r="H50" i="3"/>
  <c r="X50" i="3"/>
  <c r="N51" i="3"/>
  <c r="AD51" i="3"/>
  <c r="T52" i="3"/>
  <c r="J53" i="3"/>
  <c r="Q25" i="3"/>
  <c r="S31" i="3"/>
  <c r="AE33" i="3"/>
  <c r="Q36" i="3"/>
  <c r="AC38" i="3"/>
  <c r="O41" i="3"/>
  <c r="AA43" i="3"/>
  <c r="M46" i="3"/>
  <c r="Y48" i="3"/>
  <c r="K51" i="3"/>
  <c r="N53" i="3"/>
  <c r="AD53" i="3"/>
  <c r="T54" i="3"/>
  <c r="J55" i="3"/>
  <c r="Z55" i="3"/>
  <c r="P56" i="3"/>
  <c r="AF56" i="3"/>
  <c r="V57" i="3"/>
  <c r="L58" i="3"/>
  <c r="AE8" i="3"/>
  <c r="O14" i="3"/>
  <c r="I6" i="3"/>
  <c r="AA11" i="3"/>
  <c r="AF5" i="3"/>
  <c r="H17" i="3"/>
  <c r="L23" i="3"/>
  <c r="R14" i="3"/>
  <c r="AD21" i="3"/>
  <c r="T8" i="3"/>
  <c r="G18" i="3"/>
  <c r="H24" i="3"/>
  <c r="AF26" i="3"/>
  <c r="Z29" i="3"/>
  <c r="AB14" i="3"/>
  <c r="I22" i="3"/>
  <c r="W25" i="3"/>
  <c r="Y28" i="3"/>
  <c r="R9" i="3"/>
  <c r="M17" i="3"/>
  <c r="AC21" i="3"/>
  <c r="H25" i="3"/>
  <c r="L27" i="3"/>
  <c r="P29" i="3"/>
  <c r="AA19" i="3"/>
  <c r="AC29" i="3"/>
  <c r="R32" i="3"/>
  <c r="Z34" i="3"/>
  <c r="Z36" i="3"/>
  <c r="H39" i="3"/>
  <c r="L41" i="3"/>
  <c r="P43" i="3"/>
  <c r="AD44" i="3"/>
  <c r="V46" i="3"/>
  <c r="N48" i="3"/>
  <c r="AB49" i="3"/>
  <c r="AD50" i="3"/>
  <c r="J52" i="3"/>
  <c r="AD5" i="3"/>
  <c r="AC18" i="3"/>
  <c r="O26" i="3"/>
  <c r="M30" i="3"/>
  <c r="Q31" i="3"/>
  <c r="W32" i="3"/>
  <c r="U33" i="3"/>
  <c r="W34" i="3"/>
  <c r="AC35" i="3"/>
  <c r="AE36" i="3"/>
  <c r="AC37" i="3"/>
  <c r="I39" i="3"/>
  <c r="K40" i="3"/>
  <c r="M41" i="3"/>
  <c r="S42" i="3"/>
  <c r="Q43" i="3"/>
  <c r="S44" i="3"/>
  <c r="Y45" i="3"/>
  <c r="AA46" i="3"/>
  <c r="Y47" i="3"/>
  <c r="AE48" i="3"/>
  <c r="G50" i="3"/>
  <c r="I51" i="3"/>
  <c r="O52" i="3"/>
  <c r="I53" i="3"/>
  <c r="P16" i="3"/>
  <c r="G24" i="3"/>
  <c r="I27" i="3"/>
  <c r="I30" i="3"/>
  <c r="J31" i="3"/>
  <c r="AD31" i="3"/>
  <c r="X32" i="3"/>
  <c r="V33" i="3"/>
  <c r="P34" i="3"/>
  <c r="J35" i="3"/>
  <c r="H36" i="3"/>
  <c r="AB36" i="3"/>
  <c r="V37" i="3"/>
  <c r="T38" i="3"/>
  <c r="N39" i="3"/>
  <c r="H40" i="3"/>
  <c r="AF40" i="3"/>
  <c r="Z41" i="3"/>
  <c r="T42" i="3"/>
  <c r="R43" i="3"/>
  <c r="L44" i="3"/>
  <c r="AF44" i="3"/>
  <c r="AD45" i="3"/>
  <c r="X46" i="3"/>
  <c r="R47" i="3"/>
  <c r="P48" i="3"/>
  <c r="J49" i="3"/>
  <c r="AD49" i="3"/>
  <c r="AB50" i="3"/>
  <c r="V51" i="3"/>
  <c r="P52" i="3"/>
  <c r="J7" i="3"/>
  <c r="K30" i="3"/>
  <c r="O33" i="3"/>
  <c r="G37" i="3"/>
  <c r="I40" i="3"/>
  <c r="K43" i="3"/>
  <c r="AC46" i="3"/>
  <c r="AE49" i="3"/>
  <c r="G53" i="3"/>
  <c r="H54" i="3"/>
  <c r="AB54" i="3"/>
  <c r="V55" i="3"/>
  <c r="T56" i="3"/>
  <c r="N57" i="3"/>
  <c r="H58" i="3"/>
  <c r="AB58" i="3"/>
  <c r="R59" i="3"/>
  <c r="H60" i="3"/>
  <c r="X60" i="3"/>
  <c r="N61" i="3"/>
  <c r="AD61" i="3"/>
  <c r="T62" i="3"/>
  <c r="J63" i="3"/>
  <c r="Z63" i="3"/>
  <c r="P64" i="3"/>
  <c r="AF64" i="3"/>
  <c r="V65" i="3"/>
  <c r="L66" i="3"/>
  <c r="AB66" i="3"/>
  <c r="R67" i="3"/>
  <c r="H68" i="3"/>
  <c r="X68" i="3"/>
  <c r="N69" i="3"/>
  <c r="AD69" i="3"/>
  <c r="T70" i="3"/>
  <c r="J71" i="3"/>
  <c r="Z71" i="3"/>
  <c r="P72" i="3"/>
  <c r="V9" i="3"/>
  <c r="S28" i="3"/>
  <c r="M32" i="3"/>
  <c r="Y34" i="3"/>
  <c r="K37" i="3"/>
  <c r="W39" i="3"/>
  <c r="I42" i="3"/>
  <c r="U44" i="3"/>
  <c r="G47" i="3"/>
  <c r="S49" i="3"/>
  <c r="AE51" i="3"/>
  <c r="S53" i="3"/>
  <c r="I54" i="3"/>
  <c r="Y54" i="3"/>
  <c r="O55" i="3"/>
  <c r="AE55" i="3"/>
  <c r="U56" i="3"/>
  <c r="K57" i="3"/>
  <c r="AA57" i="3"/>
  <c r="Q58" i="3"/>
  <c r="G59" i="3"/>
  <c r="W59" i="3"/>
  <c r="M60" i="3"/>
  <c r="AC60" i="3"/>
  <c r="S61" i="3"/>
  <c r="I62" i="3"/>
  <c r="Y62" i="3"/>
  <c r="O63" i="3"/>
  <c r="AE63" i="3"/>
  <c r="U64" i="3"/>
  <c r="K65" i="3"/>
  <c r="AA65" i="3"/>
  <c r="Q66" i="3"/>
  <c r="G67" i="3"/>
  <c r="W67" i="3"/>
  <c r="M68" i="3"/>
  <c r="AC68" i="3"/>
  <c r="S69" i="3"/>
  <c r="I70" i="3"/>
  <c r="Y70" i="3"/>
  <c r="O71" i="3"/>
  <c r="AE71" i="3"/>
  <c r="U72" i="3"/>
  <c r="K24" i="3"/>
  <c r="K31" i="3"/>
  <c r="W33" i="3"/>
  <c r="I36" i="3"/>
  <c r="U38" i="3"/>
  <c r="G41" i="3"/>
  <c r="S43" i="3"/>
  <c r="AE45" i="3"/>
  <c r="Q48" i="3"/>
  <c r="AC50" i="3"/>
  <c r="L53" i="3"/>
  <c r="AB53" i="3"/>
  <c r="R54" i="3"/>
  <c r="H55" i="3"/>
  <c r="X55" i="3"/>
  <c r="N56" i="3"/>
  <c r="AD56" i="3"/>
  <c r="T57" i="3"/>
  <c r="J58" i="3"/>
  <c r="Z58" i="3"/>
  <c r="P59" i="3"/>
  <c r="AF59" i="3"/>
  <c r="V60" i="3"/>
  <c r="L61" i="3"/>
  <c r="AB61" i="3"/>
  <c r="R62" i="3"/>
  <c r="H63" i="3"/>
  <c r="X63" i="3"/>
  <c r="N64" i="3"/>
  <c r="AD64" i="3"/>
  <c r="T65" i="3"/>
  <c r="J66" i="3"/>
  <c r="Z66" i="3"/>
  <c r="P67" i="3"/>
  <c r="AF67" i="3"/>
  <c r="V68" i="3"/>
  <c r="L69" i="3"/>
  <c r="AB69" i="3"/>
  <c r="R70" i="3"/>
  <c r="H71" i="3"/>
  <c r="X71" i="3"/>
  <c r="N72" i="3"/>
  <c r="T14" i="3"/>
  <c r="S37" i="3"/>
  <c r="O47" i="3"/>
  <c r="K54" i="3"/>
  <c r="W56" i="3"/>
  <c r="I59" i="3"/>
  <c r="U61" i="3"/>
  <c r="G64" i="3"/>
  <c r="S66" i="3"/>
  <c r="AE68" i="3"/>
  <c r="Q71" i="3"/>
  <c r="I73" i="3"/>
  <c r="Y73" i="3"/>
  <c r="O74" i="3"/>
  <c r="AE74" i="3"/>
  <c r="U75" i="3"/>
  <c r="K76" i="3"/>
  <c r="AA76" i="3"/>
  <c r="Q77" i="3"/>
  <c r="G78" i="3"/>
  <c r="W78" i="3"/>
  <c r="M79" i="3"/>
  <c r="AC79" i="3"/>
  <c r="S80" i="3"/>
  <c r="I81" i="3"/>
  <c r="Y81" i="3"/>
  <c r="O82" i="3"/>
  <c r="AE82" i="3"/>
  <c r="U83" i="3"/>
  <c r="K84" i="3"/>
  <c r="AA84" i="3"/>
  <c r="Q85" i="3"/>
  <c r="G86" i="3"/>
  <c r="W86" i="3"/>
  <c r="M87" i="3"/>
  <c r="AC87" i="3"/>
  <c r="S88" i="3"/>
  <c r="I89" i="3"/>
  <c r="Y89" i="3"/>
  <c r="O90" i="3"/>
  <c r="AE90" i="3"/>
  <c r="U91" i="3"/>
  <c r="K92" i="3"/>
  <c r="Y20" i="3"/>
  <c r="I38" i="3"/>
  <c r="AE47" i="3"/>
  <c r="O54" i="3"/>
  <c r="AA56" i="3"/>
  <c r="M59" i="3"/>
  <c r="Y61" i="3"/>
  <c r="K64" i="3"/>
  <c r="W66" i="3"/>
  <c r="I69" i="3"/>
  <c r="U71" i="3"/>
  <c r="J73" i="3"/>
  <c r="Z73" i="3"/>
  <c r="P74" i="3"/>
  <c r="AF74" i="3"/>
  <c r="V75" i="3"/>
  <c r="L76" i="3"/>
  <c r="AB76" i="3"/>
  <c r="R77" i="3"/>
  <c r="H78" i="3"/>
  <c r="X78" i="3"/>
  <c r="N79" i="3"/>
  <c r="AD79" i="3"/>
  <c r="T80" i="3"/>
  <c r="J81" i="3"/>
  <c r="Z81" i="3"/>
  <c r="P82" i="3"/>
  <c r="AF82" i="3"/>
  <c r="V83" i="3"/>
  <c r="L84" i="3"/>
  <c r="AB84" i="3"/>
  <c r="R85" i="3"/>
  <c r="H86" i="3"/>
  <c r="X86" i="3"/>
  <c r="N87" i="3"/>
  <c r="AD87" i="3"/>
  <c r="T88" i="3"/>
  <c r="J89" i="3"/>
  <c r="Z89" i="3"/>
  <c r="P90" i="3"/>
  <c r="AF90" i="3"/>
  <c r="V91" i="3"/>
  <c r="L92" i="3"/>
  <c r="AA24" i="3"/>
  <c r="Y38" i="3"/>
  <c r="U48" i="3"/>
  <c r="S54" i="3"/>
  <c r="AE56" i="3"/>
  <c r="Q59" i="3"/>
  <c r="AC61" i="3"/>
  <c r="O64" i="3"/>
  <c r="AA66" i="3"/>
  <c r="M69" i="3"/>
  <c r="Y71" i="3"/>
  <c r="K73" i="3"/>
  <c r="AA73" i="3"/>
  <c r="Q74" i="3"/>
  <c r="G75" i="3"/>
  <c r="W75" i="3"/>
  <c r="M76" i="3"/>
  <c r="AC76" i="3"/>
  <c r="S77" i="3"/>
  <c r="I78" i="3"/>
  <c r="Y78" i="3"/>
  <c r="O79" i="3"/>
  <c r="AE79" i="3"/>
  <c r="U80" i="3"/>
  <c r="K81" i="3"/>
  <c r="AA81" i="3"/>
  <c r="Q82" i="3"/>
  <c r="G83" i="3"/>
  <c r="W83" i="3"/>
  <c r="M84" i="3"/>
  <c r="AC84" i="3"/>
  <c r="S85" i="3"/>
  <c r="I86" i="3"/>
  <c r="Y86" i="3"/>
  <c r="O87" i="3"/>
  <c r="AE87" i="3"/>
  <c r="U88" i="3"/>
  <c r="K89" i="3"/>
  <c r="I5" i="3"/>
  <c r="M11" i="3"/>
  <c r="O16" i="3"/>
  <c r="I8" i="3"/>
  <c r="M14" i="3"/>
  <c r="X9" i="3"/>
  <c r="T19" i="3"/>
  <c r="P7" i="3"/>
  <c r="L18" i="3"/>
  <c r="AB22" i="3"/>
  <c r="L12" i="3"/>
  <c r="K20" i="3"/>
  <c r="J25" i="3"/>
  <c r="L28" i="3"/>
  <c r="R7" i="3"/>
  <c r="Q18" i="3"/>
  <c r="I24" i="3"/>
  <c r="AC26" i="3"/>
  <c r="W29" i="3"/>
  <c r="T12" i="3"/>
  <c r="AA18" i="3"/>
  <c r="Q23" i="3"/>
  <c r="AF25" i="3"/>
  <c r="AF27" i="3"/>
  <c r="N30" i="3"/>
  <c r="AE24" i="3"/>
  <c r="H31" i="3"/>
  <c r="L33" i="3"/>
  <c r="T35" i="3"/>
  <c r="T37" i="3"/>
  <c r="AB39" i="3"/>
  <c r="J42" i="3"/>
  <c r="AF43" i="3"/>
  <c r="T45" i="3"/>
  <c r="L47" i="3"/>
  <c r="AD48" i="3"/>
  <c r="J50" i="3"/>
  <c r="P51" i="3"/>
  <c r="N52" i="3"/>
  <c r="P8" i="3"/>
  <c r="U22" i="3"/>
  <c r="U27" i="3"/>
  <c r="S30" i="3"/>
  <c r="Y31" i="3"/>
  <c r="AA32" i="3"/>
  <c r="AC33" i="3"/>
  <c r="I35" i="3"/>
  <c r="G36" i="3"/>
  <c r="I37" i="3"/>
  <c r="O38" i="3"/>
  <c r="Q39" i="3"/>
  <c r="O40" i="3"/>
  <c r="U41" i="3"/>
  <c r="W42" i="3"/>
  <c r="Y43" i="3"/>
  <c r="AE44" i="3"/>
  <c r="AC45" i="3"/>
  <c r="AE46" i="3"/>
  <c r="K48" i="3"/>
  <c r="M49" i="3"/>
  <c r="K50" i="3"/>
  <c r="Q51" i="3"/>
  <c r="S52" i="3"/>
  <c r="T6" i="3"/>
  <c r="K19" i="3"/>
  <c r="W24" i="3"/>
  <c r="Y27" i="3"/>
  <c r="T30" i="3"/>
  <c r="N31" i="3"/>
  <c r="H32" i="3"/>
  <c r="AF32" i="3"/>
  <c r="Z33" i="3"/>
  <c r="T34" i="3"/>
  <c r="R35" i="3"/>
  <c r="L36" i="3"/>
  <c r="AF36" i="3"/>
  <c r="AD37" i="3"/>
  <c r="X38" i="3"/>
  <c r="R39" i="3"/>
  <c r="P40" i="3"/>
  <c r="J41" i="3"/>
  <c r="AD41" i="3"/>
  <c r="AB42" i="3"/>
  <c r="V43" i="3"/>
  <c r="P44" i="3"/>
  <c r="N45" i="3"/>
  <c r="H46" i="3"/>
  <c r="AB46" i="3"/>
  <c r="Z47" i="3"/>
  <c r="T48" i="3"/>
  <c r="N49" i="3"/>
  <c r="L50" i="3"/>
  <c r="AF50" i="3"/>
  <c r="Z51" i="3"/>
  <c r="X52" i="3"/>
  <c r="AF16" i="3"/>
  <c r="AC30" i="3"/>
  <c r="U34" i="3"/>
  <c r="W37" i="3"/>
  <c r="Y40" i="3"/>
  <c r="Q44" i="3"/>
  <c r="S47" i="3"/>
  <c r="U50" i="3"/>
  <c r="R53" i="3"/>
  <c r="L54" i="3"/>
  <c r="AF54" i="3"/>
  <c r="AD55" i="3"/>
  <c r="X56" i="3"/>
  <c r="R57" i="3"/>
  <c r="P58" i="3"/>
  <c r="AF58" i="3"/>
  <c r="V59" i="3"/>
  <c r="L60" i="3"/>
  <c r="AB60" i="3"/>
  <c r="R61" i="3"/>
  <c r="H62" i="3"/>
  <c r="X62" i="3"/>
  <c r="N63" i="3"/>
  <c r="AD63" i="3"/>
  <c r="T64" i="3"/>
  <c r="J65" i="3"/>
  <c r="Z65" i="3"/>
  <c r="P66" i="3"/>
  <c r="AF66" i="3"/>
  <c r="V67" i="3"/>
  <c r="L68" i="3"/>
  <c r="AB68" i="3"/>
  <c r="R69" i="3"/>
  <c r="H70" i="3"/>
  <c r="X70" i="3"/>
  <c r="N71" i="3"/>
  <c r="AD71" i="3"/>
  <c r="T72" i="3"/>
  <c r="M18" i="3"/>
  <c r="P30" i="3"/>
  <c r="AC32" i="3"/>
  <c r="O35" i="3"/>
  <c r="AA37" i="3"/>
  <c r="M40" i="3"/>
  <c r="Y42" i="3"/>
  <c r="AC13" i="3"/>
  <c r="G11" i="3"/>
  <c r="J16" i="3"/>
  <c r="L13" i="3"/>
  <c r="H6" i="3"/>
  <c r="M23" i="3"/>
  <c r="R29" i="3"/>
  <c r="AC20" i="3"/>
  <c r="U28" i="3"/>
  <c r="AB16" i="3"/>
  <c r="Z24" i="3"/>
  <c r="L29" i="3"/>
  <c r="M29" i="3"/>
  <c r="N34" i="3"/>
  <c r="Z38" i="3"/>
  <c r="H43" i="3"/>
  <c r="R46" i="3"/>
  <c r="X49" i="3"/>
  <c r="X51" i="3"/>
  <c r="W17" i="3"/>
  <c r="G30" i="3"/>
  <c r="K32" i="3"/>
  <c r="S34" i="3"/>
  <c r="W36" i="3"/>
  <c r="AA38" i="3"/>
  <c r="AE40" i="3"/>
  <c r="M43" i="3"/>
  <c r="M45" i="3"/>
  <c r="U47" i="3"/>
  <c r="AC49" i="3"/>
  <c r="AC51" i="3"/>
  <c r="AD13" i="3"/>
  <c r="S26" i="3"/>
  <c r="AB30" i="3"/>
  <c r="T32" i="3"/>
  <c r="L34" i="3"/>
  <c r="Z35" i="3"/>
  <c r="R37" i="3"/>
  <c r="J39" i="3"/>
  <c r="X40" i="3"/>
  <c r="P42" i="3"/>
  <c r="H44" i="3"/>
  <c r="V45" i="3"/>
  <c r="N47" i="3"/>
  <c r="AF48" i="3"/>
  <c r="T50" i="3"/>
  <c r="L52" i="3"/>
  <c r="AC27" i="3"/>
  <c r="AA35" i="3"/>
  <c r="U42" i="3"/>
  <c r="O49" i="3"/>
  <c r="Z53" i="3"/>
  <c r="R55" i="3"/>
  <c r="J57" i="3"/>
  <c r="X58" i="3"/>
  <c r="AD59" i="3"/>
  <c r="J61" i="3"/>
  <c r="P62" i="3"/>
  <c r="V63" i="3"/>
  <c r="AB64" i="3"/>
  <c r="H66" i="3"/>
  <c r="N67" i="3"/>
  <c r="T68" i="3"/>
  <c r="Z69" i="3"/>
  <c r="AF70" i="3"/>
  <c r="L72" i="3"/>
  <c r="G26" i="3"/>
  <c r="I34" i="3"/>
  <c r="G39" i="3"/>
  <c r="AE43" i="3"/>
  <c r="W47" i="3"/>
  <c r="Y50" i="3"/>
  <c r="O53" i="3"/>
  <c r="M54" i="3"/>
  <c r="G55" i="3"/>
  <c r="AA55" i="3"/>
  <c r="Y56" i="3"/>
  <c r="S57" i="3"/>
  <c r="M58" i="3"/>
  <c r="K59" i="3"/>
  <c r="AE59" i="3"/>
  <c r="Y60" i="3"/>
  <c r="W61" i="3"/>
  <c r="Q62" i="3"/>
  <c r="K63" i="3"/>
  <c r="I64" i="3"/>
  <c r="AC64" i="3"/>
  <c r="W65" i="3"/>
  <c r="U66" i="3"/>
  <c r="O67" i="3"/>
  <c r="I68" i="3"/>
  <c r="G69" i="3"/>
  <c r="AA69" i="3"/>
  <c r="U70" i="3"/>
  <c r="S71" i="3"/>
  <c r="M72" i="3"/>
  <c r="S19" i="3"/>
  <c r="AA31" i="3"/>
  <c r="AC34" i="3"/>
  <c r="AE37" i="3"/>
  <c r="W41" i="3"/>
  <c r="Y44" i="3"/>
  <c r="AA47" i="3"/>
  <c r="S51" i="3"/>
  <c r="T53" i="3"/>
  <c r="N54" i="3"/>
  <c r="L55" i="3"/>
  <c r="AF55" i="3"/>
  <c r="Z56" i="3"/>
  <c r="X57" i="3"/>
  <c r="R58" i="3"/>
  <c r="L59" i="3"/>
  <c r="J60" i="3"/>
  <c r="AD60" i="3"/>
  <c r="X61" i="3"/>
  <c r="V62" i="3"/>
  <c r="P63" i="3"/>
  <c r="J64" i="3"/>
  <c r="H65" i="3"/>
  <c r="AB65" i="3"/>
  <c r="V66" i="3"/>
  <c r="T67" i="3"/>
  <c r="N68" i="3"/>
  <c r="H69" i="3"/>
  <c r="AF69" i="3"/>
  <c r="Z70" i="3"/>
  <c r="T71" i="3"/>
  <c r="R72" i="3"/>
  <c r="U32" i="3"/>
  <c r="AC44" i="3"/>
  <c r="AA54" i="3"/>
  <c r="AC57" i="3"/>
  <c r="AE60" i="3"/>
  <c r="W64" i="3"/>
  <c r="Y67" i="3"/>
  <c r="AA70" i="3"/>
  <c r="M73" i="3"/>
  <c r="G74" i="3"/>
  <c r="AA74" i="3"/>
  <c r="Y75" i="3"/>
  <c r="S76" i="3"/>
  <c r="M77" i="3"/>
  <c r="K78" i="3"/>
  <c r="AE78" i="3"/>
  <c r="Y79" i="3"/>
  <c r="W80" i="3"/>
  <c r="Q81" i="3"/>
  <c r="K82" i="3"/>
  <c r="I83" i="3"/>
  <c r="AC83" i="3"/>
  <c r="W84" i="3"/>
  <c r="U85" i="3"/>
  <c r="O86" i="3"/>
  <c r="I87" i="3"/>
  <c r="G88" i="3"/>
  <c r="AA88" i="3"/>
  <c r="U89" i="3"/>
  <c r="S90" i="3"/>
  <c r="M91" i="3"/>
  <c r="G92" i="3"/>
  <c r="Y30" i="3"/>
  <c r="G43" i="3"/>
  <c r="Y53" i="3"/>
  <c r="Q57" i="3"/>
  <c r="S60" i="3"/>
  <c r="U63" i="3"/>
  <c r="M67" i="3"/>
  <c r="O70" i="3"/>
  <c r="AF72" i="3"/>
  <c r="AD73" i="3"/>
  <c r="X74" i="3"/>
  <c r="R75" i="3"/>
  <c r="P76" i="3"/>
  <c r="J77" i="3"/>
  <c r="AD77" i="3"/>
  <c r="AB78" i="3"/>
  <c r="V79" i="3"/>
  <c r="P80" i="3"/>
  <c r="N81" i="3"/>
  <c r="H82" i="3"/>
  <c r="AB82" i="3"/>
  <c r="Z83" i="3"/>
  <c r="T84" i="3"/>
  <c r="N85" i="3"/>
  <c r="L86" i="3"/>
  <c r="AF86" i="3"/>
  <c r="Z87" i="3"/>
  <c r="X88" i="3"/>
  <c r="R89" i="3"/>
  <c r="L90" i="3"/>
  <c r="J91" i="3"/>
  <c r="AD91" i="3"/>
  <c r="X92" i="3"/>
  <c r="K41" i="3"/>
  <c r="M53" i="3"/>
  <c r="O56" i="3"/>
  <c r="G60" i="3"/>
  <c r="I63" i="3"/>
  <c r="K66" i="3"/>
  <c r="AC69" i="3"/>
  <c r="AC72" i="3"/>
  <c r="W73" i="3"/>
  <c r="U74" i="3"/>
  <c r="O75" i="3"/>
  <c r="I76" i="3"/>
  <c r="G77" i="3"/>
  <c r="AA77" i="3"/>
  <c r="U78" i="3"/>
  <c r="S79" i="3"/>
  <c r="M80" i="3"/>
  <c r="G81" i="3"/>
  <c r="AE81" i="3"/>
  <c r="Y82" i="3"/>
  <c r="S83" i="3"/>
  <c r="Q84" i="3"/>
  <c r="K85" i="3"/>
  <c r="AE85" i="3"/>
  <c r="AC86" i="3"/>
  <c r="W87" i="3"/>
  <c r="Q88" i="3"/>
  <c r="O89" i="3"/>
  <c r="AE89" i="3"/>
  <c r="U90" i="3"/>
  <c r="K91" i="3"/>
  <c r="AA91" i="3"/>
  <c r="Q92" i="3"/>
  <c r="W54" i="3"/>
  <c r="S64" i="3"/>
  <c r="L73" i="3"/>
  <c r="X75" i="3"/>
  <c r="J78" i="3"/>
  <c r="V80" i="3"/>
  <c r="H83" i="3"/>
  <c r="T85" i="3"/>
  <c r="AF87" i="3"/>
  <c r="R90" i="3"/>
  <c r="Y92" i="3"/>
  <c r="O93" i="3"/>
  <c r="AE93" i="3"/>
  <c r="U94" i="3"/>
  <c r="K95" i="3"/>
  <c r="AA95" i="3"/>
  <c r="Q96" i="3"/>
  <c r="G97" i="3"/>
  <c r="W97" i="3"/>
  <c r="M98" i="3"/>
  <c r="AC98" i="3"/>
  <c r="S99" i="3"/>
  <c r="I100" i="3"/>
  <c r="Y100" i="3"/>
  <c r="O101" i="3"/>
  <c r="AE101" i="3"/>
  <c r="U102" i="3"/>
  <c r="K103" i="3"/>
  <c r="AA103" i="3"/>
  <c r="Q104" i="3"/>
  <c r="G105" i="3"/>
  <c r="W105" i="3"/>
  <c r="M106" i="3"/>
  <c r="AC106" i="3"/>
  <c r="S107" i="3"/>
  <c r="I108" i="3"/>
  <c r="Y108" i="3"/>
  <c r="O109" i="3"/>
  <c r="AE109" i="3"/>
  <c r="U110" i="3"/>
  <c r="K111" i="3"/>
  <c r="AA111" i="3"/>
  <c r="Q112" i="3"/>
  <c r="G113" i="3"/>
  <c r="W113" i="3"/>
  <c r="M114" i="3"/>
  <c r="AC114" i="3"/>
  <c r="S115" i="3"/>
  <c r="I116" i="3"/>
  <c r="Y116" i="3"/>
  <c r="O117" i="3"/>
  <c r="AE117" i="3"/>
  <c r="U118" i="3"/>
  <c r="K119" i="3"/>
  <c r="AA119" i="3"/>
  <c r="Q120" i="3"/>
  <c r="G121" i="3"/>
  <c r="W121" i="3"/>
  <c r="M122" i="3"/>
  <c r="AC122" i="3"/>
  <c r="S123" i="3"/>
  <c r="I124" i="3"/>
  <c r="Y124" i="3"/>
  <c r="O125" i="3"/>
  <c r="AE125" i="3"/>
  <c r="U126" i="3"/>
  <c r="K127" i="3"/>
  <c r="AA127" i="3"/>
  <c r="Q128" i="3"/>
  <c r="G129" i="3"/>
  <c r="W129" i="3"/>
  <c r="M130" i="3"/>
  <c r="AC130" i="3"/>
  <c r="S131" i="3"/>
  <c r="I132" i="3"/>
  <c r="Y132" i="3"/>
  <c r="O133" i="3"/>
  <c r="AE133" i="3"/>
  <c r="U134" i="3"/>
  <c r="K135" i="3"/>
  <c r="AA135" i="3"/>
  <c r="Q136" i="3"/>
  <c r="G137" i="3"/>
  <c r="W137" i="3"/>
  <c r="M138" i="3"/>
  <c r="W51" i="3"/>
  <c r="W62" i="3"/>
  <c r="S72" i="3"/>
  <c r="L75" i="3"/>
  <c r="X77" i="3"/>
  <c r="J80" i="3"/>
  <c r="V82" i="3"/>
  <c r="H85" i="3"/>
  <c r="T87" i="3"/>
  <c r="AF89" i="3"/>
  <c r="R92" i="3"/>
  <c r="L93" i="3"/>
  <c r="AB93" i="3"/>
  <c r="R94" i="3"/>
  <c r="H95" i="3"/>
  <c r="X95" i="3"/>
  <c r="N96" i="3"/>
  <c r="AD96" i="3"/>
  <c r="T97" i="3"/>
  <c r="J98" i="3"/>
  <c r="Z98" i="3"/>
  <c r="P99" i="3"/>
  <c r="AF99" i="3"/>
  <c r="V100" i="3"/>
  <c r="L101" i="3"/>
  <c r="AB101" i="3"/>
  <c r="R102" i="3"/>
  <c r="H103" i="3"/>
  <c r="X103" i="3"/>
  <c r="N104" i="3"/>
  <c r="AD104" i="3"/>
  <c r="T105" i="3"/>
  <c r="J106" i="3"/>
  <c r="Z106" i="3"/>
  <c r="P107" i="3"/>
  <c r="AF107" i="3"/>
  <c r="V108" i="3"/>
  <c r="L109" i="3"/>
  <c r="AB109" i="3"/>
  <c r="R110" i="3"/>
  <c r="H111" i="3"/>
  <c r="X111" i="3"/>
  <c r="N112" i="3"/>
  <c r="AD112" i="3"/>
  <c r="T113" i="3"/>
  <c r="J114" i="3"/>
  <c r="Z114" i="3"/>
  <c r="P115" i="3"/>
  <c r="AF115" i="3"/>
  <c r="V116" i="3"/>
  <c r="L117" i="3"/>
  <c r="AB117" i="3"/>
  <c r="R118" i="3"/>
  <c r="H119" i="3"/>
  <c r="X119" i="3"/>
  <c r="N120" i="3"/>
  <c r="AD120" i="3"/>
  <c r="T121" i="3"/>
  <c r="J122" i="3"/>
  <c r="Z122" i="3"/>
  <c r="P123" i="3"/>
  <c r="AF123" i="3"/>
  <c r="V124" i="3"/>
  <c r="L125" i="3"/>
  <c r="AB125" i="3"/>
  <c r="R126" i="3"/>
  <c r="H127" i="3"/>
  <c r="X127" i="3"/>
  <c r="N128" i="3"/>
  <c r="AD128" i="3"/>
  <c r="T129" i="3"/>
  <c r="J130" i="3"/>
  <c r="Z130" i="3"/>
  <c r="P131" i="3"/>
  <c r="AF131" i="3"/>
  <c r="V132" i="3"/>
  <c r="L133" i="3"/>
  <c r="AB133" i="3"/>
  <c r="R134" i="3"/>
  <c r="H135" i="3"/>
  <c r="X135" i="3"/>
  <c r="N136" i="3"/>
  <c r="AD136" i="3"/>
  <c r="T137" i="3"/>
  <c r="J138" i="3"/>
  <c r="M44" i="3"/>
  <c r="AA60" i="3"/>
  <c r="W70" i="3"/>
  <c r="Z74" i="3"/>
  <c r="L77" i="3"/>
  <c r="X79" i="3"/>
  <c r="J82" i="3"/>
  <c r="V84" i="3"/>
  <c r="H87" i="3"/>
  <c r="T89" i="3"/>
  <c r="AF91" i="3"/>
  <c r="I93" i="3"/>
  <c r="Y93" i="3"/>
  <c r="O94" i="3"/>
  <c r="AE94" i="3"/>
  <c r="U95" i="3"/>
  <c r="K96" i="3"/>
  <c r="AA96" i="3"/>
  <c r="Q97" i="3"/>
  <c r="G98" i="3"/>
  <c r="W98" i="3"/>
  <c r="M99" i="3"/>
  <c r="AC99" i="3"/>
  <c r="S100" i="3"/>
  <c r="I101" i="3"/>
  <c r="Y101" i="3"/>
  <c r="O102" i="3"/>
  <c r="AE102" i="3"/>
  <c r="U103" i="3"/>
  <c r="K104" i="3"/>
  <c r="AA104" i="3"/>
  <c r="Q105" i="3"/>
  <c r="G106" i="3"/>
  <c r="W106" i="3"/>
  <c r="M107" i="3"/>
  <c r="AC107" i="3"/>
  <c r="S108" i="3"/>
  <c r="I109" i="3"/>
  <c r="Y109" i="3"/>
  <c r="O110" i="3"/>
  <c r="AE110" i="3"/>
  <c r="U111" i="3"/>
  <c r="K112" i="3"/>
  <c r="AA112" i="3"/>
  <c r="Q113" i="3"/>
  <c r="G114" i="3"/>
  <c r="W114" i="3"/>
  <c r="M115" i="3"/>
  <c r="AC115" i="3"/>
  <c r="S116" i="3"/>
  <c r="I117" i="3"/>
  <c r="Y117" i="3"/>
  <c r="O118" i="3"/>
  <c r="AE118" i="3"/>
  <c r="U119" i="3"/>
  <c r="K120" i="3"/>
  <c r="AA120" i="3"/>
  <c r="Q121" i="3"/>
  <c r="G122" i="3"/>
  <c r="W122" i="3"/>
  <c r="M123" i="3"/>
  <c r="AC123" i="3"/>
  <c r="S124" i="3"/>
  <c r="I125" i="3"/>
  <c r="Y125" i="3"/>
  <c r="O126" i="3"/>
  <c r="AE126" i="3"/>
  <c r="U127" i="3"/>
  <c r="K128" i="3"/>
  <c r="AA128" i="3"/>
  <c r="Q129" i="3"/>
  <c r="G130" i="3"/>
  <c r="W130" i="3"/>
  <c r="M131" i="3"/>
  <c r="AC131" i="3"/>
  <c r="S132" i="3"/>
  <c r="I133" i="3"/>
  <c r="Y133" i="3"/>
  <c r="O134" i="3"/>
  <c r="AE134" i="3"/>
  <c r="U135" i="3"/>
  <c r="K136" i="3"/>
  <c r="AA136" i="3"/>
  <c r="Q137" i="3"/>
  <c r="G138" i="3"/>
  <c r="AC36" i="3"/>
  <c r="Z76" i="3"/>
  <c r="V86" i="3"/>
  <c r="V93" i="3"/>
  <c r="H96" i="3"/>
  <c r="T98" i="3"/>
  <c r="AF100" i="3"/>
  <c r="R103" i="3"/>
  <c r="AD105" i="3"/>
  <c r="P108" i="3"/>
  <c r="AB110" i="3"/>
  <c r="N113" i="3"/>
  <c r="Z115" i="3"/>
  <c r="L118" i="3"/>
  <c r="X120" i="3"/>
  <c r="J123" i="3"/>
  <c r="V125" i="3"/>
  <c r="H128" i="3"/>
  <c r="T130" i="3"/>
  <c r="AF132" i="3"/>
  <c r="R135" i="3"/>
  <c r="AD137" i="3"/>
  <c r="AF138" i="3"/>
  <c r="V139" i="3"/>
  <c r="L140" i="3"/>
  <c r="AB140" i="3"/>
  <c r="R141" i="3"/>
  <c r="H142" i="3"/>
  <c r="X142" i="3"/>
  <c r="N143" i="3"/>
  <c r="AD143" i="3"/>
  <c r="T144" i="3"/>
  <c r="J145" i="3"/>
  <c r="Z145" i="3"/>
  <c r="P146" i="3"/>
  <c r="AF146" i="3"/>
  <c r="V147" i="3"/>
  <c r="L148" i="3"/>
  <c r="AB148" i="3"/>
  <c r="R149" i="3"/>
  <c r="H150" i="3"/>
  <c r="X150" i="3"/>
  <c r="N151" i="3"/>
  <c r="AD151" i="3"/>
  <c r="T152" i="3"/>
  <c r="J153" i="3"/>
  <c r="Z153" i="3"/>
  <c r="P154" i="3"/>
  <c r="AF154" i="3"/>
  <c r="V155" i="3"/>
  <c r="L156" i="3"/>
  <c r="AB156" i="3"/>
  <c r="R157" i="3"/>
  <c r="H158" i="3"/>
  <c r="X158" i="3"/>
  <c r="N159" i="3"/>
  <c r="AD159" i="3"/>
  <c r="T160" i="3"/>
  <c r="J161" i="3"/>
  <c r="Z161" i="3"/>
  <c r="P162" i="3"/>
  <c r="AF162" i="3"/>
  <c r="V163" i="3"/>
  <c r="L164" i="3"/>
  <c r="AB164" i="3"/>
  <c r="R165" i="3"/>
  <c r="H166" i="3"/>
  <c r="X166" i="3"/>
  <c r="N167" i="3"/>
  <c r="AD167" i="3"/>
  <c r="T168" i="3"/>
  <c r="J169" i="3"/>
  <c r="Z169" i="3"/>
  <c r="P170" i="3"/>
  <c r="AF170" i="3"/>
  <c r="V171" i="3"/>
  <c r="L172" i="3"/>
  <c r="M71" i="3"/>
  <c r="N82" i="3"/>
  <c r="J92" i="3"/>
  <c r="AF94" i="3"/>
  <c r="R97" i="3"/>
  <c r="AD99" i="3"/>
  <c r="P102" i="3"/>
  <c r="AB104" i="3"/>
  <c r="N107" i="3"/>
  <c r="Z109" i="3"/>
  <c r="L112" i="3"/>
  <c r="X114" i="3"/>
  <c r="J117" i="3"/>
  <c r="V119" i="3"/>
  <c r="H122" i="3"/>
  <c r="T124" i="3"/>
  <c r="AF126" i="3"/>
  <c r="R129" i="3"/>
  <c r="AD131" i="3"/>
  <c r="P134" i="3"/>
  <c r="AB136" i="3"/>
  <c r="Y138" i="3"/>
  <c r="O139" i="3"/>
  <c r="AE139" i="3"/>
  <c r="U140" i="3"/>
  <c r="K141" i="3"/>
  <c r="AA141" i="3"/>
  <c r="Q142" i="3"/>
  <c r="G143" i="3"/>
  <c r="W143" i="3"/>
  <c r="M144" i="3"/>
  <c r="AC144" i="3"/>
  <c r="S145" i="3"/>
  <c r="I146" i="3"/>
  <c r="Y146" i="3"/>
  <c r="O147" i="3"/>
  <c r="AE147" i="3"/>
  <c r="U148" i="3"/>
  <c r="K149" i="3"/>
  <c r="AA149" i="3"/>
  <c r="Q150" i="3"/>
  <c r="G151" i="3"/>
  <c r="W151" i="3"/>
  <c r="M152" i="3"/>
  <c r="AC152" i="3"/>
  <c r="S153" i="3"/>
  <c r="I154" i="3"/>
  <c r="Y154" i="3"/>
  <c r="O155" i="3"/>
  <c r="AE155" i="3"/>
  <c r="U156" i="3"/>
  <c r="K157" i="3"/>
  <c r="AA157" i="3"/>
  <c r="Q158" i="3"/>
  <c r="G159" i="3"/>
  <c r="W159" i="3"/>
  <c r="M160" i="3"/>
  <c r="AC160" i="3"/>
  <c r="S161" i="3"/>
  <c r="I162" i="3"/>
  <c r="Y162" i="3"/>
  <c r="O163" i="3"/>
  <c r="AE163" i="3"/>
  <c r="U164" i="3"/>
  <c r="K165" i="3"/>
  <c r="AA165" i="3"/>
  <c r="Q166" i="3"/>
  <c r="G167" i="3"/>
  <c r="W167" i="3"/>
  <c r="M168" i="3"/>
  <c r="AC168" i="3"/>
  <c r="S169" i="3"/>
  <c r="I170" i="3"/>
  <c r="Y170" i="3"/>
  <c r="O171" i="3"/>
  <c r="AE171" i="3"/>
  <c r="AC63" i="3"/>
  <c r="R80" i="3"/>
  <c r="N90" i="3"/>
  <c r="T94" i="3"/>
  <c r="AF96" i="3"/>
  <c r="R99" i="3"/>
  <c r="AD101" i="3"/>
  <c r="P104" i="3"/>
  <c r="AB106" i="3"/>
  <c r="N109" i="3"/>
  <c r="Z111" i="3"/>
  <c r="L114" i="3"/>
  <c r="X116" i="3"/>
  <c r="J119" i="3"/>
  <c r="V121" i="3"/>
  <c r="H124" i="3"/>
  <c r="T126" i="3"/>
  <c r="AF128" i="3"/>
  <c r="R131" i="3"/>
  <c r="AD133" i="3"/>
  <c r="P136" i="3"/>
  <c r="V138" i="3"/>
  <c r="L139" i="3"/>
  <c r="AB139" i="3"/>
  <c r="R140" i="3"/>
  <c r="H141" i="3"/>
  <c r="X141" i="3"/>
  <c r="N142" i="3"/>
  <c r="AD142" i="3"/>
  <c r="T143" i="3"/>
  <c r="J144" i="3"/>
  <c r="Z144" i="3"/>
  <c r="P145" i="3"/>
  <c r="AF145" i="3"/>
  <c r="V146" i="3"/>
  <c r="L147" i="3"/>
  <c r="AB147" i="3"/>
  <c r="R148" i="3"/>
  <c r="H149" i="3"/>
  <c r="X149" i="3"/>
  <c r="N150" i="3"/>
  <c r="AD150" i="3"/>
  <c r="T151" i="3"/>
  <c r="J152" i="3"/>
  <c r="Z152" i="3"/>
  <c r="P153" i="3"/>
  <c r="AF153" i="3"/>
  <c r="V154" i="3"/>
  <c r="T4" i="3"/>
  <c r="Y16" i="3"/>
  <c r="T9" i="3"/>
  <c r="R13" i="3"/>
  <c r="T26" i="3"/>
  <c r="Y18" i="3"/>
  <c r="AE29" i="3"/>
  <c r="M21" i="3"/>
  <c r="R28" i="3"/>
  <c r="P31" i="3"/>
  <c r="V36" i="3"/>
  <c r="N42" i="3"/>
  <c r="P47" i="3"/>
  <c r="Z50" i="3"/>
  <c r="Z15" i="3"/>
  <c r="AE30" i="3"/>
  <c r="Q33" i="3"/>
  <c r="O36" i="3"/>
  <c r="U39" i="3"/>
  <c r="G42" i="3"/>
  <c r="I45" i="3"/>
  <c r="O48" i="3"/>
  <c r="AA50" i="3"/>
  <c r="R11" i="3"/>
  <c r="AE28" i="3"/>
  <c r="Z31" i="3"/>
  <c r="AD33" i="3"/>
  <c r="P36" i="3"/>
  <c r="L38" i="3"/>
  <c r="T40" i="3"/>
  <c r="AF42" i="3"/>
  <c r="AB44" i="3"/>
  <c r="J47" i="3"/>
  <c r="V49" i="3"/>
  <c r="R51" i="3"/>
  <c r="AE21" i="3"/>
  <c r="M38" i="3"/>
  <c r="W45" i="3"/>
  <c r="V53" i="3"/>
  <c r="H56" i="3"/>
  <c r="AD57" i="3"/>
  <c r="Z59" i="3"/>
  <c r="V61" i="3"/>
  <c r="AF62" i="3"/>
  <c r="X64" i="3"/>
  <c r="T66" i="3"/>
  <c r="AD67" i="3"/>
  <c r="V69" i="3"/>
  <c r="R71" i="3"/>
  <c r="AB72" i="3"/>
  <c r="S33" i="3"/>
  <c r="AC40" i="3"/>
  <c r="AA45" i="3"/>
  <c r="I50" i="3"/>
  <c r="W53" i="3"/>
  <c r="U54" i="3"/>
  <c r="W55" i="3"/>
  <c r="AC56" i="3"/>
  <c r="AE57" i="3"/>
  <c r="AC58" i="3"/>
  <c r="I60" i="3"/>
  <c r="K61" i="3"/>
  <c r="M62" i="3"/>
  <c r="S63" i="3"/>
  <c r="Q64" i="3"/>
  <c r="S65" i="3"/>
  <c r="Y66" i="3"/>
  <c r="AA67" i="3"/>
  <c r="Y68" i="3"/>
  <c r="AE69" i="3"/>
  <c r="G71" i="3"/>
  <c r="I72" i="3"/>
  <c r="W26" i="3"/>
  <c r="G33" i="3"/>
  <c r="O37" i="3"/>
  <c r="M42" i="3"/>
  <c r="U46" i="3"/>
  <c r="M50" i="3"/>
  <c r="X53" i="3"/>
  <c r="Z54" i="3"/>
  <c r="AB55" i="3"/>
  <c r="H57" i="3"/>
  <c r="AF57" i="3"/>
  <c r="H59" i="3"/>
  <c r="N60" i="3"/>
  <c r="P61" i="3"/>
  <c r="N62" i="3"/>
  <c r="T63" i="3"/>
  <c r="V64" i="3"/>
  <c r="X65" i="3"/>
  <c r="AD66" i="3"/>
  <c r="AB67" i="3"/>
  <c r="AD68" i="3"/>
  <c r="J70" i="3"/>
  <c r="L71" i="3"/>
  <c r="J72" i="3"/>
  <c r="G35" i="3"/>
  <c r="M52" i="3"/>
  <c r="M57" i="3"/>
  <c r="K62" i="3"/>
  <c r="AC65" i="3"/>
  <c r="K70" i="3"/>
  <c r="Q73" i="3"/>
  <c r="S74" i="3"/>
  <c r="Q75" i="3"/>
  <c r="W76" i="3"/>
  <c r="Y77" i="3"/>
  <c r="AA78" i="3"/>
  <c r="G80" i="3"/>
  <c r="AE80" i="3"/>
  <c r="G82" i="3"/>
  <c r="M83" i="3"/>
  <c r="O84" i="3"/>
  <c r="M85" i="3"/>
  <c r="S86" i="3"/>
  <c r="U87" i="3"/>
  <c r="W88" i="3"/>
  <c r="AC89" i="3"/>
  <c r="AA90" i="3"/>
  <c r="AC91" i="3"/>
  <c r="K33" i="3"/>
  <c r="Q50" i="3"/>
  <c r="K56" i="3"/>
  <c r="I61" i="3"/>
  <c r="Q65" i="3"/>
  <c r="Y69" i="3"/>
  <c r="N73" i="3"/>
  <c r="L74" i="3"/>
  <c r="N75" i="3"/>
  <c r="T76" i="3"/>
  <c r="V77" i="3"/>
  <c r="T78" i="3"/>
  <c r="Z79" i="3"/>
  <c r="AB80" i="3"/>
  <c r="AD81" i="3"/>
  <c r="J83" i="3"/>
  <c r="H84" i="3"/>
  <c r="J85" i="3"/>
  <c r="P86" i="3"/>
  <c r="R87" i="3"/>
  <c r="P88" i="3"/>
  <c r="V89" i="3"/>
  <c r="X90" i="3"/>
  <c r="Z91" i="3"/>
  <c r="O31" i="3"/>
  <c r="I46" i="3"/>
  <c r="Y55" i="3"/>
  <c r="W60" i="3"/>
  <c r="AE64" i="3"/>
  <c r="W68" i="3"/>
  <c r="G73" i="3"/>
  <c r="I74" i="3"/>
  <c r="K75" i="3"/>
  <c r="Q76" i="3"/>
  <c r="O77" i="3"/>
  <c r="Q78" i="3"/>
  <c r="W79" i="3"/>
  <c r="Y80" i="3"/>
  <c r="W81" i="3"/>
  <c r="AC82" i="3"/>
  <c r="AE83" i="3"/>
  <c r="G85" i="3"/>
  <c r="M86" i="3"/>
  <c r="K87" i="3"/>
  <c r="M88" i="3"/>
  <c r="S89" i="3"/>
  <c r="M90" i="3"/>
  <c r="G91" i="3"/>
  <c r="AE91" i="3"/>
  <c r="O39" i="3"/>
  <c r="G62" i="3"/>
  <c r="AB73" i="3"/>
  <c r="AD76" i="3"/>
  <c r="AF79" i="3"/>
  <c r="X83" i="3"/>
  <c r="Z86" i="3"/>
  <c r="AB89" i="3"/>
  <c r="AC92" i="3"/>
  <c r="W93" i="3"/>
  <c r="Q94" i="3"/>
  <c r="O95" i="3"/>
  <c r="I96" i="3"/>
  <c r="AC96" i="3"/>
  <c r="AA97" i="3"/>
  <c r="U98" i="3"/>
  <c r="O99" i="3"/>
  <c r="M100" i="3"/>
  <c r="G101" i="3"/>
  <c r="AA101" i="3"/>
  <c r="Y102" i="3"/>
  <c r="S103" i="3"/>
  <c r="M104" i="3"/>
  <c r="K105" i="3"/>
  <c r="AE105" i="3"/>
  <c r="Y106" i="3"/>
  <c r="W107" i="3"/>
  <c r="Q108" i="3"/>
  <c r="K109" i="3"/>
  <c r="I110" i="3"/>
  <c r="AC110" i="3"/>
  <c r="W111" i="3"/>
  <c r="U112" i="3"/>
  <c r="O113" i="3"/>
  <c r="I114" i="3"/>
  <c r="G115" i="3"/>
  <c r="AA115" i="3"/>
  <c r="U116" i="3"/>
  <c r="S117" i="3"/>
  <c r="M118" i="3"/>
  <c r="G119" i="3"/>
  <c r="AE119" i="3"/>
  <c r="Y120" i="3"/>
  <c r="S121" i="3"/>
  <c r="Q122" i="3"/>
  <c r="K123" i="3"/>
  <c r="AE123" i="3"/>
  <c r="AC124" i="3"/>
  <c r="W125" i="3"/>
  <c r="Q126" i="3"/>
  <c r="O127" i="3"/>
  <c r="I128" i="3"/>
  <c r="AC128" i="3"/>
  <c r="AA129" i="3"/>
  <c r="U130" i="3"/>
  <c r="O131" i="3"/>
  <c r="M132" i="3"/>
  <c r="G133" i="3"/>
  <c r="AA133" i="3"/>
  <c r="Y134" i="3"/>
  <c r="S135" i="3"/>
  <c r="M136" i="3"/>
  <c r="K137" i="3"/>
  <c r="AE137" i="3"/>
  <c r="AA41" i="3"/>
  <c r="I65" i="3"/>
  <c r="AF73" i="3"/>
  <c r="H77" i="3"/>
  <c r="Z80" i="3"/>
  <c r="AB83" i="3"/>
  <c r="AD86" i="3"/>
  <c r="V90" i="3"/>
  <c r="AD92" i="3"/>
  <c r="X93" i="3"/>
  <c r="V94" i="3"/>
  <c r="P95" i="3"/>
  <c r="J96" i="3"/>
  <c r="H97" i="3"/>
  <c r="AB97" i="3"/>
  <c r="V98" i="3"/>
  <c r="T99" i="3"/>
  <c r="N100" i="3"/>
  <c r="H101" i="3"/>
  <c r="AF101" i="3"/>
  <c r="Z102" i="3"/>
  <c r="T103" i="3"/>
  <c r="R104" i="3"/>
  <c r="L105" i="3"/>
  <c r="AF105" i="3"/>
  <c r="AD106" i="3"/>
  <c r="X107" i="3"/>
  <c r="R108" i="3"/>
  <c r="P109" i="3"/>
  <c r="J110" i="3"/>
  <c r="AD110" i="3"/>
  <c r="AB111" i="3"/>
  <c r="V112" i="3"/>
  <c r="P113" i="3"/>
  <c r="N114" i="3"/>
  <c r="H115" i="3"/>
  <c r="AB115" i="3"/>
  <c r="Z116" i="3"/>
  <c r="T117" i="3"/>
  <c r="N118" i="3"/>
  <c r="L119" i="3"/>
  <c r="AF119" i="3"/>
  <c r="Z120" i="3"/>
  <c r="X121" i="3"/>
  <c r="R122" i="3"/>
  <c r="L123" i="3"/>
  <c r="J124" i="3"/>
  <c r="AD124" i="3"/>
  <c r="X125" i="3"/>
  <c r="V126" i="3"/>
  <c r="P127" i="3"/>
  <c r="J128" i="3"/>
  <c r="H129" i="3"/>
  <c r="AB129" i="3"/>
  <c r="V130" i="3"/>
  <c r="T131" i="3"/>
  <c r="N132" i="3"/>
  <c r="H133" i="3"/>
  <c r="AF133" i="3"/>
  <c r="Z134" i="3"/>
  <c r="T135" i="3"/>
  <c r="R136" i="3"/>
  <c r="L137" i="3"/>
  <c r="AF137" i="3"/>
  <c r="Q53" i="3"/>
  <c r="Y65" i="3"/>
  <c r="J74" i="3"/>
  <c r="AB77" i="3"/>
  <c r="AD80" i="3"/>
  <c r="AF83" i="3"/>
  <c r="X87" i="3"/>
  <c r="Y5" i="3"/>
  <c r="S5" i="3"/>
  <c r="J12" i="3"/>
  <c r="AB18" i="3"/>
  <c r="Y17" i="3"/>
  <c r="P28" i="3"/>
  <c r="Q24" i="3"/>
  <c r="V7" i="3"/>
  <c r="Y23" i="3"/>
  <c r="R30" i="3"/>
  <c r="N32" i="3"/>
  <c r="AF37" i="3"/>
  <c r="J44" i="3"/>
  <c r="AF47" i="3"/>
  <c r="T51" i="3"/>
  <c r="AA23" i="3"/>
  <c r="I31" i="3"/>
  <c r="K34" i="3"/>
  <c r="U37" i="3"/>
  <c r="G40" i="3"/>
  <c r="AA42" i="3"/>
  <c r="K46" i="3"/>
  <c r="W48" i="3"/>
  <c r="Y51" i="3"/>
  <c r="Q20" i="3"/>
  <c r="U29" i="3"/>
  <c r="P32" i="3"/>
  <c r="AB34" i="3"/>
  <c r="X36" i="3"/>
  <c r="AB38" i="3"/>
  <c r="N41" i="3"/>
  <c r="J43" i="3"/>
  <c r="R45" i="3"/>
  <c r="AD47" i="3"/>
  <c r="Z49" i="3"/>
  <c r="H52" i="3"/>
  <c r="I32" i="3"/>
  <c r="S39" i="3"/>
  <c r="I48" i="3"/>
  <c r="P54" i="3"/>
  <c r="L56" i="3"/>
  <c r="T58" i="3"/>
  <c r="P60" i="3"/>
  <c r="Z61" i="3"/>
  <c r="R63" i="3"/>
  <c r="N65" i="3"/>
  <c r="X66" i="3"/>
  <c r="P68" i="3"/>
  <c r="L70" i="3"/>
  <c r="V71" i="3"/>
  <c r="K23" i="3"/>
  <c r="AE35" i="3"/>
  <c r="S41" i="3"/>
  <c r="Q46" i="3"/>
  <c r="O51" i="3"/>
  <c r="AA53" i="3"/>
  <c r="AC54" i="3"/>
  <c r="I56" i="3"/>
  <c r="G57" i="3"/>
  <c r="I58" i="3"/>
  <c r="O59" i="3"/>
  <c r="Q60" i="3"/>
  <c r="O61" i="3"/>
  <c r="U62" i="3"/>
  <c r="W63" i="3"/>
  <c r="Y64" i="3"/>
  <c r="AE65" i="3"/>
  <c r="AC66" i="3"/>
  <c r="AE67" i="3"/>
  <c r="K69" i="3"/>
  <c r="M70" i="3"/>
  <c r="K71" i="3"/>
  <c r="Q72" i="3"/>
  <c r="I29" i="3"/>
  <c r="M34" i="3"/>
  <c r="K39" i="3"/>
  <c r="AC42" i="3"/>
  <c r="K47" i="3"/>
  <c r="I52" i="3"/>
  <c r="AF53" i="3"/>
  <c r="AD54" i="3"/>
  <c r="J56" i="3"/>
  <c r="L57" i="3"/>
  <c r="N58" i="3"/>
  <c r="T59" i="3"/>
  <c r="R60" i="3"/>
  <c r="T61" i="3"/>
  <c r="Z62" i="3"/>
  <c r="AB63" i="3"/>
  <c r="Z64" i="3"/>
  <c r="AF65" i="3"/>
  <c r="H67" i="3"/>
  <c r="J68" i="3"/>
  <c r="P69" i="3"/>
  <c r="N70" i="3"/>
  <c r="P71" i="3"/>
  <c r="V72" i="3"/>
  <c r="AE39" i="3"/>
  <c r="U53" i="3"/>
  <c r="S58" i="3"/>
  <c r="AA62" i="3"/>
  <c r="I67" i="3"/>
  <c r="G72" i="3"/>
  <c r="U73" i="3"/>
  <c r="W74" i="3"/>
  <c r="AC75" i="3"/>
  <c r="AE76" i="3"/>
  <c r="AC77" i="3"/>
  <c r="I79" i="3"/>
  <c r="K80" i="3"/>
  <c r="M81" i="3"/>
  <c r="S82" i="3"/>
  <c r="Q83" i="3"/>
  <c r="S84" i="3"/>
  <c r="Y85" i="3"/>
  <c r="AA86" i="3"/>
  <c r="Y87" i="3"/>
  <c r="AE88" i="3"/>
  <c r="G90" i="3"/>
  <c r="I91" i="3"/>
  <c r="O92" i="3"/>
  <c r="W35" i="3"/>
  <c r="AC52" i="3"/>
  <c r="G58" i="3"/>
  <c r="O62" i="3"/>
  <c r="G66" i="3"/>
  <c r="AE70" i="3"/>
  <c r="R73" i="3"/>
  <c r="T74" i="3"/>
  <c r="Z75" i="3"/>
  <c r="X76" i="3"/>
  <c r="Z77" i="3"/>
  <c r="AF78" i="3"/>
  <c r="H80" i="3"/>
  <c r="AF80" i="3"/>
  <c r="L82" i="3"/>
  <c r="N83" i="3"/>
  <c r="P84" i="3"/>
  <c r="V85" i="3"/>
  <c r="T86" i="3"/>
  <c r="V87" i="3"/>
  <c r="AB88" i="3"/>
  <c r="AD89" i="3"/>
  <c r="AB90" i="3"/>
  <c r="H92" i="3"/>
  <c r="AA33" i="3"/>
  <c r="G51" i="3"/>
  <c r="U57" i="3"/>
  <c r="M61" i="3"/>
  <c r="U65" i="3"/>
  <c r="S70" i="3"/>
  <c r="O73" i="3"/>
  <c r="M74" i="3"/>
  <c r="S75" i="3"/>
  <c r="U76" i="3"/>
  <c r="W77" i="3"/>
  <c r="AC78" i="3"/>
  <c r="AA79" i="3"/>
  <c r="AC80" i="3"/>
  <c r="I82" i="3"/>
  <c r="K83" i="3"/>
  <c r="I84" i="3"/>
  <c r="O85" i="3"/>
  <c r="Q86" i="3"/>
  <c r="S87" i="3"/>
  <c r="Y88" i="3"/>
  <c r="W89" i="3"/>
  <c r="Q90" i="3"/>
  <c r="O91" i="3"/>
  <c r="I92" i="3"/>
  <c r="K49" i="3"/>
  <c r="AE66" i="3"/>
  <c r="R74" i="3"/>
  <c r="T77" i="3"/>
  <c r="L81" i="3"/>
  <c r="N84" i="3"/>
  <c r="P87" i="3"/>
  <c r="H91" i="3"/>
  <c r="G93" i="3"/>
  <c r="AA93" i="3"/>
  <c r="Y94" i="3"/>
  <c r="S95" i="3"/>
  <c r="M96" i="3"/>
  <c r="K97" i="3"/>
  <c r="AE97" i="3"/>
  <c r="Y98" i="3"/>
  <c r="W99" i="3"/>
  <c r="Q100" i="3"/>
  <c r="K101" i="3"/>
  <c r="I102" i="3"/>
  <c r="AC102" i="3"/>
  <c r="W103" i="3"/>
  <c r="U104" i="3"/>
  <c r="O105" i="3"/>
  <c r="I106" i="3"/>
  <c r="G107" i="3"/>
  <c r="AA107" i="3"/>
  <c r="U108" i="3"/>
  <c r="S109" i="3"/>
  <c r="M110" i="3"/>
  <c r="G111" i="3"/>
  <c r="AE111" i="3"/>
  <c r="Y112" i="3"/>
  <c r="S113" i="3"/>
  <c r="Q114" i="3"/>
  <c r="K115" i="3"/>
  <c r="AE115" i="3"/>
  <c r="AC116" i="3"/>
  <c r="W117" i="3"/>
  <c r="Q118" i="3"/>
  <c r="O119" i="3"/>
  <c r="I120" i="3"/>
  <c r="AC120" i="3"/>
  <c r="AA121" i="3"/>
  <c r="U122" i="3"/>
  <c r="O123" i="3"/>
  <c r="M124" i="3"/>
  <c r="G125" i="3"/>
  <c r="AA125" i="3"/>
  <c r="Y126" i="3"/>
  <c r="S127" i="3"/>
  <c r="M128" i="3"/>
  <c r="K129" i="3"/>
  <c r="AE129" i="3"/>
  <c r="Y130" i="3"/>
  <c r="W131" i="3"/>
  <c r="Q132" i="3"/>
  <c r="K133" i="3"/>
  <c r="I134" i="3"/>
  <c r="AC134" i="3"/>
  <c r="W135" i="3"/>
  <c r="U136" i="3"/>
  <c r="O137" i="3"/>
  <c r="I138" i="3"/>
  <c r="M55" i="3"/>
  <c r="U67" i="3"/>
  <c r="V74" i="3"/>
  <c r="N78" i="3"/>
  <c r="P81" i="3"/>
  <c r="R84" i="3"/>
  <c r="J88" i="3"/>
  <c r="L91" i="3"/>
  <c r="H93" i="3"/>
  <c r="AF93" i="3"/>
  <c r="Z94" i="3"/>
  <c r="T95" i="3"/>
  <c r="R96" i="3"/>
  <c r="L97" i="3"/>
  <c r="AF97" i="3"/>
  <c r="AD98" i="3"/>
  <c r="X99" i="3"/>
  <c r="R100" i="3"/>
  <c r="P101" i="3"/>
  <c r="J102" i="3"/>
  <c r="AD102" i="3"/>
  <c r="AB103" i="3"/>
  <c r="V104" i="3"/>
  <c r="P105" i="3"/>
  <c r="N106" i="3"/>
  <c r="H107" i="3"/>
  <c r="AB107" i="3"/>
  <c r="Z108" i="3"/>
  <c r="T109" i="3"/>
  <c r="N110" i="3"/>
  <c r="L111" i="3"/>
  <c r="AF111" i="3"/>
  <c r="Z112" i="3"/>
  <c r="X113" i="3"/>
  <c r="R114" i="3"/>
  <c r="L115" i="3"/>
  <c r="J116" i="3"/>
  <c r="AD116" i="3"/>
  <c r="X117" i="3"/>
  <c r="V118" i="3"/>
  <c r="P119" i="3"/>
  <c r="J120" i="3"/>
  <c r="H121" i="3"/>
  <c r="AB121" i="3"/>
  <c r="V122" i="3"/>
  <c r="T123" i="3"/>
  <c r="N124" i="3"/>
  <c r="H125" i="3"/>
  <c r="AF125" i="3"/>
  <c r="Z126" i="3"/>
  <c r="T127" i="3"/>
  <c r="R128" i="3"/>
  <c r="L129" i="3"/>
  <c r="AF129" i="3"/>
  <c r="AD130" i="3"/>
  <c r="X131" i="3"/>
  <c r="R132" i="3"/>
  <c r="P133" i="3"/>
  <c r="J134" i="3"/>
  <c r="AD134" i="3"/>
  <c r="AB135" i="3"/>
  <c r="V136" i="3"/>
  <c r="P137" i="3"/>
  <c r="N138" i="3"/>
  <c r="AC55" i="3"/>
  <c r="K68" i="3"/>
  <c r="P75" i="3"/>
  <c r="R78" i="3"/>
  <c r="T81" i="3"/>
  <c r="L85" i="3"/>
  <c r="N88" i="3"/>
  <c r="P91" i="3"/>
  <c r="M93" i="3"/>
  <c r="G94" i="3"/>
  <c r="AA94" i="3"/>
  <c r="Y95" i="3"/>
  <c r="S96" i="3"/>
  <c r="M97" i="3"/>
  <c r="K98" i="3"/>
  <c r="AE98" i="3"/>
  <c r="Y99" i="3"/>
  <c r="W100" i="3"/>
  <c r="Q101" i="3"/>
  <c r="K102" i="3"/>
  <c r="I103" i="3"/>
  <c r="AC103" i="3"/>
  <c r="W104" i="3"/>
  <c r="U105" i="3"/>
  <c r="O106" i="3"/>
  <c r="I107" i="3"/>
  <c r="G108" i="3"/>
  <c r="AA108" i="3"/>
  <c r="U109" i="3"/>
  <c r="S110" i="3"/>
  <c r="M111" i="3"/>
  <c r="G112" i="3"/>
  <c r="AE112" i="3"/>
  <c r="Y113" i="3"/>
  <c r="S114" i="3"/>
  <c r="Q115" i="3"/>
  <c r="K116" i="3"/>
  <c r="AE116" i="3"/>
  <c r="AC117" i="3"/>
  <c r="W118" i="3"/>
  <c r="Q119" i="3"/>
  <c r="O120" i="3"/>
  <c r="I121" i="3"/>
  <c r="Y14" i="3"/>
  <c r="N23" i="3"/>
  <c r="L14" i="3"/>
  <c r="Y19" i="3"/>
  <c r="K26" i="3"/>
  <c r="AD40" i="3"/>
  <c r="R50" i="3"/>
  <c r="K28" i="3"/>
  <c r="Q35" i="3"/>
  <c r="AC41" i="3"/>
  <c r="Q47" i="3"/>
  <c r="AE52" i="3"/>
  <c r="R31" i="3"/>
  <c r="V35" i="3"/>
  <c r="AD39" i="3"/>
  <c r="X44" i="3"/>
  <c r="X48" i="3"/>
  <c r="AF52" i="3"/>
  <c r="G45" i="3"/>
  <c r="N55" i="3"/>
  <c r="N59" i="3"/>
  <c r="AB62" i="3"/>
  <c r="AD65" i="3"/>
  <c r="J69" i="3"/>
  <c r="X72" i="3"/>
  <c r="Q38" i="3"/>
  <c r="AC48" i="3"/>
  <c r="Q54" i="3"/>
  <c r="Q56" i="3"/>
  <c r="Y58" i="3"/>
  <c r="G61" i="3"/>
  <c r="G63" i="3"/>
  <c r="O65" i="3"/>
  <c r="S67" i="3"/>
  <c r="W69" i="3"/>
  <c r="AA71" i="3"/>
  <c r="Q32" i="3"/>
  <c r="Q40" i="3"/>
  <c r="W49" i="3"/>
  <c r="V54" i="3"/>
  <c r="V56" i="3"/>
  <c r="AD58" i="3"/>
  <c r="H61" i="3"/>
  <c r="L63" i="3"/>
  <c r="P65" i="3"/>
  <c r="X67" i="3"/>
  <c r="X69" i="3"/>
  <c r="AF71" i="3"/>
  <c r="AA49" i="3"/>
  <c r="O60" i="3"/>
  <c r="U69" i="3"/>
  <c r="K74" i="3"/>
  <c r="O76" i="3"/>
  <c r="S78" i="3"/>
  <c r="AA80" i="3"/>
  <c r="AA82" i="3"/>
  <c r="I85" i="3"/>
  <c r="Q87" i="3"/>
  <c r="Q89" i="3"/>
  <c r="Y91" i="3"/>
  <c r="S45" i="3"/>
  <c r="AC59" i="3"/>
  <c r="S68" i="3"/>
  <c r="H74" i="3"/>
  <c r="H76" i="3"/>
  <c r="P78" i="3"/>
  <c r="X80" i="3"/>
  <c r="X82" i="3"/>
  <c r="AF84" i="3"/>
  <c r="J87" i="3"/>
  <c r="N89" i="3"/>
  <c r="R91" i="3"/>
  <c r="W43" i="3"/>
  <c r="AA58" i="3"/>
  <c r="G68" i="3"/>
  <c r="AE73" i="3"/>
  <c r="AE75" i="3"/>
  <c r="M78" i="3"/>
  <c r="Q80" i="3"/>
  <c r="U82" i="3"/>
  <c r="Y84" i="3"/>
  <c r="G87" i="3"/>
  <c r="G89" i="3"/>
  <c r="AC90" i="3"/>
  <c r="M27" i="3"/>
  <c r="AC71" i="3"/>
  <c r="P79" i="3"/>
  <c r="J86" i="3"/>
  <c r="N92" i="3"/>
  <c r="M94" i="3"/>
  <c r="AE95" i="3"/>
  <c r="S97" i="3"/>
  <c r="K99" i="3"/>
  <c r="AC100" i="3"/>
  <c r="Q102" i="3"/>
  <c r="I104" i="3"/>
  <c r="AA105" i="3"/>
  <c r="O107" i="3"/>
  <c r="G109" i="3"/>
  <c r="Y110" i="3"/>
  <c r="M112" i="3"/>
  <c r="AE113" i="3"/>
  <c r="W115" i="3"/>
  <c r="K117" i="3"/>
  <c r="AC118" i="3"/>
  <c r="U120" i="3"/>
  <c r="I122" i="3"/>
  <c r="AA123" i="3"/>
  <c r="S125" i="3"/>
  <c r="G127" i="3"/>
  <c r="Y128" i="3"/>
  <c r="Q130" i="3"/>
  <c r="AE131" i="3"/>
  <c r="W133" i="3"/>
  <c r="O135" i="3"/>
  <c r="AC136" i="3"/>
  <c r="AE31" i="3"/>
  <c r="P73" i="3"/>
  <c r="T79" i="3"/>
  <c r="N86" i="3"/>
  <c r="Z92" i="3"/>
  <c r="N94" i="3"/>
  <c r="AF95" i="3"/>
  <c r="X97" i="3"/>
  <c r="L99" i="3"/>
  <c r="AD100" i="3"/>
  <c r="V102" i="3"/>
  <c r="J104" i="3"/>
  <c r="AB105" i="3"/>
  <c r="T107" i="3"/>
  <c r="H109" i="3"/>
  <c r="Z110" i="3"/>
  <c r="R112" i="3"/>
  <c r="AF113" i="3"/>
  <c r="X115" i="3"/>
  <c r="P117" i="3"/>
  <c r="AD118" i="3"/>
  <c r="V120" i="3"/>
  <c r="N122" i="3"/>
  <c r="AB123" i="3"/>
  <c r="T125" i="3"/>
  <c r="L127" i="3"/>
  <c r="Z128" i="3"/>
  <c r="R130" i="3"/>
  <c r="J132" i="3"/>
  <c r="X133" i="3"/>
  <c r="P135" i="3"/>
  <c r="H137" i="3"/>
  <c r="Q34" i="3"/>
  <c r="T73" i="3"/>
  <c r="N80" i="3"/>
  <c r="R86" i="3"/>
  <c r="U92" i="3"/>
  <c r="U93" i="3"/>
  <c r="W94" i="3"/>
  <c r="AC95" i="3"/>
  <c r="AE96" i="3"/>
  <c r="AC97" i="3"/>
  <c r="I99" i="3"/>
  <c r="K100" i="3"/>
  <c r="M101" i="3"/>
  <c r="S102" i="3"/>
  <c r="Q103" i="3"/>
  <c r="S104" i="3"/>
  <c r="Y105" i="3"/>
  <c r="AA106" i="3"/>
  <c r="Y107" i="3"/>
  <c r="AE108" i="3"/>
  <c r="G110" i="3"/>
  <c r="I111" i="3"/>
  <c r="O112" i="3"/>
  <c r="M113" i="3"/>
  <c r="O114" i="3"/>
  <c r="U115" i="3"/>
  <c r="W116" i="3"/>
  <c r="U117" i="3"/>
  <c r="AA118" i="3"/>
  <c r="AC119" i="3"/>
  <c r="AE120" i="3"/>
  <c r="AC121" i="3"/>
  <c r="AA122" i="3"/>
  <c r="U123" i="3"/>
  <c r="O124" i="3"/>
  <c r="M125" i="3"/>
  <c r="G126" i="3"/>
  <c r="AA126" i="3"/>
  <c r="Y127" i="3"/>
  <c r="S128" i="3"/>
  <c r="M129" i="3"/>
  <c r="K130" i="3"/>
  <c r="AE130" i="3"/>
  <c r="Y131" i="3"/>
  <c r="W132" i="3"/>
  <c r="Q133" i="3"/>
  <c r="K134" i="3"/>
  <c r="I135" i="3"/>
  <c r="AC135" i="3"/>
  <c r="W136" i="3"/>
  <c r="U137" i="3"/>
  <c r="O138" i="3"/>
  <c r="N74" i="3"/>
  <c r="H89" i="3"/>
  <c r="AB94" i="3"/>
  <c r="AD97" i="3"/>
  <c r="V101" i="3"/>
  <c r="X104" i="3"/>
  <c r="Z107" i="3"/>
  <c r="R111" i="3"/>
  <c r="T114" i="3"/>
  <c r="V117" i="3"/>
  <c r="N121" i="3"/>
  <c r="P124" i="3"/>
  <c r="R127" i="3"/>
  <c r="J131" i="3"/>
  <c r="L134" i="3"/>
  <c r="N137" i="3"/>
  <c r="J139" i="3"/>
  <c r="AD139" i="3"/>
  <c r="X140" i="3"/>
  <c r="V141" i="3"/>
  <c r="P142" i="3"/>
  <c r="J143" i="3"/>
  <c r="H144" i="3"/>
  <c r="AB144" i="3"/>
  <c r="V145" i="3"/>
  <c r="T146" i="3"/>
  <c r="N147" i="3"/>
  <c r="H148" i="3"/>
  <c r="AF148" i="3"/>
  <c r="Z149" i="3"/>
  <c r="T150" i="3"/>
  <c r="R151" i="3"/>
  <c r="L152" i="3"/>
  <c r="AF152" i="3"/>
  <c r="AD153" i="3"/>
  <c r="X154" i="3"/>
  <c r="R155" i="3"/>
  <c r="P156" i="3"/>
  <c r="J157" i="3"/>
  <c r="AD157" i="3"/>
  <c r="AB158" i="3"/>
  <c r="V159" i="3"/>
  <c r="P160" i="3"/>
  <c r="N161" i="3"/>
  <c r="H162" i="3"/>
  <c r="AB162" i="3"/>
  <c r="Z163" i="3"/>
  <c r="T164" i="3"/>
  <c r="N165" i="3"/>
  <c r="L166" i="3"/>
  <c r="AF166" i="3"/>
  <c r="Z167" i="3"/>
  <c r="X168" i="3"/>
  <c r="R169" i="3"/>
  <c r="L170" i="3"/>
  <c r="J171" i="3"/>
  <c r="AD171" i="3"/>
  <c r="Q61" i="3"/>
  <c r="Z84" i="3"/>
  <c r="Z93" i="3"/>
  <c r="AB96" i="3"/>
  <c r="T100" i="3"/>
  <c r="V103" i="3"/>
  <c r="X106" i="3"/>
  <c r="P110" i="3"/>
  <c r="R113" i="3"/>
  <c r="T116" i="3"/>
  <c r="L120" i="3"/>
  <c r="N123" i="3"/>
  <c r="P126" i="3"/>
  <c r="H130" i="3"/>
  <c r="J133" i="3"/>
  <c r="L136" i="3"/>
  <c r="AC138" i="3"/>
  <c r="W139" i="3"/>
  <c r="Q140" i="3"/>
  <c r="O141" i="3"/>
  <c r="I142" i="3"/>
  <c r="AC142" i="3"/>
  <c r="AA143" i="3"/>
  <c r="U144" i="3"/>
  <c r="O145" i="3"/>
  <c r="M146" i="3"/>
  <c r="G147" i="3"/>
  <c r="AA147" i="3"/>
  <c r="Y148" i="3"/>
  <c r="S149" i="3"/>
  <c r="M150" i="3"/>
  <c r="K151" i="3"/>
  <c r="AE151" i="3"/>
  <c r="Y152" i="3"/>
  <c r="W153" i="3"/>
  <c r="Q154" i="3"/>
  <c r="K155" i="3"/>
  <c r="I156" i="3"/>
  <c r="AC156" i="3"/>
  <c r="W157" i="3"/>
  <c r="U158" i="3"/>
  <c r="O159" i="3"/>
  <c r="I160" i="3"/>
  <c r="G161" i="3"/>
  <c r="AA161" i="3"/>
  <c r="U162" i="3"/>
  <c r="S163" i="3"/>
  <c r="M164" i="3"/>
  <c r="G165" i="3"/>
  <c r="AE165" i="3"/>
  <c r="Y166" i="3"/>
  <c r="S167" i="3"/>
  <c r="Q168" i="3"/>
  <c r="K169" i="3"/>
  <c r="AE169" i="3"/>
  <c r="AC170" i="3"/>
  <c r="W171" i="3"/>
  <c r="G54" i="3"/>
  <c r="AD82" i="3"/>
  <c r="N93" i="3"/>
  <c r="P96" i="3"/>
  <c r="H100" i="3"/>
  <c r="J103" i="3"/>
  <c r="L106" i="3"/>
  <c r="AD109" i="3"/>
  <c r="AF112" i="3"/>
  <c r="H116" i="3"/>
  <c r="Z119" i="3"/>
  <c r="AB122" i="3"/>
  <c r="AD125" i="3"/>
  <c r="V129" i="3"/>
  <c r="X132" i="3"/>
  <c r="Z135" i="3"/>
  <c r="Z138" i="3"/>
  <c r="T139" i="3"/>
  <c r="N140" i="3"/>
  <c r="L141" i="3"/>
  <c r="AF141" i="3"/>
  <c r="Z142" i="3"/>
  <c r="X143" i="3"/>
  <c r="R144" i="3"/>
  <c r="L145" i="3"/>
  <c r="J146" i="3"/>
  <c r="AD146" i="3"/>
  <c r="X147" i="3"/>
  <c r="V148" i="3"/>
  <c r="P149" i="3"/>
  <c r="J150" i="3"/>
  <c r="H151" i="3"/>
  <c r="AB151" i="3"/>
  <c r="V152" i="3"/>
  <c r="T153" i="3"/>
  <c r="N154" i="3"/>
  <c r="H155" i="3"/>
  <c r="X155" i="3"/>
  <c r="N156" i="3"/>
  <c r="AD156" i="3"/>
  <c r="T157" i="3"/>
  <c r="J158" i="3"/>
  <c r="Z158" i="3"/>
  <c r="P159" i="3"/>
  <c r="AF159" i="3"/>
  <c r="V160" i="3"/>
  <c r="L161" i="3"/>
  <c r="AB161" i="3"/>
  <c r="R162" i="3"/>
  <c r="H163" i="3"/>
  <c r="X163" i="3"/>
  <c r="N164" i="3"/>
  <c r="AD164" i="3"/>
  <c r="T165" i="3"/>
  <c r="J166" i="3"/>
  <c r="Z166" i="3"/>
  <c r="P167" i="3"/>
  <c r="AF167" i="3"/>
  <c r="V168" i="3"/>
  <c r="L169" i="3"/>
  <c r="AB169" i="3"/>
  <c r="R170" i="3"/>
  <c r="H171" i="3"/>
  <c r="X171" i="3"/>
  <c r="N172" i="3"/>
  <c r="AD172" i="3"/>
  <c r="T173" i="3"/>
  <c r="J174" i="3"/>
  <c r="Z174" i="3"/>
  <c r="P175" i="3"/>
  <c r="AF175" i="3"/>
  <c r="V176" i="3"/>
  <c r="L177" i="3"/>
  <c r="AB177" i="3"/>
  <c r="H94" i="3"/>
  <c r="AD103" i="3"/>
  <c r="Z113" i="3"/>
  <c r="V123" i="3"/>
  <c r="R133" i="3"/>
  <c r="Y139" i="3"/>
  <c r="K142" i="3"/>
  <c r="W144" i="3"/>
  <c r="I147" i="3"/>
  <c r="U149" i="3"/>
  <c r="G152" i="3"/>
  <c r="S154" i="3"/>
  <c r="AE156" i="3"/>
  <c r="Q159" i="3"/>
  <c r="AC161" i="3"/>
  <c r="O164" i="3"/>
  <c r="AA166" i="3"/>
  <c r="M169" i="3"/>
  <c r="Y171" i="3"/>
  <c r="AF172" i="3"/>
  <c r="AA173" i="3"/>
  <c r="W174" i="3"/>
  <c r="R175" i="3"/>
  <c r="M176" i="3"/>
  <c r="I177" i="3"/>
  <c r="AD177" i="3"/>
  <c r="T178" i="3"/>
  <c r="J179" i="3"/>
  <c r="Z179" i="3"/>
  <c r="P180" i="3"/>
  <c r="AF180" i="3"/>
  <c r="V181" i="3"/>
  <c r="L182" i="3"/>
  <c r="AB182" i="3"/>
  <c r="R183" i="3"/>
  <c r="H184" i="3"/>
  <c r="X184" i="3"/>
  <c r="N185" i="3"/>
  <c r="AD185" i="3"/>
  <c r="T186" i="3"/>
  <c r="J187" i="3"/>
  <c r="Z187" i="3"/>
  <c r="P188" i="3"/>
  <c r="AF188" i="3"/>
  <c r="V189" i="3"/>
  <c r="L190" i="3"/>
  <c r="AB190" i="3"/>
  <c r="R191" i="3"/>
  <c r="H192" i="3"/>
  <c r="X192" i="3"/>
  <c r="N193" i="3"/>
  <c r="AD193" i="3"/>
  <c r="T194" i="3"/>
  <c r="J195" i="3"/>
  <c r="Z195" i="3"/>
  <c r="P196" i="3"/>
  <c r="AF196" i="3"/>
  <c r="V197" i="3"/>
  <c r="L198" i="3"/>
  <c r="AB198" i="3"/>
  <c r="R199" i="3"/>
  <c r="H200" i="3"/>
  <c r="X200" i="3"/>
  <c r="N201" i="3"/>
  <c r="AD201" i="3"/>
  <c r="T202" i="3"/>
  <c r="J203" i="3"/>
  <c r="Z203" i="3"/>
  <c r="P204" i="3"/>
  <c r="AF204" i="3"/>
  <c r="V205" i="3"/>
  <c r="L206" i="3"/>
  <c r="AB206" i="3"/>
  <c r="Y169" i="3"/>
  <c r="AA174" i="3"/>
  <c r="G177" i="3"/>
  <c r="M179" i="3"/>
  <c r="AE180" i="3"/>
  <c r="W182" i="3"/>
  <c r="AA184" i="3"/>
  <c r="S186" i="3"/>
  <c r="O188" i="3"/>
  <c r="K190" i="3"/>
  <c r="G192" i="3"/>
  <c r="Y193" i="3"/>
  <c r="AC195" i="3"/>
  <c r="G198" i="3"/>
  <c r="G200" i="3"/>
  <c r="G202" i="3"/>
  <c r="G204" i="3"/>
  <c r="G206" i="3"/>
  <c r="AD90" i="3"/>
  <c r="H102" i="3"/>
  <c r="AD111" i="3"/>
  <c r="Z121" i="3"/>
  <c r="V131" i="3"/>
  <c r="M139" i="3"/>
  <c r="Y141" i="3"/>
  <c r="K144" i="3"/>
  <c r="W146" i="3"/>
  <c r="I149" i="3"/>
  <c r="U151" i="3"/>
  <c r="G154" i="3"/>
  <c r="S156" i="3"/>
  <c r="AE158" i="3"/>
  <c r="Q161" i="3"/>
  <c r="AC163" i="3"/>
  <c r="O166" i="3"/>
  <c r="AA168" i="3"/>
  <c r="M171" i="3"/>
  <c r="AB172" i="3"/>
  <c r="W173" i="3"/>
  <c r="S174" i="3"/>
  <c r="N175" i="3"/>
  <c r="I176" i="3"/>
  <c r="AE176" i="3"/>
  <c r="Z177" i="3"/>
  <c r="Q178" i="3"/>
  <c r="G179" i="3"/>
  <c r="W179" i="3"/>
  <c r="M180" i="3"/>
  <c r="AC180" i="3"/>
  <c r="S181" i="3"/>
  <c r="I182" i="3"/>
  <c r="Y182" i="3"/>
  <c r="O183" i="3"/>
  <c r="AE183" i="3"/>
  <c r="U184" i="3"/>
  <c r="K185" i="3"/>
  <c r="AA185" i="3"/>
  <c r="Q186" i="3"/>
  <c r="G187" i="3"/>
  <c r="W187" i="3"/>
  <c r="M188" i="3"/>
  <c r="AC188" i="3"/>
  <c r="S189" i="3"/>
  <c r="I190" i="3"/>
  <c r="Y190" i="3"/>
  <c r="O191" i="3"/>
  <c r="AE191" i="3"/>
  <c r="U192" i="3"/>
  <c r="K193" i="3"/>
  <c r="AA193" i="3"/>
  <c r="Q194" i="3"/>
  <c r="G195" i="3"/>
  <c r="W195" i="3"/>
  <c r="M196" i="3"/>
  <c r="AC196" i="3"/>
  <c r="S197" i="3"/>
  <c r="I198" i="3"/>
  <c r="Y198" i="3"/>
  <c r="O199" i="3"/>
  <c r="AE199" i="3"/>
  <c r="U200" i="3"/>
  <c r="K201" i="3"/>
  <c r="AA201" i="3"/>
  <c r="Q202" i="3"/>
  <c r="G203" i="3"/>
  <c r="W203" i="3"/>
  <c r="M204" i="3"/>
  <c r="AC204" i="3"/>
  <c r="S205" i="3"/>
  <c r="I206" i="3"/>
  <c r="Y206" i="3"/>
  <c r="O170" i="3"/>
  <c r="K174" i="3"/>
  <c r="Q176" i="3"/>
  <c r="AA178" i="3"/>
  <c r="AA180" i="3"/>
  <c r="AE182" i="3"/>
  <c r="W184" i="3"/>
  <c r="AA186" i="3"/>
  <c r="AA188" i="3"/>
  <c r="W190" i="3"/>
  <c r="S192" i="3"/>
  <c r="O194" i="3"/>
  <c r="G196" i="3"/>
  <c r="U197" i="3"/>
  <c r="Y199" i="3"/>
  <c r="Q201" i="3"/>
  <c r="M203" i="3"/>
  <c r="I205" i="3"/>
  <c r="AA206" i="3"/>
  <c r="N95" i="3"/>
  <c r="J105" i="3"/>
  <c r="AF114" i="3"/>
  <c r="AB124" i="3"/>
  <c r="X134" i="3"/>
  <c r="G140" i="3"/>
  <c r="S142" i="3"/>
  <c r="AE144" i="3"/>
  <c r="Q147" i="3"/>
  <c r="AC149" i="3"/>
  <c r="O152" i="3"/>
  <c r="AA154" i="3"/>
  <c r="M157" i="3"/>
  <c r="Y159" i="3"/>
  <c r="K162" i="3"/>
  <c r="W164" i="3"/>
  <c r="I167" i="3"/>
  <c r="U169" i="3"/>
  <c r="G172" i="3"/>
  <c r="I173" i="3"/>
  <c r="AD173" i="3"/>
  <c r="Y174" i="3"/>
  <c r="U175" i="3"/>
  <c r="P176" i="3"/>
  <c r="K177" i="3"/>
  <c r="AF177" i="3"/>
  <c r="V178" i="3"/>
  <c r="L179" i="3"/>
  <c r="AB179" i="3"/>
  <c r="R180" i="3"/>
  <c r="H181" i="3"/>
  <c r="X181" i="3"/>
  <c r="N182" i="3"/>
  <c r="AD182" i="3"/>
  <c r="T183" i="3"/>
  <c r="J184" i="3"/>
  <c r="Z184" i="3"/>
  <c r="P185" i="3"/>
  <c r="AF185" i="3"/>
  <c r="V186" i="3"/>
  <c r="L187" i="3"/>
  <c r="AB187" i="3"/>
  <c r="R188" i="3"/>
  <c r="H189" i="3"/>
  <c r="X189" i="3"/>
  <c r="N190" i="3"/>
  <c r="AD190" i="3"/>
  <c r="T191" i="3"/>
  <c r="J192" i="3"/>
  <c r="Z192" i="3"/>
  <c r="P193" i="3"/>
  <c r="AF193" i="3"/>
  <c r="V194" i="3"/>
  <c r="L195" i="3"/>
  <c r="AB195" i="3"/>
  <c r="R196" i="3"/>
  <c r="H197" i="3"/>
  <c r="X197" i="3"/>
  <c r="N198" i="3"/>
  <c r="AD198" i="3"/>
  <c r="T199" i="3"/>
  <c r="J200" i="3"/>
  <c r="Z200" i="3"/>
  <c r="P201" i="3"/>
  <c r="AF201" i="3"/>
  <c r="V202" i="3"/>
  <c r="L203" i="3"/>
  <c r="AB203" i="3"/>
  <c r="R204" i="3"/>
  <c r="H205" i="3"/>
  <c r="X205" i="3"/>
  <c r="N206" i="3"/>
  <c r="AD206" i="3"/>
  <c r="AB100" i="3"/>
  <c r="X110" i="3"/>
  <c r="T120" i="3"/>
  <c r="P130" i="3"/>
  <c r="AE138" i="3"/>
  <c r="Q141" i="3"/>
  <c r="AC143" i="3"/>
  <c r="O146" i="3"/>
  <c r="AA148" i="3"/>
  <c r="M151" i="3"/>
  <c r="Y153" i="3"/>
  <c r="K156" i="3"/>
  <c r="W158" i="3"/>
  <c r="Y161" i="3"/>
  <c r="AA164" i="3"/>
  <c r="M167" i="3"/>
  <c r="AE170" i="3"/>
  <c r="Z173" i="3"/>
  <c r="L176" i="3"/>
  <c r="S178" i="3"/>
  <c r="K180" i="3"/>
  <c r="G182" i="3"/>
  <c r="Y183" i="3"/>
  <c r="Q185" i="3"/>
  <c r="I187" i="3"/>
  <c r="AE188" i="3"/>
  <c r="AA190" i="3"/>
  <c r="W192" i="3"/>
  <c r="S194" i="3"/>
  <c r="K196" i="3"/>
  <c r="AC197" i="3"/>
  <c r="U199" i="3"/>
  <c r="M201" i="3"/>
  <c r="AE202" i="3"/>
  <c r="AA204" i="3"/>
  <c r="S206" i="3"/>
  <c r="AF21" i="3"/>
  <c r="O27" i="3"/>
  <c r="Y7" i="3"/>
  <c r="J20" i="3"/>
  <c r="Q21" i="3"/>
  <c r="S25" i="3"/>
  <c r="J26" i="3"/>
  <c r="T33" i="3"/>
  <c r="Z44" i="3"/>
  <c r="V52" i="3"/>
  <c r="G32" i="3"/>
  <c r="Y37" i="3"/>
  <c r="G44" i="3"/>
  <c r="Q49" i="3"/>
  <c r="W21" i="3"/>
  <c r="J33" i="3"/>
  <c r="N37" i="3"/>
  <c r="V41" i="3"/>
  <c r="L46" i="3"/>
  <c r="P50" i="3"/>
  <c r="Y32" i="3"/>
  <c r="AA51" i="3"/>
  <c r="AB56" i="3"/>
  <c r="T60" i="3"/>
  <c r="H64" i="3"/>
  <c r="J67" i="3"/>
  <c r="P70" i="3"/>
  <c r="G31" i="3"/>
  <c r="O43" i="3"/>
  <c r="U52" i="3"/>
  <c r="K55" i="3"/>
  <c r="O57" i="3"/>
  <c r="S59" i="3"/>
  <c r="AA61" i="3"/>
  <c r="AA63" i="3"/>
  <c r="I66" i="3"/>
  <c r="Q68" i="3"/>
  <c r="Q70" i="3"/>
  <c r="Y72" i="3"/>
  <c r="S35" i="3"/>
  <c r="I44" i="3"/>
  <c r="Y52" i="3"/>
  <c r="P55" i="3"/>
  <c r="P57" i="3"/>
  <c r="X59" i="3"/>
  <c r="AF61" i="3"/>
  <c r="AF63" i="3"/>
  <c r="N66" i="3"/>
  <c r="R68" i="3"/>
  <c r="V70" i="3"/>
  <c r="Z72" i="3"/>
  <c r="Q55" i="3"/>
  <c r="Q63" i="3"/>
  <c r="W72" i="3"/>
  <c r="I75" i="3"/>
  <c r="I77" i="3"/>
  <c r="Q79" i="3"/>
  <c r="U81" i="3"/>
  <c r="Y83" i="3"/>
  <c r="AC85" i="3"/>
  <c r="K88" i="3"/>
  <c r="K90" i="3"/>
  <c r="S92" i="3"/>
  <c r="AE54" i="3"/>
  <c r="AE62" i="3"/>
  <c r="K72" i="3"/>
  <c r="AB74" i="3"/>
  <c r="AF76" i="3"/>
  <c r="J79" i="3"/>
  <c r="R81" i="3"/>
  <c r="R83" i="3"/>
  <c r="Z85" i="3"/>
  <c r="H88" i="3"/>
  <c r="H90" i="3"/>
  <c r="P92" i="3"/>
  <c r="AC53" i="3"/>
  <c r="S62" i="3"/>
  <c r="I71" i="3"/>
  <c r="Y74" i="3"/>
  <c r="Y76" i="3"/>
  <c r="G79" i="3"/>
  <c r="O81" i="3"/>
  <c r="O83" i="3"/>
  <c r="W85" i="3"/>
  <c r="AA87" i="3"/>
  <c r="AA89" i="3"/>
  <c r="S91" i="3"/>
  <c r="I57" i="3"/>
  <c r="H75" i="3"/>
  <c r="AB81" i="3"/>
  <c r="V88" i="3"/>
  <c r="K93" i="3"/>
  <c r="AC94" i="3"/>
  <c r="U96" i="3"/>
  <c r="I98" i="3"/>
  <c r="AA99" i="3"/>
  <c r="S101" i="3"/>
  <c r="G103" i="3"/>
  <c r="Y104" i="3"/>
  <c r="Q106" i="3"/>
  <c r="AE107" i="3"/>
  <c r="W109" i="3"/>
  <c r="O111" i="3"/>
  <c r="AC112" i="3"/>
  <c r="U114" i="3"/>
  <c r="M116" i="3"/>
  <c r="AA117" i="3"/>
  <c r="S119" i="3"/>
  <c r="K121" i="3"/>
  <c r="Y122" i="3"/>
  <c r="Q124" i="3"/>
  <c r="I126" i="3"/>
  <c r="W127" i="3"/>
  <c r="O129" i="3"/>
  <c r="G131" i="3"/>
  <c r="U132" i="3"/>
  <c r="M134" i="3"/>
  <c r="AE135" i="3"/>
  <c r="S137" i="3"/>
  <c r="Y57" i="3"/>
  <c r="AB75" i="3"/>
  <c r="AF81" i="3"/>
  <c r="Z88" i="3"/>
  <c r="P93" i="3"/>
  <c r="AD94" i="3"/>
  <c r="V96" i="3"/>
  <c r="N98" i="3"/>
  <c r="AB99" i="3"/>
  <c r="T101" i="3"/>
  <c r="L103" i="3"/>
  <c r="Z104" i="3"/>
  <c r="R106" i="3"/>
  <c r="J108" i="3"/>
  <c r="X109" i="3"/>
  <c r="P111" i="3"/>
  <c r="H113" i="3"/>
  <c r="V114" i="3"/>
  <c r="N116" i="3"/>
  <c r="AF117" i="3"/>
  <c r="T119" i="3"/>
  <c r="L121" i="3"/>
  <c r="AD122" i="3"/>
  <c r="R124" i="3"/>
  <c r="J126" i="3"/>
  <c r="AB127" i="3"/>
  <c r="P129" i="3"/>
  <c r="H131" i="3"/>
  <c r="Z132" i="3"/>
  <c r="N134" i="3"/>
  <c r="AF135" i="3"/>
  <c r="X137" i="3"/>
  <c r="O58" i="3"/>
  <c r="AF75" i="3"/>
  <c r="Z82" i="3"/>
  <c r="AD88" i="3"/>
  <c r="AA92" i="3"/>
  <c r="AC93" i="3"/>
  <c r="I95" i="3"/>
  <c r="G96" i="3"/>
  <c r="I97" i="3"/>
  <c r="O98" i="3"/>
  <c r="Q99" i="3"/>
  <c r="O100" i="3"/>
  <c r="U101" i="3"/>
  <c r="W102" i="3"/>
  <c r="Y103" i="3"/>
  <c r="AE104" i="3"/>
  <c r="AC105" i="3"/>
  <c r="AE106" i="3"/>
  <c r="K108" i="3"/>
  <c r="M109" i="3"/>
  <c r="K110" i="3"/>
  <c r="Q111" i="3"/>
  <c r="S112" i="3"/>
  <c r="U113" i="3"/>
  <c r="AA114" i="3"/>
  <c r="Y115" i="3"/>
  <c r="AA116" i="3"/>
  <c r="G118" i="3"/>
  <c r="I119" i="3"/>
  <c r="G120" i="3"/>
  <c r="M121" i="3"/>
  <c r="K122" i="3"/>
  <c r="AE122" i="3"/>
  <c r="Y123" i="3"/>
  <c r="W124" i="3"/>
  <c r="Q125" i="3"/>
  <c r="K126" i="3"/>
  <c r="I127" i="3"/>
  <c r="AC127" i="3"/>
  <c r="W128" i="3"/>
  <c r="U129" i="3"/>
  <c r="O130" i="3"/>
  <c r="I131" i="3"/>
  <c r="G132" i="3"/>
  <c r="AA132" i="3"/>
  <c r="U133" i="3"/>
  <c r="S134" i="3"/>
  <c r="M135" i="3"/>
  <c r="G136" i="3"/>
  <c r="AE136" i="3"/>
  <c r="Y137" i="3"/>
  <c r="S138" i="3"/>
  <c r="L79" i="3"/>
  <c r="T91" i="3"/>
  <c r="R95" i="3"/>
  <c r="J99" i="3"/>
  <c r="L102" i="3"/>
  <c r="N105" i="3"/>
  <c r="AF108" i="3"/>
  <c r="H112" i="3"/>
  <c r="J115" i="3"/>
  <c r="AB118" i="3"/>
  <c r="AD121" i="3"/>
  <c r="AF124" i="3"/>
  <c r="X128" i="3"/>
  <c r="Z131" i="3"/>
  <c r="AB134" i="3"/>
  <c r="T138" i="3"/>
  <c r="N139" i="3"/>
  <c r="H140" i="3"/>
  <c r="AF140" i="3"/>
  <c r="Z141" i="3"/>
  <c r="T142" i="3"/>
  <c r="R143" i="3"/>
  <c r="L144" i="3"/>
  <c r="AF144" i="3"/>
  <c r="AD145" i="3"/>
  <c r="X146" i="3"/>
  <c r="R147" i="3"/>
  <c r="P148" i="3"/>
  <c r="J149" i="3"/>
  <c r="AD149" i="3"/>
  <c r="AB150" i="3"/>
  <c r="V151" i="3"/>
  <c r="P152" i="3"/>
  <c r="N153" i="3"/>
  <c r="H154" i="3"/>
  <c r="AB154" i="3"/>
  <c r="Z155" i="3"/>
  <c r="T156" i="3"/>
  <c r="N157" i="3"/>
  <c r="L158" i="3"/>
  <c r="AF158" i="3"/>
  <c r="Z159" i="3"/>
  <c r="X160" i="3"/>
  <c r="R161" i="3"/>
  <c r="L162" i="3"/>
  <c r="J163" i="3"/>
  <c r="AD163" i="3"/>
  <c r="X164" i="3"/>
  <c r="V165" i="3"/>
  <c r="P166" i="3"/>
  <c r="J167" i="3"/>
  <c r="H168" i="3"/>
  <c r="AB168" i="3"/>
  <c r="V169" i="3"/>
  <c r="T170" i="3"/>
  <c r="N171" i="3"/>
  <c r="H172" i="3"/>
  <c r="AD74" i="3"/>
  <c r="L87" i="3"/>
  <c r="P94" i="3"/>
  <c r="H98" i="3"/>
  <c r="J101" i="3"/>
  <c r="L104" i="3"/>
  <c r="AD107" i="3"/>
  <c r="AF110" i="3"/>
  <c r="H114" i="3"/>
  <c r="Z117" i="3"/>
  <c r="AB120" i="3"/>
  <c r="AD123" i="3"/>
  <c r="V127" i="3"/>
  <c r="X130" i="3"/>
  <c r="Z133" i="3"/>
  <c r="R137" i="3"/>
  <c r="G139" i="3"/>
  <c r="AA139" i="3"/>
  <c r="Y140" i="3"/>
  <c r="S141" i="3"/>
  <c r="M142" i="3"/>
  <c r="K143" i="3"/>
  <c r="AE143" i="3"/>
  <c r="Y144" i="3"/>
  <c r="W145" i="3"/>
  <c r="Q146" i="3"/>
  <c r="K147" i="3"/>
  <c r="I148" i="3"/>
  <c r="AC148" i="3"/>
  <c r="W149" i="3"/>
  <c r="U150" i="3"/>
  <c r="O151" i="3"/>
  <c r="I152" i="3"/>
  <c r="G153" i="3"/>
  <c r="AA153" i="3"/>
  <c r="U154" i="3"/>
  <c r="S155" i="3"/>
  <c r="M156" i="3"/>
  <c r="G157" i="3"/>
  <c r="AE157" i="3"/>
  <c r="Y158" i="3"/>
  <c r="S159" i="3"/>
  <c r="Q160" i="3"/>
  <c r="K161" i="3"/>
  <c r="AE161" i="3"/>
  <c r="AC162" i="3"/>
  <c r="W163" i="3"/>
  <c r="Q164" i="3"/>
  <c r="O165" i="3"/>
  <c r="I166" i="3"/>
  <c r="AC166" i="3"/>
  <c r="AA167" i="3"/>
  <c r="U168" i="3"/>
  <c r="O169" i="3"/>
  <c r="M170" i="3"/>
  <c r="G171" i="3"/>
  <c r="AA171" i="3"/>
  <c r="H73" i="3"/>
  <c r="P85" i="3"/>
  <c r="AD93" i="3"/>
  <c r="V97" i="3"/>
  <c r="X100" i="3"/>
  <c r="Z103" i="3"/>
  <c r="R107" i="3"/>
  <c r="T110" i="3"/>
  <c r="V113" i="3"/>
  <c r="N117" i="3"/>
  <c r="P120" i="3"/>
  <c r="R123" i="3"/>
  <c r="J127" i="3"/>
  <c r="L130" i="3"/>
  <c r="N133" i="3"/>
  <c r="AF136" i="3"/>
  <c r="AD138" i="3"/>
  <c r="X139" i="3"/>
  <c r="V140" i="3"/>
  <c r="P141" i="3"/>
  <c r="J142" i="3"/>
  <c r="H143" i="3"/>
  <c r="AB143" i="3"/>
  <c r="V144" i="3"/>
  <c r="T145" i="3"/>
  <c r="N146" i="3"/>
  <c r="H147" i="3"/>
  <c r="AF147" i="3"/>
  <c r="Z148" i="3"/>
  <c r="T149" i="3"/>
  <c r="R150" i="3"/>
  <c r="L151" i="3"/>
  <c r="AF151" i="3"/>
  <c r="AD152" i="3"/>
  <c r="X153" i="3"/>
  <c r="R154" i="3"/>
  <c r="L155" i="3"/>
  <c r="AB155" i="3"/>
  <c r="R156" i="3"/>
  <c r="H157" i="3"/>
  <c r="X157" i="3"/>
  <c r="N158" i="3"/>
  <c r="AD158" i="3"/>
  <c r="T159" i="3"/>
  <c r="J160" i="3"/>
  <c r="Z160" i="3"/>
  <c r="P161" i="3"/>
  <c r="AF161" i="3"/>
  <c r="V162" i="3"/>
  <c r="L163" i="3"/>
  <c r="AB163" i="3"/>
  <c r="R164" i="3"/>
  <c r="H165" i="3"/>
  <c r="X165" i="3"/>
  <c r="N166" i="3"/>
  <c r="AD166" i="3"/>
  <c r="T167" i="3"/>
  <c r="J168" i="3"/>
  <c r="Z168" i="3"/>
  <c r="P169" i="3"/>
  <c r="AF169" i="3"/>
  <c r="V170" i="3"/>
  <c r="L171" i="3"/>
  <c r="AB171" i="3"/>
  <c r="R172" i="3"/>
  <c r="H173" i="3"/>
  <c r="X173" i="3"/>
  <c r="N174" i="3"/>
  <c r="AD174" i="3"/>
  <c r="T175" i="3"/>
  <c r="J176" i="3"/>
  <c r="Z176" i="3"/>
  <c r="P177" i="3"/>
  <c r="S56" i="3"/>
  <c r="T96" i="3"/>
  <c r="P106" i="3"/>
  <c r="L116" i="3"/>
  <c r="H126" i="3"/>
  <c r="AD135" i="3"/>
  <c r="O140" i="3"/>
  <c r="AA142" i="3"/>
  <c r="M145" i="3"/>
  <c r="Y147" i="3"/>
  <c r="K150" i="3"/>
  <c r="W152" i="3"/>
  <c r="I155" i="3"/>
  <c r="U157" i="3"/>
  <c r="G160" i="3"/>
  <c r="S162" i="3"/>
  <c r="AE164" i="3"/>
  <c r="Q167" i="3"/>
  <c r="AC169" i="3"/>
  <c r="O172" i="3"/>
  <c r="K173" i="3"/>
  <c r="G174" i="3"/>
  <c r="AB174" i="3"/>
  <c r="W175" i="3"/>
  <c r="S176" i="3"/>
  <c r="N177" i="3"/>
  <c r="H178" i="3"/>
  <c r="X178" i="3"/>
  <c r="N179" i="3"/>
  <c r="AD179" i="3"/>
  <c r="T180" i="3"/>
  <c r="J181" i="3"/>
  <c r="Z181" i="3"/>
  <c r="P182" i="3"/>
  <c r="AF182" i="3"/>
  <c r="V183" i="3"/>
  <c r="L184" i="3"/>
  <c r="AB184" i="3"/>
  <c r="R185" i="3"/>
  <c r="H186" i="3"/>
  <c r="X186" i="3"/>
  <c r="N187" i="3"/>
  <c r="AD187" i="3"/>
  <c r="T188" i="3"/>
  <c r="J189" i="3"/>
  <c r="Z189" i="3"/>
  <c r="P190" i="3"/>
  <c r="AF190" i="3"/>
  <c r="V191" i="3"/>
  <c r="L192" i="3"/>
  <c r="AB192" i="3"/>
  <c r="R193" i="3"/>
  <c r="H194" i="3"/>
  <c r="X194" i="3"/>
  <c r="N195" i="3"/>
  <c r="AD195" i="3"/>
  <c r="T196" i="3"/>
  <c r="J197" i="3"/>
  <c r="Z197" i="3"/>
  <c r="P198" i="3"/>
  <c r="AF198" i="3"/>
  <c r="V199" i="3"/>
  <c r="L200" i="3"/>
  <c r="AB200" i="3"/>
  <c r="R201" i="3"/>
  <c r="H202" i="3"/>
  <c r="X202" i="3"/>
  <c r="N203" i="3"/>
  <c r="AD203" i="3"/>
  <c r="T204" i="3"/>
  <c r="J205" i="3"/>
  <c r="Z205" i="3"/>
  <c r="P206" i="3"/>
  <c r="AF206" i="3"/>
  <c r="Y172" i="3"/>
  <c r="K175" i="3"/>
  <c r="AC177" i="3"/>
  <c r="U179" i="3"/>
  <c r="M181" i="3"/>
  <c r="I183" i="3"/>
  <c r="I185" i="3"/>
  <c r="AE186" i="3"/>
  <c r="W188" i="3"/>
  <c r="S190" i="3"/>
  <c r="O192" i="3"/>
  <c r="K194" i="3"/>
  <c r="W196" i="3"/>
  <c r="S198" i="3"/>
  <c r="W200" i="3"/>
  <c r="O202" i="3"/>
  <c r="W204" i="3"/>
  <c r="W206" i="3"/>
  <c r="X94" i="3"/>
  <c r="T104" i="3"/>
  <c r="P114" i="3"/>
  <c r="L124" i="3"/>
  <c r="H134" i="3"/>
  <c r="AC139" i="3"/>
  <c r="O142" i="3"/>
  <c r="AA144" i="3"/>
  <c r="M147" i="3"/>
  <c r="Y149" i="3"/>
  <c r="K152" i="3"/>
  <c r="W154" i="3"/>
  <c r="I157" i="3"/>
  <c r="U159" i="3"/>
  <c r="G162" i="3"/>
  <c r="S164" i="3"/>
  <c r="AE166" i="3"/>
  <c r="Q169" i="3"/>
  <c r="AC171" i="3"/>
  <c r="G173" i="3"/>
  <c r="AC173" i="3"/>
  <c r="X174" i="3"/>
  <c r="S175" i="3"/>
  <c r="O176" i="3"/>
  <c r="J177" i="3"/>
  <c r="AE177" i="3"/>
  <c r="U178" i="3"/>
  <c r="K179" i="3"/>
  <c r="AA179" i="3"/>
  <c r="Q180" i="3"/>
  <c r="G181" i="3"/>
  <c r="W181" i="3"/>
  <c r="M182" i="3"/>
  <c r="AC182" i="3"/>
  <c r="S183" i="3"/>
  <c r="I184" i="3"/>
  <c r="Y184" i="3"/>
  <c r="O185" i="3"/>
  <c r="AE185" i="3"/>
  <c r="U186" i="3"/>
  <c r="K187" i="3"/>
  <c r="AA187" i="3"/>
  <c r="Q188" i="3"/>
  <c r="G189" i="3"/>
  <c r="W189" i="3"/>
  <c r="M190" i="3"/>
  <c r="AC190" i="3"/>
  <c r="S191" i="3"/>
  <c r="I192" i="3"/>
  <c r="Y192" i="3"/>
  <c r="O193" i="3"/>
  <c r="AE193" i="3"/>
  <c r="U194" i="3"/>
  <c r="K195" i="3"/>
  <c r="AA195" i="3"/>
  <c r="Q196" i="3"/>
  <c r="G197" i="3"/>
  <c r="W197" i="3"/>
  <c r="M198" i="3"/>
  <c r="AC198" i="3"/>
  <c r="S199" i="3"/>
  <c r="I200" i="3"/>
  <c r="Y200" i="3"/>
  <c r="O201" i="3"/>
  <c r="AE201" i="3"/>
  <c r="U202" i="3"/>
  <c r="K203" i="3"/>
  <c r="AA203" i="3"/>
  <c r="Q204" i="3"/>
  <c r="G205" i="3"/>
  <c r="W205" i="3"/>
  <c r="M206" i="3"/>
  <c r="AC206" i="3"/>
  <c r="K172" i="3"/>
  <c r="U174" i="3"/>
  <c r="M177" i="3"/>
  <c r="I179" i="3"/>
  <c r="Q181" i="3"/>
  <c r="Q183" i="3"/>
  <c r="M185" i="3"/>
  <c r="M187" i="3"/>
  <c r="I189" i="3"/>
  <c r="AE190" i="3"/>
  <c r="AA192" i="3"/>
  <c r="W194" i="3"/>
  <c r="O196" i="3"/>
  <c r="O198" i="3"/>
  <c r="K200" i="3"/>
  <c r="AC201" i="3"/>
  <c r="Y203" i="3"/>
  <c r="U205" i="3"/>
  <c r="X73" i="3"/>
  <c r="Z97" i="3"/>
  <c r="V107" i="3"/>
  <c r="R117" i="3"/>
  <c r="N127" i="3"/>
  <c r="J137" i="3"/>
  <c r="W140" i="3"/>
  <c r="I143" i="3"/>
  <c r="U145" i="3"/>
  <c r="G148" i="3"/>
  <c r="S150" i="3"/>
  <c r="AE152" i="3"/>
  <c r="Q155" i="3"/>
  <c r="AC157" i="3"/>
  <c r="O160" i="3"/>
  <c r="AA162" i="3"/>
  <c r="M165" i="3"/>
  <c r="Y167" i="3"/>
  <c r="K170" i="3"/>
  <c r="S172" i="3"/>
  <c r="N173" i="3"/>
  <c r="I174" i="3"/>
  <c r="AE174" i="3"/>
  <c r="Z175" i="3"/>
  <c r="U176" i="3"/>
  <c r="Q177" i="3"/>
  <c r="J178" i="3"/>
  <c r="Z178" i="3"/>
  <c r="P179" i="3"/>
  <c r="AF179" i="3"/>
  <c r="V180" i="3"/>
  <c r="L181" i="3"/>
  <c r="AB181" i="3"/>
  <c r="R182" i="3"/>
  <c r="H183" i="3"/>
  <c r="X183" i="3"/>
  <c r="N184" i="3"/>
  <c r="AD184" i="3"/>
  <c r="T185" i="3"/>
  <c r="J186" i="3"/>
  <c r="Z186" i="3"/>
  <c r="P187" i="3"/>
  <c r="AF187" i="3"/>
  <c r="V188" i="3"/>
  <c r="L189" i="3"/>
  <c r="AB189" i="3"/>
  <c r="R190" i="3"/>
  <c r="H191" i="3"/>
  <c r="X191" i="3"/>
  <c r="N192" i="3"/>
  <c r="AD192" i="3"/>
  <c r="T193" i="3"/>
  <c r="J194" i="3"/>
  <c r="Z194" i="3"/>
  <c r="P195" i="3"/>
  <c r="AF195" i="3"/>
  <c r="V196" i="3"/>
  <c r="L197" i="3"/>
  <c r="AB197" i="3"/>
  <c r="R198" i="3"/>
  <c r="H199" i="3"/>
  <c r="X199" i="3"/>
  <c r="N200" i="3"/>
  <c r="AD200" i="3"/>
  <c r="T201" i="3"/>
  <c r="J202" i="3"/>
  <c r="Z202" i="3"/>
  <c r="P203" i="3"/>
  <c r="AF203" i="3"/>
  <c r="V204" i="3"/>
  <c r="L205" i="3"/>
  <c r="AB205" i="3"/>
  <c r="R206" i="3"/>
  <c r="J76" i="3"/>
  <c r="N103" i="3"/>
  <c r="J113" i="3"/>
  <c r="AF122" i="3"/>
  <c r="AB132" i="3"/>
  <c r="U139" i="3"/>
  <c r="G142" i="3"/>
  <c r="S144" i="3"/>
  <c r="AE146" i="3"/>
  <c r="Q149" i="3"/>
  <c r="AC151" i="3"/>
  <c r="O154" i="3"/>
  <c r="AA156" i="3"/>
  <c r="M159" i="3"/>
  <c r="AE162" i="3"/>
  <c r="Q165" i="3"/>
  <c r="AC167" i="3"/>
  <c r="U171" i="3"/>
  <c r="P174" i="3"/>
  <c r="AB176" i="3"/>
  <c r="AE178" i="3"/>
  <c r="W180" i="3"/>
  <c r="S182" i="3"/>
  <c r="G184" i="3"/>
  <c r="AC185" i="3"/>
  <c r="U187" i="3"/>
  <c r="Q189" i="3"/>
  <c r="M191" i="3"/>
  <c r="I193" i="3"/>
  <c r="AE194" i="3"/>
  <c r="S196" i="3"/>
  <c r="K198" i="3"/>
  <c r="AC199" i="3"/>
  <c r="Y201" i="3"/>
  <c r="Q203" i="3"/>
  <c r="M205" i="3"/>
  <c r="AE206" i="3"/>
  <c r="Q11" i="3"/>
  <c r="AD9" i="3"/>
  <c r="X35" i="3"/>
  <c r="AD52" i="3"/>
  <c r="S38" i="3"/>
  <c r="W50" i="3"/>
  <c r="N33" i="3"/>
  <c r="L42" i="3"/>
  <c r="J51" i="3"/>
  <c r="Q52" i="3"/>
  <c r="AF60" i="3"/>
  <c r="Z67" i="3"/>
  <c r="W31" i="3"/>
  <c r="K53" i="3"/>
  <c r="W57" i="3"/>
  <c r="AE61" i="3"/>
  <c r="M66" i="3"/>
  <c r="AC70" i="3"/>
  <c r="Y36" i="3"/>
  <c r="P53" i="3"/>
  <c r="AB57" i="3"/>
  <c r="J62" i="3"/>
  <c r="R66" i="3"/>
  <c r="AD70" i="3"/>
  <c r="G56" i="3"/>
  <c r="AE72" i="3"/>
  <c r="U77" i="3"/>
  <c r="AC81" i="3"/>
  <c r="K86" i="3"/>
  <c r="W90" i="3"/>
  <c r="U55" i="3"/>
  <c r="AA72" i="3"/>
  <c r="N77" i="3"/>
  <c r="V81" i="3"/>
  <c r="AD85" i="3"/>
  <c r="T90" i="3"/>
  <c r="I55" i="3"/>
  <c r="O72" i="3"/>
  <c r="K77" i="3"/>
  <c r="S81" i="3"/>
  <c r="AA85" i="3"/>
  <c r="I90" i="3"/>
  <c r="U59" i="3"/>
  <c r="R82" i="3"/>
  <c r="S93" i="3"/>
  <c r="Y96" i="3"/>
  <c r="AE99" i="3"/>
  <c r="O103" i="3"/>
  <c r="U106" i="3"/>
  <c r="AA109" i="3"/>
  <c r="K113" i="3"/>
  <c r="Q116" i="3"/>
  <c r="W119" i="3"/>
  <c r="G123" i="3"/>
  <c r="M126" i="3"/>
  <c r="S129" i="3"/>
  <c r="AC132" i="3"/>
  <c r="I136" i="3"/>
  <c r="K60" i="3"/>
  <c r="L83" i="3"/>
  <c r="T93" i="3"/>
  <c r="Z96" i="3"/>
  <c r="J100" i="3"/>
  <c r="P103" i="3"/>
  <c r="V106" i="3"/>
  <c r="AF109" i="3"/>
  <c r="L113" i="3"/>
  <c r="R116" i="3"/>
  <c r="AB119" i="3"/>
  <c r="H123" i="3"/>
  <c r="N126" i="3"/>
  <c r="X129" i="3"/>
  <c r="AD132" i="3"/>
  <c r="J136" i="3"/>
  <c r="M63" i="3"/>
  <c r="P83" i="3"/>
  <c r="AE92" i="3"/>
  <c r="M95" i="3"/>
  <c r="U97" i="3"/>
  <c r="U99" i="3"/>
  <c r="AC101" i="3"/>
  <c r="G104" i="3"/>
  <c r="K106" i="3"/>
  <c r="O108" i="3"/>
  <c r="W110" i="3"/>
  <c r="W112" i="3"/>
  <c r="AE114" i="3"/>
  <c r="M117" i="3"/>
  <c r="M119" i="3"/>
  <c r="U121" i="3"/>
  <c r="I123" i="3"/>
  <c r="AA124" i="3"/>
  <c r="S126" i="3"/>
  <c r="G128" i="3"/>
  <c r="Y129" i="3"/>
  <c r="Q131" i="3"/>
  <c r="AE132" i="3"/>
  <c r="W134" i="3"/>
  <c r="O136" i="3"/>
  <c r="AC137" i="3"/>
  <c r="X81" i="3"/>
  <c r="X96" i="3"/>
  <c r="AB102" i="3"/>
  <c r="V109" i="3"/>
  <c r="P116" i="3"/>
  <c r="T122" i="3"/>
  <c r="N129" i="3"/>
  <c r="H136" i="3"/>
  <c r="R139" i="3"/>
  <c r="J141" i="3"/>
  <c r="AB142" i="3"/>
  <c r="P144" i="3"/>
  <c r="H146" i="3"/>
  <c r="Z147" i="3"/>
  <c r="N149" i="3"/>
  <c r="AF150" i="3"/>
  <c r="X152" i="3"/>
  <c r="L154" i="3"/>
  <c r="AD155" i="3"/>
  <c r="V157" i="3"/>
  <c r="J159" i="3"/>
  <c r="AB160" i="3"/>
  <c r="T162" i="3"/>
  <c r="H164" i="3"/>
  <c r="Z165" i="3"/>
  <c r="R167" i="3"/>
  <c r="AF168" i="3"/>
  <c r="X170" i="3"/>
  <c r="P172" i="3"/>
  <c r="X89" i="3"/>
  <c r="X98" i="3"/>
  <c r="R105" i="3"/>
  <c r="V111" i="3"/>
  <c r="P118" i="3"/>
  <c r="J125" i="3"/>
  <c r="N131" i="3"/>
  <c r="H138" i="3"/>
  <c r="I140" i="3"/>
  <c r="W141" i="3"/>
  <c r="O143" i="3"/>
  <c r="G145" i="3"/>
  <c r="U146" i="3"/>
  <c r="M148" i="3"/>
  <c r="AE149" i="3"/>
  <c r="S151" i="3"/>
  <c r="K153" i="3"/>
  <c r="AC154" i="3"/>
  <c r="Q156" i="3"/>
  <c r="I158" i="3"/>
  <c r="AA159" i="3"/>
  <c r="O161" i="3"/>
  <c r="G163" i="3"/>
  <c r="Y164" i="3"/>
  <c r="M166" i="3"/>
  <c r="AE167" i="3"/>
  <c r="W169" i="3"/>
  <c r="K171" i="3"/>
  <c r="T75" i="3"/>
  <c r="J95" i="3"/>
  <c r="N101" i="3"/>
  <c r="H108" i="3"/>
  <c r="AB114" i="3"/>
  <c r="AF120" i="3"/>
  <c r="Z127" i="3"/>
  <c r="T134" i="3"/>
  <c r="H139" i="3"/>
  <c r="Z140" i="3"/>
  <c r="R142" i="3"/>
  <c r="AF143" i="3"/>
  <c r="X145" i="3"/>
  <c r="P147" i="3"/>
  <c r="AD148" i="3"/>
  <c r="V150" i="3"/>
  <c r="N152" i="3"/>
  <c r="AB153" i="3"/>
  <c r="P155" i="3"/>
  <c r="V156" i="3"/>
  <c r="AB157" i="3"/>
  <c r="H159" i="3"/>
  <c r="N160" i="3"/>
  <c r="T161" i="3"/>
  <c r="Z162" i="3"/>
  <c r="AF163" i="3"/>
  <c r="L165" i="3"/>
  <c r="R166" i="3"/>
  <c r="X167" i="3"/>
  <c r="AD168" i="3"/>
  <c r="J170" i="3"/>
  <c r="P171" i="3"/>
  <c r="V172" i="3"/>
  <c r="AB173" i="3"/>
  <c r="H175" i="3"/>
  <c r="N176" i="3"/>
  <c r="T177" i="3"/>
  <c r="AF98" i="3"/>
  <c r="X118" i="3"/>
  <c r="P138" i="3"/>
  <c r="Q143" i="3"/>
  <c r="O148" i="3"/>
  <c r="M153" i="3"/>
  <c r="K158" i="3"/>
  <c r="I163" i="3"/>
  <c r="G168" i="3"/>
  <c r="U172" i="3"/>
  <c r="L174" i="3"/>
  <c r="AC175" i="3"/>
  <c r="S177" i="3"/>
  <c r="AB178" i="3"/>
  <c r="H180" i="3"/>
  <c r="N181" i="3"/>
  <c r="T182" i="3"/>
  <c r="Z183" i="3"/>
  <c r="AF184" i="3"/>
  <c r="L186" i="3"/>
  <c r="R187" i="3"/>
  <c r="X188" i="3"/>
  <c r="AD189" i="3"/>
  <c r="J191" i="3"/>
  <c r="P192" i="3"/>
  <c r="V193" i="3"/>
  <c r="AB194" i="3"/>
  <c r="H196" i="3"/>
  <c r="N197" i="3"/>
  <c r="T198" i="3"/>
  <c r="Z199" i="3"/>
  <c r="AF200" i="3"/>
  <c r="L202" i="3"/>
  <c r="R203" i="3"/>
  <c r="X204" i="3"/>
  <c r="AD205" i="3"/>
  <c r="R93" i="3"/>
  <c r="AA175" i="3"/>
  <c r="G180" i="3"/>
  <c r="U183" i="3"/>
  <c r="Q187" i="3"/>
  <c r="I191" i="3"/>
  <c r="AA194" i="3"/>
  <c r="AE198" i="3"/>
  <c r="I203" i="3"/>
  <c r="O66" i="3"/>
  <c r="AF106" i="3"/>
  <c r="X126" i="3"/>
  <c r="S140" i="3"/>
  <c r="Q145" i="3"/>
  <c r="O150" i="3"/>
  <c r="M155" i="3"/>
  <c r="K160" i="3"/>
  <c r="I165" i="3"/>
  <c r="G170" i="3"/>
  <c r="M173" i="3"/>
  <c r="AC174" i="3"/>
  <c r="T176" i="3"/>
  <c r="I178" i="3"/>
  <c r="O179" i="3"/>
  <c r="U180" i="3"/>
  <c r="AA181" i="3"/>
  <c r="G183" i="3"/>
  <c r="M184" i="3"/>
  <c r="S185" i="3"/>
  <c r="Y186" i="3"/>
  <c r="AE187" i="3"/>
  <c r="K189" i="3"/>
  <c r="Q190" i="3"/>
  <c r="W191" i="3"/>
  <c r="AC192" i="3"/>
  <c r="I194" i="3"/>
  <c r="O195" i="3"/>
  <c r="U196" i="3"/>
  <c r="AA197" i="3"/>
  <c r="G199" i="3"/>
  <c r="M200" i="3"/>
  <c r="S201" i="3"/>
  <c r="Y202" i="3"/>
  <c r="AE203" i="3"/>
  <c r="K205" i="3"/>
  <c r="Q206" i="3"/>
  <c r="AE172" i="3"/>
  <c r="W177" i="3"/>
  <c r="AC181" i="3"/>
  <c r="U185" i="3"/>
  <c r="Y189" i="3"/>
  <c r="Q193" i="3"/>
  <c r="AA196" i="3"/>
  <c r="S200" i="3"/>
  <c r="K204" i="3"/>
  <c r="T83" i="3"/>
  <c r="H110" i="3"/>
  <c r="Z129" i="3"/>
  <c r="M141" i="3"/>
  <c r="K146" i="3"/>
  <c r="I151" i="3"/>
  <c r="G156" i="3"/>
  <c r="AE160" i="3"/>
  <c r="AC165" i="3"/>
  <c r="AA170" i="3"/>
  <c r="S173" i="3"/>
  <c r="J175" i="3"/>
  <c r="AA176" i="3"/>
  <c r="N178" i="3"/>
  <c r="T179" i="3"/>
  <c r="Z180" i="3"/>
  <c r="AF181" i="3"/>
  <c r="L183" i="3"/>
  <c r="R184" i="3"/>
  <c r="X185" i="3"/>
  <c r="AD186" i="3"/>
  <c r="J188" i="3"/>
  <c r="P189" i="3"/>
  <c r="V190" i="3"/>
  <c r="AB191" i="3"/>
  <c r="H193" i="3"/>
  <c r="N194" i="3"/>
  <c r="T195" i="3"/>
  <c r="Z196" i="3"/>
  <c r="AF197" i="3"/>
  <c r="L199" i="3"/>
  <c r="R200" i="3"/>
  <c r="X201" i="3"/>
  <c r="AD202" i="3"/>
  <c r="J204" i="3"/>
  <c r="P205" i="3"/>
  <c r="V206" i="3"/>
  <c r="Z105" i="3"/>
  <c r="R125" i="3"/>
  <c r="K140" i="3"/>
  <c r="I145" i="3"/>
  <c r="G150" i="3"/>
  <c r="AE154" i="3"/>
  <c r="AC159" i="3"/>
  <c r="G166" i="3"/>
  <c r="T172" i="3"/>
  <c r="R177" i="3"/>
  <c r="I181" i="3"/>
  <c r="S184" i="3"/>
  <c r="G188" i="3"/>
  <c r="Y191" i="3"/>
  <c r="M195" i="3"/>
  <c r="W198" i="3"/>
  <c r="K202" i="3"/>
  <c r="Y205" i="3"/>
  <c r="AF194" i="3"/>
  <c r="U190" i="3"/>
  <c r="Q200" i="3"/>
  <c r="AC202" i="3"/>
  <c r="I204" i="3"/>
  <c r="U206" i="3"/>
  <c r="O173" i="3"/>
  <c r="K178" i="3"/>
  <c r="K182" i="3"/>
  <c r="G186" i="3"/>
  <c r="AC193" i="3"/>
  <c r="M197" i="3"/>
  <c r="I201" i="3"/>
  <c r="S204" i="3"/>
  <c r="AB92" i="3"/>
  <c r="T112" i="3"/>
  <c r="AC141" i="3"/>
  <c r="AA146" i="3"/>
  <c r="Y151" i="3"/>
  <c r="W156" i="3"/>
  <c r="U161" i="3"/>
  <c r="S166" i="3"/>
  <c r="Y173" i="3"/>
  <c r="O175" i="3"/>
  <c r="AF176" i="3"/>
  <c r="R178" i="3"/>
  <c r="AD180" i="3"/>
  <c r="J182" i="3"/>
  <c r="V184" i="3"/>
  <c r="AB185" i="3"/>
  <c r="N188" i="3"/>
  <c r="T189" i="3"/>
  <c r="AF191" i="3"/>
  <c r="L193" i="3"/>
  <c r="X195" i="3"/>
  <c r="AD196" i="3"/>
  <c r="J198" i="3"/>
  <c r="V200" i="3"/>
  <c r="AB201" i="3"/>
  <c r="H203" i="3"/>
  <c r="T205" i="3"/>
  <c r="L108" i="3"/>
  <c r="AD127" i="3"/>
  <c r="Y145" i="3"/>
  <c r="W150" i="3"/>
  <c r="S160" i="3"/>
  <c r="W166" i="3"/>
  <c r="J173" i="3"/>
  <c r="U181" i="3"/>
  <c r="AE184" i="3"/>
  <c r="K192" i="3"/>
  <c r="Y195" i="3"/>
  <c r="W202" i="3"/>
  <c r="K206" i="3"/>
  <c r="AD26" i="3"/>
  <c r="AE32" i="3"/>
  <c r="M25" i="3"/>
  <c r="T46" i="3"/>
  <c r="L64" i="3"/>
  <c r="S55" i="3"/>
  <c r="U68" i="3"/>
  <c r="T55" i="3"/>
  <c r="R64" i="3"/>
  <c r="Y29" i="3"/>
  <c r="M75" i="3"/>
  <c r="G84" i="3"/>
  <c r="W92" i="3"/>
  <c r="J75" i="3"/>
  <c r="AD83" i="3"/>
  <c r="T92" i="3"/>
  <c r="AC74" i="3"/>
  <c r="AA83" i="3"/>
  <c r="W91" i="3"/>
  <c r="L89" i="3"/>
  <c r="Q98" i="3"/>
  <c r="AC104" i="3"/>
  <c r="S111" i="3"/>
  <c r="I118" i="3"/>
  <c r="U124" i="3"/>
  <c r="K131" i="3"/>
  <c r="AA137" i="3"/>
  <c r="P89" i="3"/>
  <c r="R98" i="3"/>
  <c r="H105" i="3"/>
  <c r="T111" i="3"/>
  <c r="AD114" i="3"/>
  <c r="P121" i="3"/>
  <c r="AF127" i="3"/>
  <c r="V134" i="3"/>
  <c r="V76" i="3"/>
  <c r="K94" i="3"/>
  <c r="S98" i="3"/>
  <c r="AA102" i="3"/>
  <c r="Q107" i="3"/>
  <c r="Y111" i="3"/>
  <c r="G116" i="3"/>
  <c r="S120" i="3"/>
  <c r="G124" i="3"/>
  <c r="M127" i="3"/>
  <c r="S130" i="3"/>
  <c r="AC133" i="3"/>
  <c r="I137" i="3"/>
  <c r="AF92" i="3"/>
  <c r="T106" i="3"/>
  <c r="R119" i="3"/>
  <c r="P132" i="3"/>
  <c r="P140" i="3"/>
  <c r="AD141" i="3"/>
  <c r="V143" i="3"/>
  <c r="N145" i="3"/>
  <c r="AB146" i="3"/>
  <c r="T148" i="3"/>
  <c r="L150" i="3"/>
  <c r="Z151" i="3"/>
  <c r="R153" i="3"/>
  <c r="J155" i="3"/>
  <c r="X156" i="3"/>
  <c r="P158" i="3"/>
  <c r="H160" i="3"/>
  <c r="V161" i="3"/>
  <c r="N163" i="3"/>
  <c r="AF164" i="3"/>
  <c r="T166" i="3"/>
  <c r="L168" i="3"/>
  <c r="AD169" i="3"/>
  <c r="R171" i="3"/>
  <c r="P77" i="3"/>
  <c r="V95" i="3"/>
  <c r="Z101" i="3"/>
  <c r="T108" i="3"/>
  <c r="N115" i="3"/>
  <c r="R121" i="3"/>
  <c r="L128" i="3"/>
  <c r="AF134" i="3"/>
  <c r="K139" i="3"/>
  <c r="AC140" i="3"/>
  <c r="U142" i="3"/>
  <c r="I144" i="3"/>
  <c r="AA145" i="3"/>
  <c r="S147" i="3"/>
  <c r="G149" i="3"/>
  <c r="Y150" i="3"/>
  <c r="Q152" i="3"/>
  <c r="AE153" i="3"/>
  <c r="W155" i="3"/>
  <c r="O157" i="3"/>
  <c r="U160" i="3"/>
  <c r="M162" i="3"/>
  <c r="AA163" i="3"/>
  <c r="S165" i="3"/>
  <c r="K167" i="3"/>
  <c r="Y168" i="3"/>
  <c r="Q170" i="3"/>
  <c r="I172" i="3"/>
  <c r="AB87" i="3"/>
  <c r="L98" i="3"/>
  <c r="AF104" i="3"/>
  <c r="J111" i="3"/>
  <c r="AD117" i="3"/>
  <c r="X124" i="3"/>
  <c r="AB130" i="3"/>
  <c r="V137" i="3"/>
  <c r="AF139" i="3"/>
  <c r="T141" i="3"/>
  <c r="L143" i="3"/>
  <c r="AD144" i="3"/>
  <c r="R146" i="3"/>
  <c r="J148" i="3"/>
  <c r="AB149" i="3"/>
  <c r="P151" i="3"/>
  <c r="H153" i="3"/>
  <c r="Z154" i="3"/>
  <c r="AF155" i="3"/>
  <c r="L157" i="3"/>
  <c r="R158" i="3"/>
  <c r="X159" i="3"/>
  <c r="AD160" i="3"/>
  <c r="J162" i="3"/>
  <c r="P163" i="3"/>
  <c r="V164" i="3"/>
  <c r="AB165" i="3"/>
  <c r="H167" i="3"/>
  <c r="N168" i="3"/>
  <c r="T169" i="3"/>
  <c r="Z170" i="3"/>
  <c r="AF171" i="3"/>
  <c r="R174" i="3"/>
  <c r="X175" i="3"/>
  <c r="AD176" i="3"/>
  <c r="V78" i="3"/>
  <c r="AB108" i="3"/>
  <c r="T128" i="3"/>
  <c r="AE140" i="3"/>
  <c r="AC145" i="3"/>
  <c r="AA150" i="3"/>
  <c r="Y155" i="3"/>
  <c r="W160" i="3"/>
  <c r="U165" i="3"/>
  <c r="S170" i="3"/>
  <c r="Q173" i="3"/>
  <c r="G175" i="3"/>
  <c r="X176" i="3"/>
  <c r="L178" i="3"/>
  <c r="R179" i="3"/>
  <c r="X180" i="3"/>
  <c r="AD181" i="3"/>
  <c r="J183" i="3"/>
  <c r="P184" i="3"/>
  <c r="V185" i="3"/>
  <c r="AB186" i="3"/>
  <c r="H188" i="3"/>
  <c r="N189" i="3"/>
  <c r="Z191" i="3"/>
  <c r="AF192" i="3"/>
  <c r="L194" i="3"/>
  <c r="R195" i="3"/>
  <c r="X196" i="3"/>
  <c r="AD197" i="3"/>
  <c r="J199" i="3"/>
  <c r="P200" i="3"/>
  <c r="V201" i="3"/>
  <c r="AB202" i="3"/>
  <c r="H204" i="3"/>
  <c r="N205" i="3"/>
  <c r="T206" i="3"/>
  <c r="U173" i="3"/>
  <c r="O178" i="3"/>
  <c r="Y181" i="3"/>
  <c r="Y185" i="3"/>
  <c r="M189" i="3"/>
  <c r="AE192" i="3"/>
  <c r="I197" i="3"/>
  <c r="AE204" i="3"/>
  <c r="J97" i="3"/>
  <c r="AB116" i="3"/>
  <c r="T136" i="3"/>
  <c r="AE142" i="3"/>
  <c r="AC147" i="3"/>
  <c r="AA152" i="3"/>
  <c r="Y157" i="3"/>
  <c r="W162" i="3"/>
  <c r="U167" i="3"/>
  <c r="Q172" i="3"/>
  <c r="H174" i="3"/>
  <c r="Y175" i="3"/>
  <c r="O177" i="3"/>
  <c r="Y178" i="3"/>
  <c r="AE179" i="3"/>
  <c r="K181" i="3"/>
  <c r="Q182" i="3"/>
  <c r="W183" i="3"/>
  <c r="I186" i="3"/>
  <c r="O187" i="3"/>
  <c r="U188" i="3"/>
  <c r="AA189" i="3"/>
  <c r="G191" i="3"/>
  <c r="M192" i="3"/>
  <c r="S193" i="3"/>
  <c r="Y194" i="3"/>
  <c r="AE195" i="3"/>
  <c r="K197" i="3"/>
  <c r="Q198" i="3"/>
  <c r="W199" i="3"/>
  <c r="I202" i="3"/>
  <c r="O203" i="3"/>
  <c r="U204" i="3"/>
  <c r="AA205" i="3"/>
  <c r="AF85" i="3"/>
  <c r="Q175" i="3"/>
  <c r="AC179" i="3"/>
  <c r="AC187" i="3"/>
  <c r="U191" i="3"/>
  <c r="I195" i="3"/>
  <c r="AA198" i="3"/>
  <c r="AC205" i="3"/>
  <c r="AD119" i="3"/>
  <c r="Y143" i="3"/>
  <c r="U153" i="3"/>
  <c r="Q163" i="3"/>
  <c r="X172" i="3"/>
  <c r="AE175" i="3"/>
  <c r="AD178" i="3"/>
  <c r="P181" i="3"/>
  <c r="AB183" i="3"/>
  <c r="N186" i="3"/>
  <c r="Z188" i="3"/>
  <c r="L191" i="3"/>
  <c r="X193" i="3"/>
  <c r="J196" i="3"/>
  <c r="V198" i="3"/>
  <c r="H201" i="3"/>
  <c r="T203" i="3"/>
  <c r="AF205" i="3"/>
  <c r="V115" i="3"/>
  <c r="W142" i="3"/>
  <c r="S152" i="3"/>
  <c r="U163" i="3"/>
  <c r="AF174" i="3"/>
  <c r="AA182" i="3"/>
  <c r="AC189" i="3"/>
  <c r="AE196" i="3"/>
  <c r="AC203" i="3"/>
  <c r="J15" i="3"/>
  <c r="M35" i="3"/>
  <c r="X30" i="3"/>
  <c r="H48" i="3"/>
  <c r="J59" i="3"/>
  <c r="H72" i="3"/>
  <c r="M56" i="3"/>
  <c r="U60" i="3"/>
  <c r="O69" i="3"/>
  <c r="G49" i="3"/>
  <c r="L65" i="3"/>
  <c r="Q42" i="3"/>
  <c r="G76" i="3"/>
  <c r="AE84" i="3"/>
  <c r="U40" i="3"/>
  <c r="L80" i="3"/>
  <c r="AF88" i="3"/>
  <c r="Q67" i="3"/>
  <c r="I80" i="3"/>
  <c r="AC88" i="3"/>
  <c r="Z78" i="3"/>
  <c r="W95" i="3"/>
  <c r="M102" i="3"/>
  <c r="AC108" i="3"/>
  <c r="O115" i="3"/>
  <c r="AE121" i="3"/>
  <c r="U128" i="3"/>
  <c r="G135" i="3"/>
  <c r="AD78" i="3"/>
  <c r="AB95" i="3"/>
  <c r="N102" i="3"/>
  <c r="AD108" i="3"/>
  <c r="T115" i="3"/>
  <c r="AF121" i="3"/>
  <c r="V128" i="3"/>
  <c r="L135" i="3"/>
  <c r="H79" i="3"/>
  <c r="S94" i="3"/>
  <c r="AA98" i="3"/>
  <c r="M103" i="3"/>
  <c r="U107" i="3"/>
  <c r="AC111" i="3"/>
  <c r="S118" i="3"/>
  <c r="K124" i="3"/>
  <c r="Q127" i="3"/>
  <c r="O132" i="3"/>
  <c r="M137" i="3"/>
  <c r="P100" i="3"/>
  <c r="H120" i="3"/>
  <c r="V133" i="3"/>
  <c r="T140" i="3"/>
  <c r="Z143" i="3"/>
  <c r="J147" i="3"/>
  <c r="P150" i="3"/>
  <c r="V153" i="3"/>
  <c r="AF156" i="3"/>
  <c r="L160" i="3"/>
  <c r="R163" i="3"/>
  <c r="AB166" i="3"/>
  <c r="H170" i="3"/>
  <c r="AB79" i="3"/>
  <c r="AF102" i="3"/>
  <c r="AD115" i="3"/>
  <c r="AB128" i="3"/>
  <c r="S139" i="3"/>
  <c r="Y142" i="3"/>
  <c r="AE145" i="3"/>
  <c r="O149" i="3"/>
  <c r="U152" i="3"/>
  <c r="AA155" i="3"/>
  <c r="K159" i="3"/>
  <c r="Q162" i="3"/>
  <c r="W165" i="3"/>
  <c r="G169" i="3"/>
  <c r="M172" i="3"/>
  <c r="AB98" i="3"/>
  <c r="P112" i="3"/>
  <c r="N125" i="3"/>
  <c r="L138" i="3"/>
  <c r="AB141" i="3"/>
  <c r="H145" i="3"/>
  <c r="N148" i="3"/>
  <c r="X151" i="3"/>
  <c r="AD154" i="3"/>
  <c r="P157" i="3"/>
  <c r="AB159" i="3"/>
  <c r="N162" i="3"/>
  <c r="Z164" i="3"/>
  <c r="L167" i="3"/>
  <c r="X169" i="3"/>
  <c r="J172" i="3"/>
  <c r="V174" i="3"/>
  <c r="H177" i="3"/>
  <c r="N111" i="3"/>
  <c r="U141" i="3"/>
  <c r="Q151" i="3"/>
  <c r="M161" i="3"/>
  <c r="I171" i="3"/>
  <c r="M175" i="3"/>
  <c r="P178" i="3"/>
  <c r="AB180" i="3"/>
  <c r="N183" i="3"/>
  <c r="Z185" i="3"/>
  <c r="L188" i="3"/>
  <c r="X190" i="3"/>
  <c r="J193" i="3"/>
  <c r="V195" i="3"/>
  <c r="H198" i="3"/>
  <c r="T200" i="3"/>
  <c r="AF202" i="3"/>
  <c r="R205" i="3"/>
  <c r="AE173" i="3"/>
  <c r="O182" i="3"/>
  <c r="U189" i="3"/>
  <c r="Y197" i="3"/>
  <c r="Q205" i="3"/>
  <c r="N119" i="3"/>
  <c r="U143" i="3"/>
  <c r="Q153" i="3"/>
  <c r="M163" i="3"/>
  <c r="W172" i="3"/>
  <c r="AD175" i="3"/>
  <c r="AC178" i="3"/>
  <c r="O181" i="3"/>
  <c r="AA183" i="3"/>
  <c r="M186" i="3"/>
  <c r="Y188" i="3"/>
  <c r="K191" i="3"/>
  <c r="W193" i="3"/>
  <c r="I196" i="3"/>
  <c r="U198" i="3"/>
  <c r="G201" i="3"/>
  <c r="S203" i="3"/>
  <c r="AE205" i="3"/>
  <c r="G176" i="3"/>
  <c r="O184" i="3"/>
  <c r="AC191" i="3"/>
  <c r="Q199" i="3"/>
  <c r="O206" i="3"/>
  <c r="P122" i="3"/>
  <c r="O144" i="3"/>
  <c r="K154" i="3"/>
  <c r="G164" i="3"/>
  <c r="AC172" i="3"/>
  <c r="K176" i="3"/>
  <c r="H179" i="3"/>
  <c r="T181" i="3"/>
  <c r="AF183" i="3"/>
  <c r="R186" i="3"/>
  <c r="AD188" i="3"/>
  <c r="P191" i="3"/>
  <c r="AB193" i="3"/>
  <c r="N196" i="3"/>
  <c r="Z198" i="3"/>
  <c r="L201" i="3"/>
  <c r="X203" i="3"/>
  <c r="J206" i="3"/>
  <c r="H118" i="3"/>
  <c r="M143" i="3"/>
  <c r="I153" i="3"/>
  <c r="K164" i="3"/>
  <c r="V175" i="3"/>
  <c r="M183" i="3"/>
  <c r="O190" i="3"/>
  <c r="Q197" i="3"/>
  <c r="O204" i="3"/>
  <c r="U8" i="3"/>
  <c r="J13" i="3"/>
  <c r="AF39" i="3"/>
  <c r="I25" i="3"/>
  <c r="AA40" i="3"/>
  <c r="W52" i="3"/>
  <c r="AF34" i="3"/>
  <c r="Z43" i="3"/>
  <c r="AB52" i="3"/>
  <c r="X54" i="3"/>
  <c r="L62" i="3"/>
  <c r="AF68" i="3"/>
  <c r="U36" i="3"/>
  <c r="AE53" i="3"/>
  <c r="U58" i="3"/>
  <c r="AC62" i="3"/>
  <c r="K67" i="3"/>
  <c r="W71" i="3"/>
  <c r="AA39" i="3"/>
  <c r="J54" i="3"/>
  <c r="V58" i="3"/>
  <c r="AD62" i="3"/>
  <c r="L67" i="3"/>
  <c r="AB71" i="3"/>
  <c r="Y59" i="3"/>
  <c r="AC73" i="3"/>
  <c r="O78" i="3"/>
  <c r="W82" i="3"/>
  <c r="AE86" i="3"/>
  <c r="Q91" i="3"/>
  <c r="W58" i="3"/>
  <c r="V73" i="3"/>
  <c r="L78" i="3"/>
  <c r="T82" i="3"/>
  <c r="AB86" i="3"/>
  <c r="N91" i="3"/>
  <c r="K58" i="3"/>
  <c r="S73" i="3"/>
  <c r="AE77" i="3"/>
  <c r="M82" i="3"/>
  <c r="U86" i="3"/>
  <c r="Y90" i="3"/>
  <c r="Q69" i="3"/>
  <c r="AD84" i="3"/>
  <c r="I94" i="3"/>
  <c r="O97" i="3"/>
  <c r="U100" i="3"/>
  <c r="AE103" i="3"/>
  <c r="K107" i="3"/>
  <c r="Q110" i="3"/>
  <c r="AA113" i="3"/>
  <c r="G117" i="3"/>
  <c r="M120" i="3"/>
  <c r="W123" i="3"/>
  <c r="AC126" i="3"/>
  <c r="I130" i="3"/>
  <c r="S133" i="3"/>
  <c r="Y136" i="3"/>
  <c r="G70" i="3"/>
  <c r="X85" i="3"/>
  <c r="J94" i="3"/>
  <c r="P97" i="3"/>
  <c r="Z100" i="3"/>
  <c r="AF103" i="3"/>
  <c r="L107" i="3"/>
  <c r="V110" i="3"/>
  <c r="AB113" i="3"/>
  <c r="H117" i="3"/>
  <c r="R120" i="3"/>
  <c r="X123" i="3"/>
  <c r="AD126" i="3"/>
  <c r="N130" i="3"/>
  <c r="T133" i="3"/>
  <c r="Z136" i="3"/>
  <c r="AD72" i="3"/>
  <c r="AB85" i="3"/>
  <c r="Q93" i="3"/>
  <c r="Q95" i="3"/>
  <c r="Y97" i="3"/>
  <c r="G100" i="3"/>
  <c r="G102" i="3"/>
  <c r="O104" i="3"/>
  <c r="S106" i="3"/>
  <c r="W108" i="3"/>
  <c r="AA110" i="3"/>
  <c r="I113" i="3"/>
  <c r="I115" i="3"/>
  <c r="Q117" i="3"/>
  <c r="Y119" i="3"/>
  <c r="Y121" i="3"/>
  <c r="Q123" i="3"/>
  <c r="AE124" i="3"/>
  <c r="W126" i="3"/>
  <c r="O128" i="3"/>
  <c r="AC129" i="3"/>
  <c r="U131" i="3"/>
  <c r="M133" i="3"/>
  <c r="AA134" i="3"/>
  <c r="S136" i="3"/>
  <c r="K138" i="3"/>
  <c r="J84" i="3"/>
  <c r="N97" i="3"/>
  <c r="H104" i="3"/>
  <c r="L110" i="3"/>
  <c r="AF116" i="3"/>
  <c r="Z123" i="3"/>
  <c r="AD129" i="3"/>
  <c r="X136" i="3"/>
  <c r="Z139" i="3"/>
  <c r="N141" i="3"/>
  <c r="AF142" i="3"/>
  <c r="X144" i="3"/>
  <c r="L146" i="3"/>
  <c r="AD147" i="3"/>
  <c r="V149" i="3"/>
  <c r="J151" i="3"/>
  <c r="AB152" i="3"/>
  <c r="T154" i="3"/>
  <c r="H156" i="3"/>
  <c r="Z157" i="3"/>
  <c r="R159" i="3"/>
  <c r="AF160" i="3"/>
  <c r="X162" i="3"/>
  <c r="P164" i="3"/>
  <c r="AD165" i="3"/>
  <c r="V167" i="3"/>
  <c r="N169" i="3"/>
  <c r="AB170" i="3"/>
  <c r="Y46" i="3"/>
  <c r="J93" i="3"/>
  <c r="N99" i="3"/>
  <c r="H106" i="3"/>
  <c r="AB112" i="3"/>
  <c r="AF118" i="3"/>
  <c r="Z125" i="3"/>
  <c r="T132" i="3"/>
  <c r="U138" i="3"/>
  <c r="M140" i="3"/>
  <c r="AE141" i="3"/>
  <c r="S143" i="3"/>
  <c r="K145" i="3"/>
  <c r="AC146" i="3"/>
  <c r="Q148" i="3"/>
  <c r="I150" i="3"/>
  <c r="AA151" i="3"/>
  <c r="O153" i="3"/>
  <c r="G155" i="3"/>
  <c r="Y156" i="3"/>
  <c r="M158" i="3"/>
  <c r="AE159" i="3"/>
  <c r="W161" i="3"/>
  <c r="K163" i="3"/>
  <c r="AC164" i="3"/>
  <c r="U166" i="3"/>
  <c r="I168" i="3"/>
  <c r="AA169" i="3"/>
  <c r="S171" i="3"/>
  <c r="AF77" i="3"/>
  <c r="Z95" i="3"/>
  <c r="T102" i="3"/>
  <c r="X108" i="3"/>
  <c r="R115" i="3"/>
  <c r="L122" i="3"/>
  <c r="P128" i="3"/>
  <c r="J135" i="3"/>
  <c r="P139" i="3"/>
  <c r="AD140" i="3"/>
  <c r="V142" i="3"/>
  <c r="N144" i="3"/>
  <c r="AB145" i="3"/>
  <c r="T147" i="3"/>
  <c r="L149" i="3"/>
  <c r="Z150" i="3"/>
  <c r="R152" i="3"/>
  <c r="J154" i="3"/>
  <c r="T155" i="3"/>
  <c r="Z156" i="3"/>
  <c r="AF157" i="3"/>
  <c r="L159" i="3"/>
  <c r="R160" i="3"/>
  <c r="X161" i="3"/>
  <c r="AD162" i="3"/>
  <c r="J164" i="3"/>
  <c r="P165" i="3"/>
  <c r="V166" i="3"/>
  <c r="AB167" i="3"/>
  <c r="H169" i="3"/>
  <c r="N170" i="3"/>
  <c r="T171" i="3"/>
  <c r="Z172" i="3"/>
  <c r="AF173" i="3"/>
  <c r="L175" i="3"/>
  <c r="R176" i="3"/>
  <c r="X177" i="3"/>
  <c r="R101" i="3"/>
  <c r="J121" i="3"/>
  <c r="I139" i="3"/>
  <c r="G144" i="3"/>
  <c r="AE148" i="3"/>
  <c r="AC153" i="3"/>
  <c r="AA158" i="3"/>
  <c r="Y163" i="3"/>
  <c r="W168" i="3"/>
  <c r="AA172" i="3"/>
  <c r="Q174" i="3"/>
  <c r="H176" i="3"/>
  <c r="Y177" i="3"/>
  <c r="AF178" i="3"/>
  <c r="L180" i="3"/>
  <c r="R181" i="3"/>
  <c r="X182" i="3"/>
  <c r="AD183" i="3"/>
  <c r="J185" i="3"/>
  <c r="P186" i="3"/>
  <c r="V187" i="3"/>
  <c r="AB188" i="3"/>
  <c r="H190" i="3"/>
  <c r="N191" i="3"/>
  <c r="T192" i="3"/>
  <c r="Z193" i="3"/>
  <c r="L196" i="3"/>
  <c r="R197" i="3"/>
  <c r="X198" i="3"/>
  <c r="AD199" i="3"/>
  <c r="J201" i="3"/>
  <c r="P202" i="3"/>
  <c r="V203" i="3"/>
  <c r="AB204" i="3"/>
  <c r="H206" i="3"/>
  <c r="I161" i="3"/>
  <c r="W176" i="3"/>
  <c r="O180" i="3"/>
  <c r="K184" i="3"/>
  <c r="Y187" i="3"/>
  <c r="Q191" i="3"/>
  <c r="Q195" i="3"/>
  <c r="M199" i="3"/>
  <c r="U203" i="3"/>
  <c r="H81" i="3"/>
  <c r="R109" i="3"/>
  <c r="J129" i="3"/>
  <c r="I141" i="3"/>
  <c r="G146" i="3"/>
  <c r="AE150" i="3"/>
  <c r="AC155" i="3"/>
  <c r="AA160" i="3"/>
  <c r="Y165" i="3"/>
  <c r="W170" i="3"/>
  <c r="R173" i="3"/>
  <c r="I175" i="3"/>
  <c r="Y176" i="3"/>
  <c r="M178" i="3"/>
  <c r="S179" i="3"/>
  <c r="Y180" i="3"/>
  <c r="AE181" i="3"/>
  <c r="K183" i="3"/>
  <c r="Q184" i="3"/>
  <c r="W185" i="3"/>
  <c r="AC186" i="3"/>
  <c r="I188" i="3"/>
  <c r="O189" i="3"/>
  <c r="AA191" i="3"/>
  <c r="G193" i="3"/>
  <c r="M194" i="3"/>
  <c r="S195" i="3"/>
  <c r="Y196" i="3"/>
  <c r="AE197" i="3"/>
  <c r="K199" i="3"/>
  <c r="W201" i="3"/>
  <c r="O205" i="3"/>
  <c r="G190" i="3"/>
  <c r="L132" i="3"/>
  <c r="Q171" i="3"/>
  <c r="X179" i="3"/>
  <c r="P183" i="3"/>
  <c r="H187" i="3"/>
  <c r="Z190" i="3"/>
  <c r="R194" i="3"/>
  <c r="P199" i="3"/>
  <c r="N204" i="3"/>
  <c r="Z206" i="3"/>
  <c r="AA140" i="3"/>
  <c r="U155" i="3"/>
  <c r="G178" i="3"/>
  <c r="S188" i="3"/>
  <c r="I199" i="3"/>
  <c r="N21" i="3"/>
  <c r="AB45" i="3"/>
  <c r="O44" i="3"/>
  <c r="H38" i="3"/>
  <c r="K35" i="3"/>
  <c r="Z57" i="3"/>
  <c r="AB70" i="3"/>
  <c r="K45" i="3"/>
  <c r="AA59" i="3"/>
  <c r="M64" i="3"/>
  <c r="H12" i="3"/>
  <c r="O45" i="3"/>
  <c r="AB59" i="3"/>
  <c r="Z68" i="3"/>
  <c r="M65" i="3"/>
  <c r="U79" i="3"/>
  <c r="O88" i="3"/>
  <c r="AA64" i="3"/>
  <c r="R79" i="3"/>
  <c r="L88" i="3"/>
  <c r="Y63" i="3"/>
  <c r="K79" i="3"/>
  <c r="I88" i="3"/>
  <c r="N76" i="3"/>
  <c r="G95" i="3"/>
  <c r="W101" i="3"/>
  <c r="M108" i="3"/>
  <c r="Y114" i="3"/>
  <c r="O121" i="3"/>
  <c r="AE127" i="3"/>
  <c r="Q134" i="3"/>
  <c r="R76" i="3"/>
  <c r="L95" i="3"/>
  <c r="X101" i="3"/>
  <c r="N108" i="3"/>
  <c r="J118" i="3"/>
  <c r="Z124" i="3"/>
  <c r="L131" i="3"/>
  <c r="AB137" i="3"/>
  <c r="J90" i="3"/>
  <c r="O96" i="3"/>
  <c r="AA100" i="3"/>
  <c r="I105" i="3"/>
  <c r="Q109" i="3"/>
  <c r="AC113" i="3"/>
  <c r="K118" i="3"/>
  <c r="O122" i="3"/>
  <c r="U125" i="3"/>
  <c r="AE128" i="3"/>
  <c r="K132" i="3"/>
  <c r="Q135" i="3"/>
  <c r="AE58" i="3"/>
  <c r="Z99" i="3"/>
  <c r="X112" i="3"/>
  <c r="L126" i="3"/>
  <c r="X138" i="3"/>
  <c r="AC158" i="3"/>
  <c r="L173" i="3"/>
  <c r="T190" i="3"/>
  <c r="AE200" i="3"/>
  <c r="AC184" i="3"/>
  <c r="AC200" i="3"/>
  <c r="AC183" i="3"/>
  <c r="S202" i="3"/>
  <c r="L100" i="3"/>
  <c r="AA138" i="3"/>
  <c r="W148" i="3"/>
  <c r="S158" i="3"/>
  <c r="O168" i="3"/>
  <c r="O174" i="3"/>
  <c r="V177" i="3"/>
  <c r="J180" i="3"/>
  <c r="V182" i="3"/>
  <c r="H185" i="3"/>
  <c r="T187" i="3"/>
  <c r="AF189" i="3"/>
  <c r="R192" i="3"/>
  <c r="AD194" i="3"/>
  <c r="P197" i="3"/>
  <c r="AB199" i="3"/>
  <c r="N202" i="3"/>
  <c r="Z204" i="3"/>
  <c r="AD95" i="3"/>
  <c r="N135" i="3"/>
  <c r="U147" i="3"/>
  <c r="Q157" i="3"/>
  <c r="S168" i="3"/>
  <c r="Q179" i="3"/>
  <c r="O186" i="3"/>
  <c r="U193" i="3"/>
  <c r="O200" i="3"/>
  <c r="N25" i="3"/>
  <c r="H49" i="3"/>
  <c r="S46" i="3"/>
  <c r="Z39" i="3"/>
  <c r="AE41" i="3"/>
  <c r="R65" i="3"/>
  <c r="M48" i="3"/>
  <c r="G65" i="3"/>
  <c r="U30" i="3"/>
  <c r="R56" i="3"/>
  <c r="Z60" i="3"/>
  <c r="T69" i="3"/>
  <c r="O68" i="3"/>
  <c r="O80" i="3"/>
  <c r="M89" i="3"/>
  <c r="AC67" i="3"/>
  <c r="AD75" i="3"/>
  <c r="X84" i="3"/>
  <c r="M36" i="3"/>
  <c r="AA75" i="3"/>
  <c r="U84" i="3"/>
  <c r="M92" i="3"/>
  <c r="X91" i="3"/>
  <c r="G99" i="3"/>
  <c r="S105" i="3"/>
  <c r="I112" i="3"/>
  <c r="Y118" i="3"/>
  <c r="K125" i="3"/>
  <c r="AA131" i="3"/>
  <c r="Q138" i="3"/>
  <c r="AB91" i="3"/>
  <c r="H99" i="3"/>
  <c r="X105" i="3"/>
  <c r="J112" i="3"/>
  <c r="Z118" i="3"/>
  <c r="P125" i="3"/>
  <c r="AB131" i="3"/>
  <c r="R138" i="3"/>
  <c r="Z90" i="3"/>
  <c r="W96" i="3"/>
  <c r="AE100" i="3"/>
  <c r="M105" i="3"/>
  <c r="AC109" i="3"/>
  <c r="K114" i="3"/>
  <c r="O116" i="3"/>
  <c r="W120" i="3"/>
  <c r="S122" i="3"/>
  <c r="AC125" i="3"/>
  <c r="I129" i="3"/>
  <c r="AA130" i="3"/>
  <c r="G134" i="3"/>
  <c r="Y135" i="3"/>
  <c r="AA68" i="3"/>
  <c r="L94" i="3"/>
  <c r="J107" i="3"/>
  <c r="AD113" i="3"/>
  <c r="AB126" i="3"/>
  <c r="AB138" i="3"/>
  <c r="L142" i="3"/>
  <c r="R145" i="3"/>
  <c r="X148" i="3"/>
  <c r="H152" i="3"/>
  <c r="N155" i="3"/>
  <c r="T158" i="3"/>
  <c r="AD161" i="3"/>
  <c r="J165" i="3"/>
  <c r="P168" i="3"/>
  <c r="Z171" i="3"/>
  <c r="L96" i="3"/>
  <c r="J109" i="3"/>
  <c r="X122" i="3"/>
  <c r="V135" i="3"/>
  <c r="G141" i="3"/>
  <c r="Q144" i="3"/>
  <c r="W147" i="3"/>
  <c r="AC150" i="3"/>
  <c r="M154" i="3"/>
  <c r="S157" i="3"/>
  <c r="Y160" i="3"/>
  <c r="I164" i="3"/>
  <c r="O167" i="3"/>
  <c r="U170" i="3"/>
  <c r="V92" i="3"/>
  <c r="V105" i="3"/>
  <c r="T118" i="3"/>
  <c r="H132" i="3"/>
  <c r="J140" i="3"/>
  <c r="P143" i="3"/>
  <c r="Z146" i="3"/>
  <c r="AF149" i="3"/>
  <c r="L153" i="3"/>
  <c r="J156" i="3"/>
  <c r="V158" i="3"/>
  <c r="H161" i="3"/>
  <c r="T163" i="3"/>
  <c r="AF165" i="3"/>
  <c r="R168" i="3"/>
  <c r="AD170" i="3"/>
  <c r="P173" i="3"/>
  <c r="AB175" i="3"/>
  <c r="R88" i="3"/>
  <c r="AF130" i="3"/>
  <c r="S146" i="3"/>
  <c r="O156" i="3"/>
  <c r="K166" i="3"/>
  <c r="V173" i="3"/>
  <c r="AC176" i="3"/>
  <c r="V179" i="3"/>
  <c r="H182" i="3"/>
  <c r="T184" i="3"/>
  <c r="AF186" i="3"/>
  <c r="R189" i="3"/>
  <c r="AD191" i="3"/>
  <c r="P194" i="3"/>
  <c r="AB196" i="3"/>
  <c r="N199" i="3"/>
  <c r="Z201" i="3"/>
  <c r="L204" i="3"/>
  <c r="X206" i="3"/>
  <c r="W178" i="3"/>
  <c r="K186" i="3"/>
  <c r="M193" i="3"/>
  <c r="U201" i="3"/>
  <c r="V99" i="3"/>
  <c r="W138" i="3"/>
  <c r="S148" i="3"/>
  <c r="O158" i="3"/>
  <c r="K168" i="3"/>
  <c r="M174" i="3"/>
  <c r="U177" i="3"/>
  <c r="I180" i="3"/>
  <c r="U182" i="3"/>
  <c r="G185" i="3"/>
  <c r="S187" i="3"/>
  <c r="AE189" i="3"/>
  <c r="Q192" i="3"/>
  <c r="AC194" i="3"/>
  <c r="O197" i="3"/>
  <c r="AA199" i="3"/>
  <c r="M202" i="3"/>
  <c r="Y204" i="3"/>
  <c r="O162" i="3"/>
  <c r="S180" i="3"/>
  <c r="K188" i="3"/>
  <c r="U195" i="3"/>
  <c r="AA202" i="3"/>
  <c r="X102" i="3"/>
  <c r="Q139" i="3"/>
  <c r="M149" i="3"/>
  <c r="I159" i="3"/>
  <c r="AE168" i="3"/>
  <c r="T174" i="3"/>
  <c r="AA177" i="3"/>
  <c r="N180" i="3"/>
  <c r="Z182" i="3"/>
  <c r="L185" i="3"/>
  <c r="X187" i="3"/>
  <c r="J190" i="3"/>
  <c r="V192" i="3"/>
  <c r="H195" i="3"/>
  <c r="T197" i="3"/>
  <c r="AF199" i="3"/>
  <c r="R202" i="3"/>
  <c r="AD204" i="3"/>
  <c r="P98" i="3"/>
  <c r="Z137" i="3"/>
  <c r="K148" i="3"/>
  <c r="G158" i="3"/>
  <c r="I169" i="3"/>
  <c r="Y179" i="3"/>
  <c r="W186" i="3"/>
  <c r="G194" i="3"/>
  <c r="AA200" i="3"/>
  <c r="J4" i="29"/>
  <c r="L6" i="29"/>
  <c r="N8" i="29"/>
  <c r="I11" i="29"/>
  <c r="K13" i="29"/>
  <c r="M15" i="29"/>
  <c r="O17" i="29"/>
  <c r="J20" i="29"/>
  <c r="L22" i="29"/>
  <c r="N24" i="29"/>
  <c r="I27" i="29"/>
  <c r="K29" i="29"/>
  <c r="M31" i="29"/>
  <c r="O33" i="29"/>
  <c r="J36" i="29"/>
  <c r="L5" i="29"/>
  <c r="N7" i="29"/>
  <c r="I10" i="29"/>
  <c r="K12" i="29"/>
  <c r="M14" i="29"/>
  <c r="O16" i="29"/>
  <c r="J19" i="29"/>
  <c r="L7" i="29"/>
  <c r="I12" i="29"/>
  <c r="M16" i="29"/>
  <c r="M20" i="29"/>
  <c r="N23" i="29"/>
  <c r="N26" i="29"/>
  <c r="N29" i="29"/>
  <c r="O32" i="29"/>
  <c r="O35" i="29"/>
  <c r="N6" i="29"/>
  <c r="K11" i="29"/>
  <c r="O15" i="29"/>
  <c r="I20" i="29"/>
  <c r="J23" i="29"/>
  <c r="J26" i="29"/>
  <c r="J29" i="29"/>
  <c r="K32" i="29"/>
  <c r="K35" i="29"/>
  <c r="N5" i="29"/>
  <c r="K10" i="29"/>
  <c r="O14" i="29"/>
  <c r="J17" i="29"/>
  <c r="I24" i="29"/>
  <c r="J30" i="29"/>
  <c r="K36" i="29"/>
  <c r="M17" i="29"/>
  <c r="K24" i="29"/>
  <c r="K30" i="29"/>
  <c r="L36" i="29"/>
  <c r="K18" i="29"/>
  <c r="O24" i="29"/>
  <c r="O30" i="29"/>
  <c r="K7" i="29"/>
  <c r="L20" i="29"/>
  <c r="M26" i="29"/>
  <c r="M32" i="29"/>
  <c r="N4" i="29"/>
  <c r="I7" i="29"/>
  <c r="K9" i="29"/>
  <c r="M11" i="29"/>
  <c r="O13" i="29"/>
  <c r="J16" i="29"/>
  <c r="L18" i="29"/>
  <c r="N20" i="29"/>
  <c r="I23" i="29"/>
  <c r="K25" i="29"/>
  <c r="M27" i="29"/>
  <c r="O29" i="29"/>
  <c r="J32" i="29"/>
  <c r="L34" i="29"/>
  <c r="N36" i="29"/>
  <c r="I6" i="29"/>
  <c r="K8" i="29"/>
  <c r="M10" i="29"/>
  <c r="O12" i="29"/>
  <c r="J15" i="29"/>
  <c r="L17" i="29"/>
  <c r="I4" i="29"/>
  <c r="M8" i="29"/>
  <c r="J13" i="29"/>
  <c r="N17" i="29"/>
  <c r="L21" i="29"/>
  <c r="L24" i="29"/>
  <c r="K5" i="29"/>
  <c r="M7" i="29"/>
  <c r="O9" i="29"/>
  <c r="J12" i="29"/>
  <c r="L14" i="29"/>
  <c r="N16" i="29"/>
  <c r="I19" i="29"/>
  <c r="K21" i="29"/>
  <c r="M23" i="29"/>
  <c r="O25" i="29"/>
  <c r="J28" i="29"/>
  <c r="L30" i="29"/>
  <c r="N32" i="29"/>
  <c r="I35" i="29"/>
  <c r="K4" i="29"/>
  <c r="M6" i="29"/>
  <c r="O8" i="29"/>
  <c r="J11" i="29"/>
  <c r="L13" i="29"/>
  <c r="N15" i="29"/>
  <c r="I18" i="29"/>
  <c r="J5" i="29"/>
  <c r="N9" i="29"/>
  <c r="K14" i="29"/>
  <c r="O18" i="29"/>
  <c r="J22" i="29"/>
  <c r="J25" i="29"/>
  <c r="K28" i="29"/>
  <c r="K31" i="29"/>
  <c r="K34" i="29"/>
  <c r="L4" i="29"/>
  <c r="I9" i="29"/>
  <c r="M13" i="29"/>
  <c r="J18" i="29"/>
  <c r="M21" i="29"/>
  <c r="M24" i="29"/>
  <c r="N27" i="29"/>
  <c r="N30" i="29"/>
  <c r="N33" i="29"/>
  <c r="O36" i="29"/>
  <c r="I8" i="29"/>
  <c r="M12" i="29"/>
  <c r="L8" i="29"/>
  <c r="I21" i="29"/>
  <c r="J27" i="29"/>
  <c r="J33" i="29"/>
  <c r="M9" i="29"/>
  <c r="J21" i="29"/>
  <c r="K27" i="29"/>
  <c r="L33" i="29"/>
  <c r="N10" i="29"/>
  <c r="N21" i="29"/>
  <c r="O27" i="29"/>
  <c r="I34" i="29"/>
  <c r="L16" i="29"/>
  <c r="L23" i="29"/>
  <c r="M29" i="29"/>
  <c r="N35" i="29"/>
  <c r="O5" i="29"/>
  <c r="J8" i="29"/>
  <c r="L10" i="29"/>
  <c r="N12" i="29"/>
  <c r="I15" i="29"/>
  <c r="K17" i="29"/>
  <c r="M19" i="29"/>
  <c r="O21" i="29"/>
  <c r="J24" i="29"/>
  <c r="L26" i="29"/>
  <c r="N28" i="29"/>
  <c r="I31" i="29"/>
  <c r="K33" i="29"/>
  <c r="M35" i="29"/>
  <c r="O4" i="29"/>
  <c r="J7" i="29"/>
  <c r="L9" i="29"/>
  <c r="N11" i="29"/>
  <c r="I14" i="29"/>
  <c r="K16" i="29"/>
  <c r="M18" i="29"/>
  <c r="K6" i="29"/>
  <c r="O10" i="29"/>
  <c r="L15" i="29"/>
  <c r="O19" i="29"/>
  <c r="O22" i="29"/>
  <c r="I26" i="29"/>
  <c r="I29" i="29"/>
  <c r="I32" i="29"/>
  <c r="J35" i="29"/>
  <c r="M5" i="29"/>
  <c r="J10" i="29"/>
  <c r="N14" i="29"/>
  <c r="K19" i="29"/>
  <c r="K22" i="29"/>
  <c r="L25" i="29"/>
  <c r="L28" i="29"/>
  <c r="L31" i="29"/>
  <c r="M34" i="29"/>
  <c r="M4" i="29"/>
  <c r="J9" i="29"/>
  <c r="N13" i="29"/>
  <c r="I13" i="29"/>
  <c r="M22" i="29"/>
  <c r="M28" i="29"/>
  <c r="N34" i="29"/>
  <c r="J14" i="29"/>
  <c r="N22" i="29"/>
  <c r="O28" i="29"/>
  <c r="O34" i="29"/>
  <c r="K15" i="29"/>
  <c r="K23" i="29"/>
  <c r="L29" i="29"/>
  <c r="L35" i="29"/>
  <c r="N18" i="29"/>
  <c r="I25" i="29"/>
  <c r="J31" i="29"/>
  <c r="L27" i="29"/>
  <c r="O7" i="29"/>
  <c r="O23" i="29"/>
  <c r="I36" i="29"/>
  <c r="L19" i="29"/>
  <c r="N19" i="29"/>
  <c r="K20" i="29"/>
  <c r="I22" i="29"/>
  <c r="M30" i="29"/>
  <c r="L12" i="29"/>
  <c r="O26" i="29"/>
  <c r="O6" i="29"/>
  <c r="M25" i="29"/>
  <c r="N25" i="29"/>
  <c r="K26" i="29"/>
  <c r="I28" i="29"/>
  <c r="M33" i="29"/>
  <c r="I17" i="29"/>
  <c r="I30" i="29"/>
  <c r="L11" i="29"/>
  <c r="N31" i="29"/>
  <c r="O31" i="29"/>
  <c r="L32" i="29"/>
  <c r="J34" i="29"/>
  <c r="M36" i="29"/>
  <c r="O20" i="29"/>
  <c r="I33" i="29"/>
  <c r="I16" i="29"/>
  <c r="I5" i="29"/>
  <c r="J6" i="29"/>
  <c r="O11" i="29"/>
  <c r="M28" i="8"/>
  <c r="M31" i="8"/>
  <c r="M34" i="8"/>
  <c r="M37" i="8"/>
  <c r="M21" i="8"/>
  <c r="M30" i="8"/>
  <c r="M36" i="8"/>
  <c r="M20" i="8"/>
  <c r="M23" i="8"/>
  <c r="M26" i="8"/>
  <c r="M29" i="8"/>
  <c r="M32" i="8"/>
  <c r="M35" i="8"/>
  <c r="M19" i="8"/>
  <c r="M22" i="8"/>
  <c r="M25" i="8"/>
  <c r="M24" i="8"/>
  <c r="M27" i="8"/>
  <c r="M33" i="8"/>
  <c r="M18" i="8"/>
  <c r="P10" i="29"/>
  <c r="N6" i="28"/>
  <c r="P14" i="29"/>
  <c r="N7" i="28"/>
  <c r="P5" i="29"/>
  <c r="P7" i="29"/>
  <c r="P9" i="29"/>
  <c r="I3" i="29"/>
  <c r="P8" i="29"/>
  <c r="P6" i="29"/>
  <c r="N9" i="28"/>
  <c r="H3" i="28"/>
  <c r="G3" i="3"/>
  <c r="N8" i="28"/>
  <c r="P11" i="29"/>
  <c r="P13" i="29"/>
  <c r="N12" i="28"/>
  <c r="N10" i="28"/>
  <c r="N11" i="28"/>
  <c r="P12" i="29"/>
  <c r="N5" i="28"/>
  <c r="N13" i="28"/>
  <c r="N14" i="28"/>
  <c r="P15" i="29"/>
  <c r="N15" i="28"/>
  <c r="M17" i="8" l="1"/>
  <c r="F17" i="8"/>
  <c r="B16" i="31" l="1"/>
  <c r="M32" i="1"/>
  <c r="M151" i="1"/>
  <c r="M27" i="1"/>
  <c r="O12" i="2"/>
  <c r="O10" i="2"/>
  <c r="M22" i="1"/>
  <c r="H56" i="7"/>
  <c r="M56" i="1"/>
  <c r="M8" i="1"/>
  <c r="M110" i="1"/>
  <c r="M64" i="1"/>
  <c r="M24" i="1"/>
  <c r="M26" i="1"/>
  <c r="O17" i="2"/>
  <c r="M114" i="1"/>
  <c r="O11" i="2"/>
  <c r="M76" i="1"/>
  <c r="F62" i="7"/>
  <c r="M23" i="1"/>
  <c r="M29" i="1"/>
  <c r="M152" i="1"/>
  <c r="M147" i="1"/>
  <c r="M118" i="1"/>
  <c r="M36" i="1"/>
  <c r="M67" i="1"/>
  <c r="M69" i="1"/>
  <c r="C7" i="3"/>
  <c r="C7" i="2"/>
  <c r="F37" i="7"/>
  <c r="M58" i="1"/>
  <c r="M74" i="1"/>
  <c r="M60" i="1"/>
  <c r="M57" i="1"/>
  <c r="M48" i="1"/>
  <c r="M46" i="1"/>
  <c r="M113" i="1"/>
  <c r="M40" i="1"/>
  <c r="M38" i="1"/>
  <c r="M9" i="1"/>
  <c r="M54" i="1"/>
  <c r="M109" i="1"/>
  <c r="O16" i="2"/>
  <c r="O13" i="2"/>
  <c r="M71" i="1"/>
  <c r="M12" i="1"/>
  <c r="M108" i="1"/>
  <c r="C7" i="29"/>
  <c r="M30" i="1"/>
  <c r="C7" i="31"/>
  <c r="M20" i="1"/>
  <c r="M55" i="1"/>
  <c r="M44" i="1"/>
  <c r="M43" i="1"/>
  <c r="M68" i="1"/>
  <c r="M117" i="1"/>
  <c r="M15" i="1"/>
  <c r="F59" i="7"/>
  <c r="M18" i="1"/>
  <c r="M21" i="1"/>
  <c r="C8" i="3"/>
  <c r="M28" i="1"/>
  <c r="M41" i="1"/>
  <c r="M35" i="1"/>
  <c r="M10" i="1"/>
  <c r="M148" i="1"/>
  <c r="M62" i="1"/>
  <c r="M25" i="1"/>
  <c r="M47" i="1"/>
  <c r="M121" i="1"/>
  <c r="M63" i="1"/>
  <c r="O15" i="2"/>
  <c r="M150" i="1"/>
  <c r="O9" i="2"/>
  <c r="M49" i="1"/>
  <c r="M6" i="1"/>
  <c r="M61" i="1"/>
  <c r="M34" i="1"/>
  <c r="M50" i="1"/>
  <c r="M78" i="1"/>
  <c r="M59" i="1"/>
  <c r="M120" i="1"/>
  <c r="M19" i="1"/>
  <c r="M111" i="1"/>
  <c r="M66" i="1"/>
  <c r="O18" i="2"/>
  <c r="M149" i="1"/>
  <c r="M33" i="1"/>
  <c r="M122" i="1"/>
  <c r="M115" i="1"/>
  <c r="M31" i="1"/>
  <c r="M70" i="1"/>
  <c r="O20" i="2"/>
  <c r="O6" i="2"/>
  <c r="M157" i="1"/>
  <c r="M37" i="1"/>
  <c r="O8" i="2"/>
  <c r="M45" i="1"/>
  <c r="M153" i="1"/>
  <c r="M11" i="1"/>
  <c r="M14" i="1"/>
  <c r="O19" i="2"/>
  <c r="M16" i="1"/>
  <c r="M119" i="1"/>
  <c r="M65" i="1"/>
  <c r="M112" i="1"/>
  <c r="M39" i="1"/>
  <c r="M7" i="1"/>
  <c r="M53" i="1"/>
  <c r="M13" i="1"/>
  <c r="M75" i="1"/>
  <c r="M17" i="1"/>
  <c r="M116" i="1"/>
  <c r="O14" i="2"/>
  <c r="A18" i="31" l="1"/>
  <c r="F57" i="7"/>
  <c r="F56" i="7"/>
  <c r="H41" i="7" l="1"/>
  <c r="F41" i="7"/>
  <c r="H42" i="7"/>
  <c r="G42" i="7"/>
  <c r="H44" i="7"/>
  <c r="H45" i="7"/>
  <c r="H43" i="7"/>
  <c r="I42" i="7" l="1"/>
  <c r="F42" i="7"/>
  <c r="F43" i="7"/>
  <c r="F45" i="7"/>
  <c r="I50" i="7"/>
  <c r="F44" i="7"/>
  <c r="I51" i="7" l="1"/>
  <c r="F50" i="7"/>
  <c r="F51" i="7" l="1"/>
  <c r="H57" i="7" l="1"/>
  <c r="F63" i="7" l="1"/>
  <c r="I44" i="7" l="1"/>
  <c r="G44" i="7"/>
  <c r="I52" i="7"/>
  <c r="F52" i="7"/>
  <c r="F53" i="7" l="1"/>
  <c r="I53" i="7"/>
  <c r="F58" i="7"/>
  <c r="I46" i="7"/>
  <c r="I41" i="7"/>
  <c r="G41" i="7"/>
  <c r="I43" i="7"/>
  <c r="I45" i="7"/>
  <c r="F66" i="7" l="1"/>
  <c r="G43" i="7"/>
  <c r="H58" i="7"/>
  <c r="G45" i="7"/>
  <c r="F6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Johannes</author>
    <author>Robin Beckmueller</author>
    <author>Andreas Jäger</author>
    <author>Johannes Gernert</author>
  </authors>
  <commentList>
    <comment ref="B4" authorId="0" shapeId="0" xr:uid="{00000000-0006-0000-03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B6" authorId="0" shapeId="0" xr:uid="{00000000-0006-0000-0300-000002000000}">
      <text>
        <r>
          <rPr>
            <b/>
            <sz val="8"/>
            <color indexed="81"/>
            <rFont val="Tahoma"/>
            <family val="2"/>
          </rPr>
          <t>Valid input codes:</t>
        </r>
        <r>
          <rPr>
            <sz val="8"/>
            <color indexed="81"/>
            <rFont val="Tahoma"/>
            <family val="2"/>
          </rPr>
          <t xml:space="preserve">
TP, TD, PH, PS, TQ, PQ, PLIQ, PVAP, TLIQ, TVAP, TSUBV+, TSUBS+, PSUBV+, PSUBS+, TMLTL+, TMLTS+, PMLTS+, PMLTL+
</t>
        </r>
        <r>
          <rPr>
            <b/>
            <sz val="8"/>
            <color indexed="81"/>
            <rFont val="Tahoma"/>
            <family val="2"/>
          </rPr>
          <t>Special input codes:</t>
        </r>
        <r>
          <rPr>
            <sz val="8"/>
            <color indexed="81"/>
            <rFont val="Tahoma"/>
            <family val="2"/>
          </rPr>
          <t xml:space="preserve">
For calculations outside the range of validity, a “&amp;” has to be used at the end of the input code (e.g., “TD&amp;” or “TP&amp;”).
-------------------------------------------------------------
When choosing the inputs "TP+", "PH+", or "PS+", solid phases and equilibria of up to three phases are considered. "TD+" is not implemented yet. Note that for the inputs without an additional "+" only two-phase equilibria are considered, even if all phases are fluid phases.</t>
        </r>
      </text>
    </comment>
    <comment ref="B9" authorId="1" shapeId="0" xr:uid="{00000000-0006-0000-0300-000003000000}">
      <text>
        <r>
          <rPr>
            <b/>
            <sz val="8"/>
            <color indexed="81"/>
            <rFont val="Tahoma"/>
            <family val="2"/>
          </rPr>
          <t xml:space="preserve">Valid input units:
</t>
        </r>
        <r>
          <rPr>
            <sz val="8"/>
            <color indexed="81"/>
            <rFont val="Tahoma"/>
            <family val="2"/>
          </rPr>
          <t>molar, specific, reduced</t>
        </r>
        <r>
          <rPr>
            <b/>
            <sz val="8"/>
            <color indexed="81"/>
            <rFont val="Tahoma"/>
            <family val="2"/>
          </rPr>
          <t xml:space="preserve">
reduced: 
</t>
        </r>
        <r>
          <rPr>
            <sz val="8"/>
            <color indexed="81"/>
            <rFont val="Tahoma"/>
            <family val="2"/>
          </rPr>
          <t xml:space="preserve">For calculations with reduced units, which is common e.g. for the Lennard-Jones fluids. </t>
        </r>
      </text>
    </comment>
    <comment ref="A12" authorId="2" shapeId="0" xr:uid="{00000000-0006-0000-0300-000004000000}">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B12" authorId="0" shapeId="0" xr:uid="{00000000-0006-0000-0300-000005000000}">
      <text>
        <r>
          <rPr>
            <b/>
            <sz val="8"/>
            <color indexed="81"/>
            <rFont val="Tahoma"/>
            <family val="2"/>
          </rPr>
          <t xml:space="preserve">Maximum number of fluids: </t>
        </r>
        <r>
          <rPr>
            <sz val="8"/>
            <color indexed="81"/>
            <rFont val="Tahoma"/>
            <family val="2"/>
          </rPr>
          <t>20
Sum MUST be 1!</t>
        </r>
      </text>
    </comment>
    <comment ref="C12" authorId="2" shapeId="0" xr:uid="{00000000-0006-0000-0300-000006000000}">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D12" authorId="2" shapeId="0" xr:uid="{00000000-0006-0000-0300-000007000000}">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 ref="F144" authorId="3" shapeId="0" xr:uid="{00000000-0006-0000-0300-000008000000}">
      <text>
        <r>
          <rPr>
            <b/>
            <sz val="8"/>
            <color indexed="81"/>
            <rFont val="Tahoma"/>
            <family val="2"/>
          </rPr>
          <t>Ancillary equations are NOT fundamental equations of state!</t>
        </r>
        <r>
          <rPr>
            <sz val="8"/>
            <color indexed="81"/>
            <rFont val="Tahoma"/>
            <family val="2"/>
          </rPr>
          <t xml:space="preserve">
The ancillary equations are used to generate starting values for the iteration of saturation properties with equations of state. With lower accuracy requirements, they enable an estimation of saturation properties with reduced computing time.</t>
        </r>
      </text>
    </comment>
    <comment ref="F161" authorId="3" shapeId="0" xr:uid="{00000000-0006-0000-0300-000009000000}">
      <text>
        <r>
          <rPr>
            <b/>
            <sz val="8"/>
            <color indexed="81"/>
            <rFont val="Tahoma"/>
            <family val="2"/>
          </rPr>
          <t>Using the Array function:</t>
        </r>
        <r>
          <rPr>
            <sz val="8"/>
            <color indexed="81"/>
            <rFont val="Tahoma"/>
            <family val="2"/>
          </rPr>
          <t xml:space="preserve">
- mark 15 cells in one row ore one column
- type </t>
        </r>
        <r>
          <rPr>
            <b/>
            <sz val="8"/>
            <color indexed="81"/>
            <rFont val="Tahoma"/>
            <family val="2"/>
          </rPr>
          <t>=ALLEOS(</t>
        </r>
        <r>
          <rPr>
            <sz val="8"/>
            <color indexed="81"/>
            <rFont val="Tahoma"/>
            <family val="2"/>
          </rPr>
          <t xml:space="preserve"> in the function line
- klick the </t>
        </r>
        <r>
          <rPr>
            <i/>
            <sz val="8"/>
            <color indexed="81"/>
            <rFont val="Tahoma"/>
            <family val="2"/>
          </rPr>
          <t xml:space="preserve">fx </t>
        </r>
        <r>
          <rPr>
            <sz val="8"/>
            <color indexed="81"/>
            <rFont val="Tahoma"/>
            <family val="2"/>
          </rPr>
          <t>function edit button
- set all the inputs correctly 
- hit Ctrl+Shift+Enter</t>
        </r>
        <r>
          <rPr>
            <b/>
            <sz val="8"/>
            <color indexed="81"/>
            <rFont val="Tahoma"/>
            <family val="2"/>
          </rPr>
          <t xml:space="preserve"> INSTEAD OF</t>
        </r>
        <r>
          <rPr>
            <sz val="8"/>
            <color indexed="81"/>
            <rFont val="Tahoma"/>
            <family val="2"/>
          </rPr>
          <t xml:space="preserve"> clicking 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Johannes</author>
    <author>Robin Beckmueller</author>
    <author>Andreas Jäger</author>
  </authors>
  <commentList>
    <comment ref="B4" authorId="0" shapeId="0" xr:uid="{00000000-0006-0000-0F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B6" authorId="1" shapeId="0" xr:uid="{00000000-0006-0000-0F00-000002000000}">
      <text>
        <r>
          <rPr>
            <b/>
            <sz val="8"/>
            <color indexed="81"/>
            <rFont val="Tahoma"/>
            <family val="2"/>
          </rPr>
          <t>Valid input units:</t>
        </r>
        <r>
          <rPr>
            <sz val="8"/>
            <color indexed="81"/>
            <rFont val="Tahoma"/>
            <family val="2"/>
          </rPr>
          <t xml:space="preserve">
1: pressure based phase envelope
2: volume based phase envelope</t>
        </r>
      </text>
    </comment>
    <comment ref="B7" authorId="0" shapeId="0" xr:uid="{00000000-0006-0000-0F00-000003000000}">
      <text>
        <r>
          <rPr>
            <b/>
            <sz val="8"/>
            <color indexed="81"/>
            <rFont val="Tahoma"/>
            <family val="2"/>
          </rPr>
          <t xml:space="preserve">Optional:
</t>
        </r>
        <r>
          <rPr>
            <sz val="8"/>
            <color indexed="81"/>
            <rFont val="Tahoma"/>
            <family val="2"/>
          </rPr>
          <t>Specified points on the phase boundary curve</t>
        </r>
        <r>
          <rPr>
            <sz val="8"/>
            <color indexed="81"/>
            <rFont val="Tahoma"/>
            <family val="2"/>
          </rPr>
          <t xml:space="preserve">
</t>
        </r>
      </text>
    </comment>
    <comment ref="A12" authorId="2" shapeId="0" xr:uid="{1C881356-499B-4B65-A2FA-DA1506D5D8F0}">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B12" authorId="0" shapeId="0" xr:uid="{214B926C-B521-431A-8650-9AF4A1B70E8F}">
      <text>
        <r>
          <rPr>
            <b/>
            <sz val="8"/>
            <color indexed="81"/>
            <rFont val="Tahoma"/>
            <family val="2"/>
          </rPr>
          <t xml:space="preserve">Maximum number of fluids: </t>
        </r>
        <r>
          <rPr>
            <sz val="8"/>
            <color indexed="81"/>
            <rFont val="Tahoma"/>
            <family val="2"/>
          </rPr>
          <t>20
Sum MUST be 1!</t>
        </r>
      </text>
    </comment>
    <comment ref="C12" authorId="2" shapeId="0" xr:uid="{09CF88D3-07CE-49A1-BB02-65B6CF0C6B50}">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D12" authorId="2" shapeId="0" xr:uid="{F157EB71-0E9F-4E0F-9BC0-3CDDC9DC9B7A}">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Johannes</author>
    <author>Andreas Jäger</author>
  </authors>
  <commentList>
    <comment ref="B4" authorId="0" shapeId="0" xr:uid="{00000000-0006-0000-1B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B6" authorId="0" shapeId="0" xr:uid="{00000000-0006-0000-1B00-000002000000}">
      <text>
        <r>
          <rPr>
            <b/>
            <sz val="8"/>
            <color indexed="81"/>
            <rFont val="Tahoma"/>
            <family val="2"/>
          </rPr>
          <t>Valid input codes:</t>
        </r>
        <r>
          <rPr>
            <sz val="8"/>
            <color indexed="81"/>
            <rFont val="Tahoma"/>
            <family val="2"/>
          </rPr>
          <t xml:space="preserve">
 PLIQ, PVAP, TLIQ, TVAP</t>
        </r>
      </text>
    </comment>
    <comment ref="A12" authorId="1" shapeId="0" xr:uid="{FDF7C30F-F3C0-4FBA-A43B-1B56BE2EBFF0}">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C12" authorId="1" shapeId="0" xr:uid="{4E10DBE6-B21F-4DFA-AFAC-617E81C61B1C}">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D12" authorId="1" shapeId="0" xr:uid="{C1809D9B-9B0D-44DA-A2BF-D3C555DC27A2}">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Johannes</author>
    <author>Stefan Pinnow</author>
    <author>Andreas Jäger</author>
  </authors>
  <commentList>
    <comment ref="B4" authorId="0" shapeId="0" xr:uid="{00000000-0006-0000-22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AH5" authorId="1" shapeId="0" xr:uid="{00000000-0006-0000-2200-000002000000}">
      <text>
        <r>
          <rPr>
            <b/>
            <sz val="9"/>
            <color indexed="81"/>
            <rFont val="Tahoma"/>
            <family val="2"/>
          </rPr>
          <t>Stefan Pinnow:</t>
        </r>
        <r>
          <rPr>
            <sz val="9"/>
            <color indexed="81"/>
            <rFont val="Tahoma"/>
            <family val="2"/>
          </rPr>
          <t xml:space="preserve">
=cos(60°)</t>
        </r>
      </text>
    </comment>
    <comment ref="AI5" authorId="1" shapeId="0" xr:uid="{00000000-0006-0000-2200-000003000000}">
      <text>
        <r>
          <rPr>
            <b/>
            <sz val="9"/>
            <color indexed="81"/>
            <rFont val="Tahoma"/>
            <family val="2"/>
          </rPr>
          <t>Stefan Pinnow:</t>
        </r>
        <r>
          <rPr>
            <sz val="9"/>
            <color indexed="81"/>
            <rFont val="Tahoma"/>
            <family val="2"/>
          </rPr>
          <t xml:space="preserve">
=sin(60°)</t>
        </r>
      </text>
    </comment>
    <comment ref="B6" authorId="0" shapeId="0" xr:uid="{00000000-0006-0000-2200-000004000000}">
      <text>
        <r>
          <rPr>
            <b/>
            <sz val="8"/>
            <color indexed="81"/>
            <rFont val="Tahoma"/>
            <family val="2"/>
          </rPr>
          <t>Valid input codes:</t>
        </r>
        <r>
          <rPr>
            <sz val="8"/>
            <color indexed="81"/>
            <rFont val="Tahoma"/>
            <family val="2"/>
          </rPr>
          <t xml:space="preserve">
 PLIQ, PVAP, TLIQ, TVAP</t>
        </r>
      </text>
    </comment>
    <comment ref="A12" authorId="2" shapeId="0" xr:uid="{EC387FFB-4CFE-4851-AC68-5C681CEB0BFF}">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C12" authorId="2" shapeId="0" xr:uid="{AEF03CBC-BDED-4F6C-A1AB-F73A762E7FF8}">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D12" authorId="2" shapeId="0" xr:uid="{62913F70-B1F0-4666-ADD6-80C6FD3AC27E}">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Pinnow, Dr. Stefan</author>
  </authors>
  <commentList>
    <comment ref="I5" authorId="0" shapeId="0" xr:uid="{00000000-0006-0000-2100-000001000000}">
      <text>
        <r>
          <rPr>
            <b/>
            <sz val="9"/>
            <color indexed="81"/>
            <rFont val="Segoe UI"/>
            <family val="2"/>
          </rPr>
          <t>Pinnow, Dr. Stefan:</t>
        </r>
        <r>
          <rPr>
            <sz val="9"/>
            <color indexed="81"/>
            <rFont val="Segoe UI"/>
            <family val="2"/>
          </rPr>
          <t xml:space="preserve">
useful values are:
0.1
0.2</t>
        </r>
      </text>
    </comment>
    <comment ref="P5" authorId="0" shapeId="0" xr:uid="{00000000-0006-0000-2100-000002000000}">
      <text>
        <r>
          <rPr>
            <b/>
            <sz val="9"/>
            <color indexed="81"/>
            <rFont val="Segoe UI"/>
            <family val="2"/>
          </rPr>
          <t>Pinnow, Dr. Stefan:</t>
        </r>
        <r>
          <rPr>
            <sz val="9"/>
            <color indexed="81"/>
            <rFont val="Segoe UI"/>
            <family val="2"/>
          </rPr>
          <t xml:space="preserve">
useful values are:
0.1
0.2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Johannes</author>
    <author>Robin Beckmueller</author>
    <author>Andreas Jäger</author>
  </authors>
  <commentList>
    <comment ref="B4" authorId="0" shapeId="0" xr:uid="{00000000-0006-0000-28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B6" authorId="0" shapeId="0" xr:uid="{00000000-0006-0000-2800-000002000000}">
      <text>
        <r>
          <rPr>
            <b/>
            <sz val="8"/>
            <color indexed="81"/>
            <rFont val="Tahoma"/>
            <family val="2"/>
          </rPr>
          <t>Valid input codes:</t>
        </r>
        <r>
          <rPr>
            <sz val="8"/>
            <color indexed="81"/>
            <rFont val="Tahoma"/>
            <family val="2"/>
          </rPr>
          <t xml:space="preserve">
TP, TD, PH, PS, TQ, PQ, PLIQ, PVAP, TLIQ, TVAP, TSUBV+, TSUBS+, PSUBV+, PSUBS+, TMLTL+, TMLTS+, PMLTS+, PMLTL+
</t>
        </r>
        <r>
          <rPr>
            <b/>
            <sz val="8"/>
            <color indexed="81"/>
            <rFont val="Tahoma"/>
            <family val="2"/>
          </rPr>
          <t>Special input codes:</t>
        </r>
        <r>
          <rPr>
            <sz val="8"/>
            <color indexed="81"/>
            <rFont val="Tahoma"/>
            <family val="2"/>
          </rPr>
          <t xml:space="preserve">
For calculations outside the range of validity, a “&amp;” has to be used at the end of the input code (e.g., “TD&amp;” or “TP&amp;”).
-------------------------------------------------------------
When choosing the inputs "TP+", "PH+", or "PS+", solid phases and equilibria of up to three phases are considered. "TD+" is not implemented yet. Note that for the inputs without an additional "+" only two-phase equilibria are considered, even if all phases are fluid phases.</t>
        </r>
      </text>
    </comment>
    <comment ref="B9" authorId="1" shapeId="0" xr:uid="{00000000-0006-0000-2800-000003000000}">
      <text>
        <r>
          <rPr>
            <b/>
            <sz val="8"/>
            <color indexed="81"/>
            <rFont val="Tahoma"/>
            <family val="2"/>
          </rPr>
          <t>Valid input units:</t>
        </r>
        <r>
          <rPr>
            <sz val="8"/>
            <color indexed="81"/>
            <rFont val="Tahoma"/>
            <family val="2"/>
          </rPr>
          <t xml:space="preserve">
molar, specific, reduced
</t>
        </r>
        <r>
          <rPr>
            <b/>
            <sz val="8"/>
            <color indexed="81"/>
            <rFont val="Tahoma"/>
            <family val="2"/>
          </rPr>
          <t xml:space="preserve">reduced: </t>
        </r>
        <r>
          <rPr>
            <sz val="8"/>
            <color indexed="81"/>
            <rFont val="Tahoma"/>
            <family val="2"/>
          </rPr>
          <t xml:space="preserve">
For calculations with reduced units, which is common e.g. for the Lennard-Jones fluids.</t>
        </r>
      </text>
    </comment>
    <comment ref="A12" authorId="2" shapeId="0" xr:uid="{91B6CCD6-0AD0-4213-B02D-480A36BAD977}">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B12" authorId="0" shapeId="0" xr:uid="{6D48DB3E-830E-4124-AAB0-9245C1940E6A}">
      <text>
        <r>
          <rPr>
            <b/>
            <sz val="8"/>
            <color indexed="81"/>
            <rFont val="Tahoma"/>
            <family val="2"/>
          </rPr>
          <t xml:space="preserve">Maximum number of fluids: </t>
        </r>
        <r>
          <rPr>
            <sz val="8"/>
            <color indexed="81"/>
            <rFont val="Tahoma"/>
            <family val="2"/>
          </rPr>
          <t>20
Sum MUST be 1!</t>
        </r>
      </text>
    </comment>
    <comment ref="C12" authorId="2" shapeId="0" xr:uid="{C9D9D356-3951-4213-82B4-1F993FF8EFB6}">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D12" authorId="2" shapeId="0" xr:uid="{C5DAD982-6C27-4C16-953D-66FD878B4315}">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Johannes</author>
    <author>Andreas Jäger</author>
  </authors>
  <commentList>
    <comment ref="B4" authorId="0" shapeId="0" xr:uid="{00000000-0006-0000-2E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B6" authorId="0" shapeId="0" xr:uid="{00000000-0006-0000-2E00-000002000000}">
      <text>
        <r>
          <rPr>
            <b/>
            <sz val="8"/>
            <color indexed="81"/>
            <rFont val="Tahoma"/>
            <family val="2"/>
          </rPr>
          <t>Valid input codes:</t>
        </r>
        <r>
          <rPr>
            <sz val="8"/>
            <color indexed="81"/>
            <rFont val="Tahoma"/>
            <family val="2"/>
          </rPr>
          <t xml:space="preserve">
TP, TD, PH, PS, TQ, PQ, PLIQ, PVAP, TLIQ, TVAP, TSUBV+, TSUBS+, PSUBV+, PSUBS+, TMLTL+, TMLTS+, PMLTS+, PMLTL+
</t>
        </r>
        <r>
          <rPr>
            <b/>
            <sz val="8"/>
            <color indexed="81"/>
            <rFont val="Tahoma"/>
            <family val="2"/>
          </rPr>
          <t>Special input codes:</t>
        </r>
        <r>
          <rPr>
            <sz val="8"/>
            <color indexed="81"/>
            <rFont val="Tahoma"/>
            <family val="2"/>
          </rPr>
          <t xml:space="preserve">
For calculations outside the range of validity, a “&amp;” has to be used at the end of the input code (e.g., “TD&amp;” or “TP&amp;”).
-------------------------------------------------------------
When choosing the inputs "TP+", "PH+", or "PS+", solid phases and equilibria of up to three phases are considered. "TD+" is not implemented yet. Note that for the inputs without an additional "+" only two-phase equilibria are considered, even if all phases are fluid phases.</t>
        </r>
      </text>
    </comment>
    <comment ref="A17" authorId="1" shapeId="0" xr:uid="{00000000-0006-0000-2E00-000005000000}">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B17" authorId="0" shapeId="0" xr:uid="{00000000-0006-0000-2E00-000006000000}">
      <text>
        <r>
          <rPr>
            <b/>
            <sz val="8"/>
            <color indexed="81"/>
            <rFont val="Tahoma"/>
            <family val="2"/>
          </rPr>
          <t xml:space="preserve">Maximum number of fluids: </t>
        </r>
        <r>
          <rPr>
            <sz val="8"/>
            <color indexed="81"/>
            <rFont val="Tahoma"/>
            <family val="2"/>
          </rPr>
          <t>20
Sum MUST be 1!</t>
        </r>
      </text>
    </comment>
    <comment ref="E17" authorId="1" shapeId="0" xr:uid="{65FA64F6-67BF-450F-A697-3874493A13AE}">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F17" authorId="1" shapeId="0" xr:uid="{FD2F0520-F047-4AA7-BC39-9E0F0B5953E0}">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Johannes</author>
    <author>Andreas Jäger</author>
  </authors>
  <commentList>
    <comment ref="B4" authorId="0" shapeId="0" xr:uid="{00000000-0006-0000-34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B6" authorId="0" shapeId="0" xr:uid="{00000000-0006-0000-3400-000002000000}">
      <text>
        <r>
          <rPr>
            <b/>
            <sz val="8"/>
            <color indexed="81"/>
            <rFont val="Tahoma"/>
            <family val="2"/>
          </rPr>
          <t>Valid input codes:</t>
        </r>
        <r>
          <rPr>
            <sz val="8"/>
            <color indexed="81"/>
            <rFont val="Tahoma"/>
            <family val="2"/>
          </rPr>
          <t xml:space="preserve">
TP, TD, PH, PS, TQ, PQ, PLIQ, PVAP, TLIQ, TVAP, TSUBV+, TSUBS+, PSUBV+, PSUBS+, TMLTL+, TMLTS+, PMLTS+, PMLTL+
</t>
        </r>
        <r>
          <rPr>
            <b/>
            <sz val="8"/>
            <color indexed="81"/>
            <rFont val="Tahoma"/>
            <family val="2"/>
          </rPr>
          <t>Special input codes:</t>
        </r>
        <r>
          <rPr>
            <sz val="8"/>
            <color indexed="81"/>
            <rFont val="Tahoma"/>
            <family val="2"/>
          </rPr>
          <t xml:space="preserve">
For calculations outside the range of validity, a “&amp;” has to be used at the end of the input code (e.g., “TD&amp;” or “TP&amp;”).
-------------------------------------------------------------
When choosing the inputs "TP+", "PH+", or "PS+", solid phases and equilibria of up to three phases are considered. "TD+" is not implemented yet. Note that for the inputs without an additional "+" only two-phase equilibria are considered, even if all phases are fluid phases.</t>
        </r>
      </text>
    </comment>
    <comment ref="A17" authorId="1" shapeId="0" xr:uid="{77F39074-7714-467C-A325-907149B748EC}">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B17" authorId="0" shapeId="0" xr:uid="{A445D11F-2570-48C0-9DB0-98F6CA47301F}">
      <text>
        <r>
          <rPr>
            <b/>
            <sz val="8"/>
            <color indexed="81"/>
            <rFont val="Tahoma"/>
            <family val="2"/>
          </rPr>
          <t xml:space="preserve">Maximum number of fluids: </t>
        </r>
        <r>
          <rPr>
            <sz val="8"/>
            <color indexed="81"/>
            <rFont val="Tahoma"/>
            <family val="2"/>
          </rPr>
          <t>20
Sum MUST be 1!</t>
        </r>
      </text>
    </comment>
    <comment ref="F17" authorId="1" shapeId="0" xr:uid="{4A13B7BD-3D25-4A22-A194-A59BE3C0C538}">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G17" authorId="1" shapeId="0" xr:uid="{28682703-90A5-43B6-8243-9A597906E882}">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Johannes</author>
    <author>Andreas Jäger</author>
  </authors>
  <commentList>
    <comment ref="B4" authorId="0" shapeId="0" xr:uid="{00000000-0006-0000-3A00-000001000000}">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 ref="A17" authorId="1" shapeId="0" xr:uid="{3498A187-7792-4B6A-8BFA-C1C3F602D0AA}">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B17" authorId="0" shapeId="0" xr:uid="{B41D959B-E234-4246-AE7C-B52D5298639A}">
      <text>
        <r>
          <rPr>
            <b/>
            <sz val="8"/>
            <color indexed="81"/>
            <rFont val="Tahoma"/>
            <family val="2"/>
          </rPr>
          <t xml:space="preserve">Maximum number of fluids: </t>
        </r>
        <r>
          <rPr>
            <sz val="8"/>
            <color indexed="81"/>
            <rFont val="Tahoma"/>
            <family val="2"/>
          </rPr>
          <t>20
Sum MUST be 1!</t>
        </r>
      </text>
    </comment>
    <comment ref="C17" authorId="1" shapeId="0" xr:uid="{A5082B1B-23F2-44D6-9ADF-0EA7A98DC88F}">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D17" authorId="1" shapeId="0" xr:uid="{7120011E-5E01-4823-AAB3-67B5C38C91B1}">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 ref="H17" authorId="1" shapeId="0" xr:uid="{53A1789B-1AF6-4F95-BD43-A4A565A6C9CA}">
      <text>
        <r>
          <rPr>
            <b/>
            <sz val="8"/>
            <color indexed="81"/>
            <rFont val="Tahoma"/>
            <family val="2"/>
          </rPr>
          <t>Fluid names:</t>
        </r>
        <r>
          <rPr>
            <sz val="8"/>
            <color indexed="81"/>
            <rFont val="Tahoma"/>
            <family val="2"/>
          </rPr>
          <t xml:space="preserve">
Enter the fluid names according to the *.FLD file names in the \FLUIDS folder
</t>
        </r>
        <r>
          <rPr>
            <b/>
            <sz val="8"/>
            <color indexed="81"/>
            <rFont val="Tahoma"/>
            <family val="2"/>
          </rPr>
          <t>CAS numbers</t>
        </r>
        <r>
          <rPr>
            <sz val="8"/>
            <color indexed="81"/>
            <rFont val="Tahoma"/>
            <family val="2"/>
          </rPr>
          <t xml:space="preserve"> may be used alternatively.</t>
        </r>
      </text>
    </comment>
    <comment ref="I17" authorId="0" shapeId="0" xr:uid="{243593A1-A8FC-4F6D-B279-BF368084C1AE}">
      <text>
        <r>
          <rPr>
            <b/>
            <sz val="8"/>
            <color indexed="81"/>
            <rFont val="Tahoma"/>
            <family val="2"/>
          </rPr>
          <t xml:space="preserve">Maximum number of fluids: </t>
        </r>
        <r>
          <rPr>
            <sz val="8"/>
            <color indexed="81"/>
            <rFont val="Tahoma"/>
            <family val="2"/>
          </rPr>
          <t>20
Sum MUST be 1!</t>
        </r>
      </text>
    </comment>
    <comment ref="J17" authorId="1" shapeId="0" xr:uid="{6C1F5C70-806C-4632-9612-21DA15417AD7}">
      <text>
        <r>
          <rPr>
            <sz val="8"/>
            <color indexed="81"/>
            <rFont val="Tahoma"/>
            <family val="2"/>
          </rPr>
          <t xml:space="preserve">Which </t>
        </r>
        <r>
          <rPr>
            <b/>
            <sz val="8"/>
            <color indexed="81"/>
            <rFont val="Tahoma"/>
            <family val="2"/>
          </rPr>
          <t>equation type</t>
        </r>
        <r>
          <rPr>
            <sz val="8"/>
            <color indexed="81"/>
            <rFont val="Tahoma"/>
            <family val="2"/>
          </rPr>
          <t xml:space="preserve"> should be used?
</t>
        </r>
        <r>
          <rPr>
            <b/>
            <sz val="8"/>
            <color indexed="81"/>
            <rFont val="Tahoma"/>
            <family val="2"/>
          </rPr>
          <t>1</t>
        </r>
        <r>
          <rPr>
            <sz val="8"/>
            <color indexed="81"/>
            <rFont val="Tahoma"/>
            <family val="2"/>
          </rPr>
          <t xml:space="preserve">: Helmholtz EOS
</t>
        </r>
        <r>
          <rPr>
            <b/>
            <sz val="8"/>
            <color indexed="81"/>
            <rFont val="Tahoma"/>
            <family val="2"/>
          </rPr>
          <t>2</t>
        </r>
        <r>
          <rPr>
            <sz val="8"/>
            <color indexed="81"/>
            <rFont val="Tahoma"/>
            <family val="2"/>
          </rPr>
          <t xml:space="preserve">: Soave Redlich Kwong (SRK)
</t>
        </r>
        <r>
          <rPr>
            <b/>
            <sz val="8"/>
            <color indexed="81"/>
            <rFont val="Tahoma"/>
            <family val="2"/>
          </rPr>
          <t>3</t>
        </r>
        <r>
          <rPr>
            <sz val="8"/>
            <color indexed="81"/>
            <rFont val="Tahoma"/>
            <family val="2"/>
          </rPr>
          <t xml:space="preserve">: Peng-Robinson (PR)
</t>
        </r>
        <r>
          <rPr>
            <b/>
            <sz val="8"/>
            <color indexed="81"/>
            <rFont val="Tahoma"/>
            <family val="2"/>
          </rPr>
          <t>4</t>
        </r>
        <r>
          <rPr>
            <sz val="8"/>
            <color indexed="81"/>
            <rFont val="Tahoma"/>
            <family val="2"/>
          </rPr>
          <t xml:space="preserve">: Lee-Kesler-Plöcker (LKP)
</t>
        </r>
        <r>
          <rPr>
            <b/>
            <sz val="8"/>
            <color indexed="81"/>
            <rFont val="Tahoma"/>
            <family val="2"/>
          </rPr>
          <t>51</t>
        </r>
        <r>
          <rPr>
            <sz val="8"/>
            <color indexed="81"/>
            <rFont val="Tahoma"/>
            <family val="2"/>
          </rPr>
          <t xml:space="preserve">: Generalized equation by Alexandrov et al. 
</t>
        </r>
        <r>
          <rPr>
            <b/>
            <sz val="8"/>
            <color indexed="81"/>
            <rFont val="Tahoma"/>
            <family val="2"/>
          </rPr>
          <t>52</t>
        </r>
        <r>
          <rPr>
            <sz val="8"/>
            <color indexed="81"/>
            <rFont val="Tahoma"/>
            <family val="2"/>
          </rPr>
          <t xml:space="preserve">: Generalized equation by Span
</t>
        </r>
        <r>
          <rPr>
            <b/>
            <sz val="8"/>
            <color indexed="81"/>
            <rFont val="Tahoma"/>
            <family val="2"/>
          </rPr>
          <t>53</t>
        </r>
        <r>
          <rPr>
            <sz val="8"/>
            <color indexed="81"/>
            <rFont val="Tahoma"/>
            <family val="2"/>
          </rPr>
          <t xml:space="preserve">: Generalized equation by Sun &amp; Ely
</t>
        </r>
        <r>
          <rPr>
            <b/>
            <sz val="8"/>
            <color indexed="81"/>
            <rFont val="Tahoma"/>
            <family val="2"/>
          </rPr>
          <t>6</t>
        </r>
        <r>
          <rPr>
            <sz val="8"/>
            <color indexed="81"/>
            <rFont val="Tahoma"/>
            <family val="2"/>
          </rPr>
          <t xml:space="preserve">: PCP-SAFT
</t>
        </r>
        <r>
          <rPr>
            <b/>
            <sz val="8"/>
            <color indexed="81"/>
            <rFont val="Tahoma"/>
            <family val="2"/>
          </rPr>
          <t>7</t>
        </r>
        <r>
          <rPr>
            <sz val="8"/>
            <color indexed="81"/>
            <rFont val="Tahoma"/>
            <family val="2"/>
          </rPr>
          <t xml:space="preserve">: AGA8 EOS
</t>
        </r>
        <r>
          <rPr>
            <b/>
            <sz val="8"/>
            <color indexed="81"/>
            <rFont val="Tahoma"/>
            <family val="2"/>
          </rPr>
          <t>8</t>
        </r>
        <r>
          <rPr>
            <sz val="8"/>
            <color indexed="81"/>
            <rFont val="Tahoma"/>
            <family val="2"/>
          </rPr>
          <t xml:space="preserve">: Revised Klosek and McKinley method (RKM)
</t>
        </r>
        <r>
          <rPr>
            <b/>
            <sz val="8"/>
            <color indexed="81"/>
            <rFont val="Tahoma"/>
            <family val="2"/>
          </rPr>
          <t>81</t>
        </r>
        <r>
          <rPr>
            <sz val="8"/>
            <color indexed="81"/>
            <rFont val="Tahoma"/>
            <family val="2"/>
          </rPr>
          <t xml:space="preserve">: Enhanced revised Klosek and McKinley method by Tietz et al. (ERKM)
</t>
        </r>
        <r>
          <rPr>
            <b/>
            <sz val="8"/>
            <color indexed="81"/>
            <rFont val="Tahoma"/>
            <family val="2"/>
          </rPr>
          <t>9</t>
        </r>
        <r>
          <rPr>
            <sz val="8"/>
            <color indexed="81"/>
            <rFont val="Tahoma"/>
            <family val="2"/>
          </rPr>
          <t>: Costald EOS (for the calculation of liquified natural gases =&gt; only valid for the saturated liquid and and subcooled liquid density)</t>
        </r>
      </text>
    </comment>
    <comment ref="K17" authorId="1" shapeId="0" xr:uid="{48C909BD-DF08-44D4-9BFD-3DC123E4DD1A}">
      <text>
        <r>
          <rPr>
            <sz val="8"/>
            <color indexed="81"/>
            <rFont val="Tahoma"/>
            <family val="2"/>
          </rPr>
          <t xml:space="preserve">Which </t>
        </r>
        <r>
          <rPr>
            <b/>
            <sz val="8"/>
            <color indexed="81"/>
            <rFont val="Tahoma"/>
            <family val="2"/>
          </rPr>
          <t>mixing rules</t>
        </r>
        <r>
          <rPr>
            <sz val="8"/>
            <color indexed="81"/>
            <rFont val="Tahoma"/>
            <family val="2"/>
          </rPr>
          <t xml:space="preserve"> should be used?
</t>
        </r>
        <r>
          <rPr>
            <b/>
            <sz val="8"/>
            <color indexed="81"/>
            <rFont val="Tahoma"/>
            <family val="2"/>
          </rPr>
          <t>1</t>
        </r>
        <r>
          <rPr>
            <sz val="8"/>
            <color indexed="81"/>
            <rFont val="Tahoma"/>
            <family val="2"/>
          </rPr>
          <t xml:space="preserve">: Helmholtz mixture model
</t>
        </r>
        <r>
          <rPr>
            <b/>
            <sz val="8"/>
            <color indexed="81"/>
            <rFont val="Tahoma"/>
            <family val="2"/>
          </rPr>
          <t>2</t>
        </r>
        <r>
          <rPr>
            <sz val="8"/>
            <color indexed="81"/>
            <rFont val="Tahoma"/>
            <family val="2"/>
          </rPr>
          <t xml:space="preserve">: SRK mixing rule
</t>
        </r>
        <r>
          <rPr>
            <b/>
            <sz val="8"/>
            <color indexed="81"/>
            <rFont val="Tahoma"/>
            <family val="2"/>
          </rPr>
          <t>3</t>
        </r>
        <r>
          <rPr>
            <sz val="8"/>
            <color indexed="81"/>
            <rFont val="Tahoma"/>
            <family val="2"/>
          </rPr>
          <t xml:space="preserve">: PR mixing rule
</t>
        </r>
        <r>
          <rPr>
            <b/>
            <sz val="8"/>
            <color indexed="81"/>
            <rFont val="Tahoma"/>
            <family val="2"/>
          </rPr>
          <t>4</t>
        </r>
        <r>
          <rPr>
            <sz val="8"/>
            <color indexed="81"/>
            <rFont val="Tahoma"/>
            <family val="2"/>
          </rPr>
          <t xml:space="preserve">: LKP mixing rule
</t>
        </r>
        <r>
          <rPr>
            <b/>
            <sz val="8"/>
            <color indexed="81"/>
            <rFont val="Tahoma"/>
            <family val="2"/>
          </rPr>
          <t>51</t>
        </r>
        <r>
          <rPr>
            <b/>
            <i/>
            <sz val="8"/>
            <color indexed="81"/>
            <rFont val="Tahoma"/>
            <family val="2"/>
          </rPr>
          <t>,</t>
        </r>
        <r>
          <rPr>
            <b/>
            <sz val="8"/>
            <color indexed="81"/>
            <rFont val="Tahoma"/>
            <family val="2"/>
          </rPr>
          <t>52</t>
        </r>
        <r>
          <rPr>
            <sz val="8"/>
            <color indexed="81"/>
            <rFont val="Tahoma"/>
            <family val="2"/>
          </rPr>
          <t>,</t>
        </r>
        <r>
          <rPr>
            <b/>
            <sz val="8"/>
            <color indexed="81"/>
            <rFont val="Tahoma"/>
            <family val="2"/>
          </rPr>
          <t>53</t>
        </r>
        <r>
          <rPr>
            <sz val="8"/>
            <color indexed="81"/>
            <rFont val="Tahoma"/>
            <family val="2"/>
          </rPr>
          <t xml:space="preserve">: Lorentz-Berthelot mixing rule
</t>
        </r>
        <r>
          <rPr>
            <b/>
            <sz val="8"/>
            <color indexed="81"/>
            <rFont val="Tahoma"/>
            <family val="2"/>
          </rPr>
          <t>8</t>
        </r>
        <r>
          <rPr>
            <sz val="8"/>
            <color indexed="81"/>
            <rFont val="Tahoma"/>
            <family val="2"/>
          </rPr>
          <t xml:space="preserve">: RKM mixing rule
</t>
        </r>
        <r>
          <rPr>
            <b/>
            <sz val="8"/>
            <color indexed="81"/>
            <rFont val="Tahoma"/>
            <family val="2"/>
          </rPr>
          <t>81</t>
        </r>
        <r>
          <rPr>
            <sz val="8"/>
            <color indexed="81"/>
            <rFont val="Tahoma"/>
            <family val="2"/>
          </rPr>
          <t xml:space="preserve">: ERKM mixing rule
</t>
        </r>
        <r>
          <rPr>
            <b/>
            <sz val="8"/>
            <color indexed="81"/>
            <rFont val="Tahoma"/>
            <family val="2"/>
          </rPr>
          <t>9</t>
        </r>
        <r>
          <rPr>
            <sz val="8"/>
            <color indexed="81"/>
            <rFont val="Tahoma"/>
            <family val="2"/>
          </rPr>
          <t xml:space="preserve">: Costald EOS mixing rule
Since the SRK/PR/LKP is integrated to the Helmholtz Energy, it is possible to use these equations with the Helmholtz mixture model. </t>
        </r>
        <r>
          <rPr>
            <b/>
            <sz val="8"/>
            <color indexed="81"/>
            <rFont val="Tahoma"/>
            <family val="2"/>
          </rPr>
          <t>However, it is not possible to use Helmholtz Equations with the SRK/PR/LKP mixing rules!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Johannes</author>
  </authors>
  <commentList>
    <comment ref="B4" authorId="0" shapeId="0" xr:uid="{868D2DB8-8A93-4BC7-9D7D-977F5304D164}">
      <text>
        <r>
          <rPr>
            <sz val="8"/>
            <color indexed="81"/>
            <rFont val="Tahoma"/>
            <family val="2"/>
          </rPr>
          <t xml:space="preserve">Absolute path to the directory with the </t>
        </r>
        <r>
          <rPr>
            <b/>
            <sz val="8"/>
            <color indexed="81"/>
            <rFont val="Tahoma"/>
            <family val="2"/>
          </rPr>
          <t>"FLUIDS"</t>
        </r>
        <r>
          <rPr>
            <sz val="8"/>
            <color indexed="81"/>
            <rFont val="Tahoma"/>
            <family val="2"/>
          </rPr>
          <t xml:space="preserve"> and </t>
        </r>
        <r>
          <rPr>
            <b/>
            <sz val="8"/>
            <color indexed="81"/>
            <rFont val="Tahoma"/>
            <family val="2"/>
          </rPr>
          <t>"BINARY_MIX_FILES"</t>
        </r>
        <r>
          <rPr>
            <sz val="8"/>
            <color indexed="81"/>
            <rFont val="Tahoma"/>
            <family val="2"/>
          </rPr>
          <t xml:space="preserve"> folders</t>
        </r>
        <r>
          <rPr>
            <sz val="8"/>
            <color indexed="81"/>
            <rFont val="Tahoma"/>
            <family val="2"/>
          </rPr>
          <t xml:space="preserve">
If no "</t>
        </r>
        <r>
          <rPr>
            <b/>
            <sz val="8"/>
            <color indexed="81"/>
            <rFont val="Tahoma"/>
            <family val="2"/>
          </rPr>
          <t>FLUIDS</t>
        </r>
        <r>
          <rPr>
            <sz val="8"/>
            <color indexed="81"/>
            <rFont val="Tahoma"/>
            <family val="2"/>
          </rPr>
          <t>" folder exists under the specified path, the directory of this Excel sheet is used as default path.</t>
        </r>
      </text>
    </comment>
  </commentList>
</comments>
</file>

<file path=xl/sharedStrings.xml><?xml version="1.0" encoding="utf-8"?>
<sst xmlns="http://schemas.openxmlformats.org/spreadsheetml/2006/main" count="771" uniqueCount="430">
  <si>
    <t>Path to EOS</t>
  </si>
  <si>
    <t>Fluids</t>
  </si>
  <si>
    <t>Density</t>
  </si>
  <si>
    <t>Temperature</t>
  </si>
  <si>
    <t>Pressure</t>
  </si>
  <si>
    <t>Enthalpy</t>
  </si>
  <si>
    <t>Entropy</t>
  </si>
  <si>
    <t>Isobaric heat capacity</t>
  </si>
  <si>
    <t>Isochoric heat capacity</t>
  </si>
  <si>
    <t>Gibbs free energy</t>
  </si>
  <si>
    <t>Helmholtz free energy</t>
  </si>
  <si>
    <t>Property 1</t>
  </si>
  <si>
    <t>Property 2</t>
  </si>
  <si>
    <t>Input code</t>
  </si>
  <si>
    <t>INPUT PARAMETERS</t>
  </si>
  <si>
    <t>Property</t>
  </si>
  <si>
    <t>Value</t>
  </si>
  <si>
    <t>Unit</t>
  </si>
  <si>
    <t>Speed of sound</t>
  </si>
  <si>
    <t>Internal energy</t>
  </si>
  <si>
    <t>Ideal gas isobaric heat capacity</t>
  </si>
  <si>
    <t>Molecular weight</t>
  </si>
  <si>
    <t>Critical temperature (pure fluids only)</t>
  </si>
  <si>
    <t>Critical pressure (pure fluids only)</t>
  </si>
  <si>
    <t>Critical density (pure fluids only)</t>
  </si>
  <si>
    <t>VBA Function</t>
  </si>
  <si>
    <t>Symbol</t>
  </si>
  <si>
    <t>r</t>
  </si>
  <si>
    <t>T</t>
  </si>
  <si>
    <t>p</t>
  </si>
  <si>
    <t>h</t>
  </si>
  <si>
    <t>u</t>
  </si>
  <si>
    <t>s</t>
  </si>
  <si>
    <t>g = h - Ts</t>
  </si>
  <si>
    <t>a = u -Ts</t>
  </si>
  <si>
    <t>B</t>
  </si>
  <si>
    <t>C</t>
  </si>
  <si>
    <t>M</t>
  </si>
  <si>
    <t>K</t>
  </si>
  <si>
    <t>MPa</t>
  </si>
  <si>
    <t>kg/mol</t>
  </si>
  <si>
    <t>Reduced residual Helmholtz energy</t>
  </si>
  <si>
    <t>-</t>
  </si>
  <si>
    <t>FLASH CALCULATION</t>
  </si>
  <si>
    <t>CALCULABLE PROPERTIES</t>
  </si>
  <si>
    <t>Surface tension</t>
  </si>
  <si>
    <t>Dielectric constant</t>
  </si>
  <si>
    <t>Numerical pressure solution (in the VLE region)</t>
  </si>
  <si>
    <t>OTHER FUNCTIONS</t>
  </si>
  <si>
    <t>b</t>
  </si>
  <si>
    <t>POINTS ON THE PHASE ENVELOPE</t>
  </si>
  <si>
    <t>Compressibility factor</t>
  </si>
  <si>
    <t>Z</t>
  </si>
  <si>
    <t>Residual internal energy</t>
  </si>
  <si>
    <t>Residual enthalpy</t>
  </si>
  <si>
    <t>Residual entropy</t>
  </si>
  <si>
    <t>ALLEOS</t>
  </si>
  <si>
    <t>ARRAY FUNCTION TO CALCULATE ALL COMMON THERMODYNAMIC PROPERTIES</t>
  </si>
  <si>
    <t>PHYSICAL PROPERTIES</t>
  </si>
  <si>
    <r>
      <t>c</t>
    </r>
    <r>
      <rPr>
        <i/>
        <vertAlign val="subscript"/>
        <sz val="11"/>
        <rFont val="Times New Roman"/>
        <family val="1"/>
      </rPr>
      <t>p</t>
    </r>
  </si>
  <si>
    <r>
      <t>c</t>
    </r>
    <r>
      <rPr>
        <i/>
        <vertAlign val="subscript"/>
        <sz val="11"/>
        <rFont val="Times New Roman"/>
        <family val="1"/>
      </rPr>
      <t>v</t>
    </r>
  </si>
  <si>
    <r>
      <t>w</t>
    </r>
    <r>
      <rPr>
        <i/>
        <vertAlign val="subscript"/>
        <sz val="11"/>
        <rFont val="Times New Roman"/>
        <family val="1"/>
      </rPr>
      <t>s</t>
    </r>
  </si>
  <si>
    <r>
      <t>u</t>
    </r>
    <r>
      <rPr>
        <vertAlign val="superscript"/>
        <sz val="11"/>
        <rFont val="Times New Roman"/>
        <family val="1"/>
      </rPr>
      <t>r</t>
    </r>
  </si>
  <si>
    <r>
      <t>h</t>
    </r>
    <r>
      <rPr>
        <vertAlign val="superscript"/>
        <sz val="11"/>
        <rFont val="Times New Roman"/>
        <family val="1"/>
      </rPr>
      <t>r</t>
    </r>
  </si>
  <si>
    <r>
      <t>s</t>
    </r>
    <r>
      <rPr>
        <vertAlign val="superscript"/>
        <sz val="11"/>
        <rFont val="Times New Roman"/>
        <family val="1"/>
      </rPr>
      <t>r</t>
    </r>
  </si>
  <si>
    <r>
      <t>1</t>
    </r>
    <r>
      <rPr>
        <i/>
        <vertAlign val="superscript"/>
        <sz val="11"/>
        <rFont val="Calibri"/>
        <family val="2"/>
      </rPr>
      <t xml:space="preserve">st </t>
    </r>
    <r>
      <rPr>
        <i/>
        <sz val="11"/>
        <rFont val="Calibri"/>
        <family val="2"/>
      </rPr>
      <t>derivative of</t>
    </r>
    <r>
      <rPr>
        <i/>
        <sz val="11"/>
        <rFont val="Symbol"/>
        <family val="1"/>
        <charset val="2"/>
      </rPr>
      <t xml:space="preserve"> a</t>
    </r>
    <r>
      <rPr>
        <vertAlign val="superscript"/>
        <sz val="11"/>
        <rFont val="Calibri"/>
        <family val="2"/>
      </rPr>
      <t>r</t>
    </r>
    <r>
      <rPr>
        <i/>
        <sz val="11"/>
        <rFont val="Calibri"/>
        <family val="2"/>
      </rPr>
      <t xml:space="preserve"> w.r.t </t>
    </r>
    <r>
      <rPr>
        <i/>
        <sz val="11"/>
        <rFont val="Symbol"/>
        <family val="1"/>
        <charset val="2"/>
      </rPr>
      <t>d</t>
    </r>
    <r>
      <rPr>
        <i/>
        <sz val="11"/>
        <rFont val="Calibri"/>
        <family val="2"/>
      </rPr>
      <t xml:space="preserve">, multiplied with </t>
    </r>
    <r>
      <rPr>
        <i/>
        <sz val="11"/>
        <rFont val="Symbol"/>
        <family val="1"/>
        <charset val="2"/>
      </rPr>
      <t>d</t>
    </r>
  </si>
  <si>
    <r>
      <t>1</t>
    </r>
    <r>
      <rPr>
        <i/>
        <vertAlign val="superscript"/>
        <sz val="11"/>
        <rFont val="Calibri"/>
        <family val="2"/>
      </rPr>
      <t xml:space="preserve">st </t>
    </r>
    <r>
      <rPr>
        <i/>
        <sz val="11"/>
        <rFont val="Calibri"/>
        <family val="2"/>
      </rPr>
      <t xml:space="preserve">derivative of </t>
    </r>
    <r>
      <rPr>
        <i/>
        <sz val="11"/>
        <rFont val="Symbol"/>
        <family val="1"/>
        <charset val="2"/>
      </rPr>
      <t>a</t>
    </r>
    <r>
      <rPr>
        <vertAlign val="superscript"/>
        <sz val="11"/>
        <rFont val="Calibri"/>
        <family val="2"/>
      </rPr>
      <t>r</t>
    </r>
    <r>
      <rPr>
        <i/>
        <sz val="11"/>
        <rFont val="Calibri"/>
        <family val="2"/>
      </rPr>
      <t xml:space="preserve"> w.r.t </t>
    </r>
    <r>
      <rPr>
        <i/>
        <sz val="11"/>
        <rFont val="Symbol"/>
        <family val="1"/>
        <charset val="2"/>
      </rPr>
      <t>t</t>
    </r>
    <r>
      <rPr>
        <i/>
        <sz val="11"/>
        <rFont val="Calibri"/>
        <family val="2"/>
      </rPr>
      <t xml:space="preserve">, multiplied with </t>
    </r>
    <r>
      <rPr>
        <i/>
        <sz val="11"/>
        <rFont val="Symbol"/>
        <family val="1"/>
        <charset val="2"/>
      </rPr>
      <t>t</t>
    </r>
  </si>
  <si>
    <r>
      <t>2</t>
    </r>
    <r>
      <rPr>
        <i/>
        <vertAlign val="superscript"/>
        <sz val="11"/>
        <rFont val="Calibri"/>
        <family val="2"/>
      </rPr>
      <t xml:space="preserve">nd </t>
    </r>
    <r>
      <rPr>
        <i/>
        <sz val="11"/>
        <rFont val="Calibri"/>
        <family val="2"/>
      </rPr>
      <t xml:space="preserve">derivative of </t>
    </r>
    <r>
      <rPr>
        <i/>
        <sz val="11"/>
        <rFont val="Symbol"/>
        <family val="1"/>
        <charset val="2"/>
      </rPr>
      <t>a</t>
    </r>
    <r>
      <rPr>
        <vertAlign val="superscript"/>
        <sz val="11"/>
        <rFont val="Calibri"/>
        <family val="2"/>
      </rPr>
      <t>r</t>
    </r>
    <r>
      <rPr>
        <i/>
        <sz val="11"/>
        <rFont val="Calibri"/>
        <family val="2"/>
      </rPr>
      <t xml:space="preserve"> w.r.t </t>
    </r>
    <r>
      <rPr>
        <i/>
        <sz val="11"/>
        <rFont val="Symbol"/>
        <family val="1"/>
        <charset val="2"/>
      </rPr>
      <t>t</t>
    </r>
    <r>
      <rPr>
        <i/>
        <sz val="11"/>
        <rFont val="Calibri"/>
        <family val="2"/>
      </rPr>
      <t>, multiplied with</t>
    </r>
    <r>
      <rPr>
        <i/>
        <sz val="11"/>
        <rFont val="Symbol"/>
        <family val="1"/>
        <charset val="2"/>
      </rPr>
      <t xml:space="preserve"> t</t>
    </r>
    <r>
      <rPr>
        <i/>
        <vertAlign val="superscript"/>
        <sz val="11"/>
        <rFont val="Calibri"/>
        <family val="2"/>
      </rPr>
      <t>2</t>
    </r>
  </si>
  <si>
    <r>
      <t>2</t>
    </r>
    <r>
      <rPr>
        <i/>
        <vertAlign val="superscript"/>
        <sz val="11"/>
        <rFont val="Calibri"/>
        <family val="2"/>
      </rPr>
      <t xml:space="preserve">nd </t>
    </r>
    <r>
      <rPr>
        <i/>
        <sz val="11"/>
        <rFont val="Calibri"/>
        <family val="2"/>
      </rPr>
      <t xml:space="preserve">derivative of </t>
    </r>
    <r>
      <rPr>
        <i/>
        <sz val="11"/>
        <rFont val="Symbol"/>
        <family val="1"/>
        <charset val="2"/>
      </rPr>
      <t>a</t>
    </r>
    <r>
      <rPr>
        <vertAlign val="superscript"/>
        <sz val="11"/>
        <rFont val="Calibri"/>
        <family val="2"/>
      </rPr>
      <t>r</t>
    </r>
    <r>
      <rPr>
        <i/>
        <sz val="11"/>
        <rFont val="Calibri"/>
        <family val="2"/>
      </rPr>
      <t xml:space="preserve"> w.r.t </t>
    </r>
    <r>
      <rPr>
        <i/>
        <sz val="11"/>
        <rFont val="Symbol"/>
        <family val="1"/>
        <charset val="2"/>
      </rPr>
      <t>d</t>
    </r>
    <r>
      <rPr>
        <i/>
        <sz val="11"/>
        <rFont val="Calibri"/>
        <family val="2"/>
      </rPr>
      <t xml:space="preserve">, multiplied with </t>
    </r>
    <r>
      <rPr>
        <i/>
        <sz val="11"/>
        <rFont val="Symbol"/>
        <family val="1"/>
        <charset val="2"/>
      </rPr>
      <t>d</t>
    </r>
    <r>
      <rPr>
        <i/>
        <vertAlign val="superscript"/>
        <sz val="11"/>
        <rFont val="Calibri"/>
        <family val="2"/>
      </rPr>
      <t>2</t>
    </r>
  </si>
  <si>
    <r>
      <t>2</t>
    </r>
    <r>
      <rPr>
        <i/>
        <vertAlign val="superscript"/>
        <sz val="11"/>
        <rFont val="Calibri"/>
        <family val="2"/>
      </rPr>
      <t xml:space="preserve">nd </t>
    </r>
    <r>
      <rPr>
        <i/>
        <sz val="11"/>
        <rFont val="Calibri"/>
        <family val="2"/>
      </rPr>
      <t>derivative of</t>
    </r>
    <r>
      <rPr>
        <i/>
        <sz val="11"/>
        <rFont val="Symbol"/>
        <family val="1"/>
        <charset val="2"/>
      </rPr>
      <t xml:space="preserve"> a</t>
    </r>
    <r>
      <rPr>
        <vertAlign val="superscript"/>
        <sz val="11"/>
        <rFont val="Calibri"/>
        <family val="2"/>
      </rPr>
      <t>r</t>
    </r>
    <r>
      <rPr>
        <i/>
        <sz val="11"/>
        <rFont val="Calibri"/>
        <family val="2"/>
      </rPr>
      <t xml:space="preserve"> w.r.t </t>
    </r>
    <r>
      <rPr>
        <i/>
        <sz val="11"/>
        <rFont val="Symbol"/>
        <family val="1"/>
        <charset val="2"/>
      </rPr>
      <t>d</t>
    </r>
    <r>
      <rPr>
        <i/>
        <sz val="11"/>
        <rFont val="Calibri"/>
        <family val="2"/>
      </rPr>
      <t xml:space="preserve"> and </t>
    </r>
    <r>
      <rPr>
        <i/>
        <sz val="11"/>
        <rFont val="Symbol"/>
        <family val="1"/>
        <charset val="2"/>
      </rPr>
      <t>t</t>
    </r>
    <r>
      <rPr>
        <i/>
        <sz val="11"/>
        <rFont val="Calibri"/>
        <family val="2"/>
      </rPr>
      <t xml:space="preserve"> multiplied with </t>
    </r>
    <r>
      <rPr>
        <i/>
        <sz val="11"/>
        <rFont val="Symbol"/>
        <family val="1"/>
        <charset val="2"/>
      </rPr>
      <t>d*t</t>
    </r>
  </si>
  <si>
    <r>
      <t>3</t>
    </r>
    <r>
      <rPr>
        <i/>
        <vertAlign val="superscript"/>
        <sz val="11"/>
        <rFont val="Calibri"/>
        <family val="2"/>
      </rPr>
      <t xml:space="preserve">rd </t>
    </r>
    <r>
      <rPr>
        <i/>
        <sz val="11"/>
        <rFont val="Calibri"/>
        <family val="2"/>
      </rPr>
      <t xml:space="preserve">derivative of </t>
    </r>
    <r>
      <rPr>
        <i/>
        <sz val="11"/>
        <rFont val="Symbol"/>
        <family val="1"/>
        <charset val="2"/>
      </rPr>
      <t>a</t>
    </r>
    <r>
      <rPr>
        <vertAlign val="superscript"/>
        <sz val="11"/>
        <rFont val="Calibri"/>
        <family val="2"/>
      </rPr>
      <t>r</t>
    </r>
    <r>
      <rPr>
        <i/>
        <sz val="11"/>
        <rFont val="Calibri"/>
        <family val="2"/>
      </rPr>
      <t xml:space="preserve"> w.r.t </t>
    </r>
    <r>
      <rPr>
        <i/>
        <sz val="11"/>
        <rFont val="Symbol"/>
        <family val="1"/>
        <charset val="2"/>
      </rPr>
      <t>t</t>
    </r>
    <r>
      <rPr>
        <i/>
        <sz val="11"/>
        <rFont val="Calibri"/>
        <family val="2"/>
      </rPr>
      <t xml:space="preserve"> and </t>
    </r>
    <r>
      <rPr>
        <i/>
        <sz val="11"/>
        <rFont val="Symbol"/>
        <family val="1"/>
        <charset val="2"/>
      </rPr>
      <t>d</t>
    </r>
    <r>
      <rPr>
        <i/>
        <vertAlign val="superscript"/>
        <sz val="11"/>
        <rFont val="Calibri"/>
        <family val="2"/>
      </rPr>
      <t>2</t>
    </r>
    <r>
      <rPr>
        <i/>
        <sz val="11"/>
        <rFont val="Calibri"/>
        <family val="2"/>
      </rPr>
      <t xml:space="preserve">, multiplied with </t>
    </r>
    <r>
      <rPr>
        <i/>
        <sz val="11"/>
        <rFont val="Symbol"/>
        <family val="1"/>
        <charset val="2"/>
      </rPr>
      <t>t*d</t>
    </r>
    <r>
      <rPr>
        <i/>
        <vertAlign val="superscript"/>
        <sz val="11"/>
        <rFont val="Calibri"/>
        <family val="2"/>
      </rPr>
      <t>2</t>
    </r>
  </si>
  <si>
    <r>
      <t>3</t>
    </r>
    <r>
      <rPr>
        <i/>
        <vertAlign val="superscript"/>
        <sz val="11"/>
        <rFont val="Calibri"/>
        <family val="2"/>
      </rPr>
      <t xml:space="preserve">rd </t>
    </r>
    <r>
      <rPr>
        <i/>
        <sz val="11"/>
        <rFont val="Calibri"/>
        <family val="2"/>
      </rPr>
      <t xml:space="preserve">derivative of </t>
    </r>
    <r>
      <rPr>
        <i/>
        <sz val="11"/>
        <rFont val="Symbol"/>
        <family val="1"/>
        <charset val="2"/>
      </rPr>
      <t>a</t>
    </r>
    <r>
      <rPr>
        <vertAlign val="superscript"/>
        <sz val="11"/>
        <rFont val="Calibri"/>
        <family val="2"/>
      </rPr>
      <t>r</t>
    </r>
    <r>
      <rPr>
        <i/>
        <sz val="11"/>
        <rFont val="Calibri"/>
        <family val="2"/>
      </rPr>
      <t xml:space="preserve"> w.r.t  </t>
    </r>
    <r>
      <rPr>
        <i/>
        <sz val="11"/>
        <rFont val="Symbol"/>
        <family val="1"/>
        <charset val="2"/>
      </rPr>
      <t>t</t>
    </r>
    <r>
      <rPr>
        <i/>
        <vertAlign val="superscript"/>
        <sz val="11"/>
        <rFont val="Calibri"/>
        <family val="2"/>
      </rPr>
      <t>2</t>
    </r>
    <r>
      <rPr>
        <i/>
        <sz val="11"/>
        <rFont val="Calibri"/>
        <family val="2"/>
      </rPr>
      <t xml:space="preserve"> and </t>
    </r>
    <r>
      <rPr>
        <i/>
        <sz val="11"/>
        <rFont val="Symbol"/>
        <family val="1"/>
        <charset val="2"/>
      </rPr>
      <t>d</t>
    </r>
    <r>
      <rPr>
        <i/>
        <sz val="11"/>
        <rFont val="Calibri"/>
        <family val="2"/>
      </rPr>
      <t xml:space="preserve">, multiplied with </t>
    </r>
    <r>
      <rPr>
        <i/>
        <sz val="11"/>
        <rFont val="Symbol"/>
        <family val="1"/>
        <charset val="2"/>
      </rPr>
      <t>d*t</t>
    </r>
    <r>
      <rPr>
        <i/>
        <vertAlign val="superscript"/>
        <sz val="11"/>
        <rFont val="Calibri"/>
        <family val="2"/>
      </rPr>
      <t>2</t>
    </r>
  </si>
  <si>
    <r>
      <t>3</t>
    </r>
    <r>
      <rPr>
        <i/>
        <vertAlign val="superscript"/>
        <sz val="11"/>
        <rFont val="Calibri"/>
        <family val="2"/>
      </rPr>
      <t xml:space="preserve">rd </t>
    </r>
    <r>
      <rPr>
        <i/>
        <sz val="11"/>
        <rFont val="Calibri"/>
        <family val="2"/>
      </rPr>
      <t xml:space="preserve">derivative of </t>
    </r>
    <r>
      <rPr>
        <i/>
        <sz val="11"/>
        <rFont val="Symbol"/>
        <family val="1"/>
        <charset val="2"/>
      </rPr>
      <t>a</t>
    </r>
    <r>
      <rPr>
        <vertAlign val="superscript"/>
        <sz val="11"/>
        <rFont val="Calibri"/>
        <family val="2"/>
      </rPr>
      <t>r</t>
    </r>
    <r>
      <rPr>
        <i/>
        <sz val="11"/>
        <rFont val="Calibri"/>
        <family val="2"/>
      </rPr>
      <t xml:space="preserve"> w.r.t </t>
    </r>
    <r>
      <rPr>
        <i/>
        <sz val="11"/>
        <rFont val="Symbol"/>
        <family val="1"/>
        <charset val="2"/>
      </rPr>
      <t>d</t>
    </r>
    <r>
      <rPr>
        <i/>
        <sz val="11"/>
        <rFont val="Calibri"/>
        <family val="2"/>
      </rPr>
      <t xml:space="preserve">, multiplied with </t>
    </r>
    <r>
      <rPr>
        <i/>
        <sz val="11"/>
        <rFont val="Symbol"/>
        <family val="1"/>
        <charset val="2"/>
      </rPr>
      <t>d</t>
    </r>
    <r>
      <rPr>
        <i/>
        <vertAlign val="superscript"/>
        <sz val="11"/>
        <rFont val="Calibri"/>
        <family val="2"/>
      </rPr>
      <t>3</t>
    </r>
  </si>
  <si>
    <r>
      <t>3</t>
    </r>
    <r>
      <rPr>
        <i/>
        <vertAlign val="superscript"/>
        <sz val="11"/>
        <rFont val="Calibri"/>
        <family val="2"/>
      </rPr>
      <t xml:space="preserve">rd </t>
    </r>
    <r>
      <rPr>
        <i/>
        <sz val="11"/>
        <rFont val="Calibri"/>
        <family val="2"/>
      </rPr>
      <t xml:space="preserve">derivative of </t>
    </r>
    <r>
      <rPr>
        <i/>
        <sz val="11"/>
        <rFont val="Symbol"/>
        <family val="1"/>
        <charset val="2"/>
      </rPr>
      <t>a</t>
    </r>
    <r>
      <rPr>
        <vertAlign val="superscript"/>
        <sz val="11"/>
        <rFont val="Calibri"/>
        <family val="2"/>
      </rPr>
      <t>r</t>
    </r>
    <r>
      <rPr>
        <i/>
        <sz val="11"/>
        <rFont val="Calibri"/>
        <family val="2"/>
      </rPr>
      <t xml:space="preserve"> w.r.t</t>
    </r>
    <r>
      <rPr>
        <i/>
        <sz val="11"/>
        <rFont val="Symbol"/>
        <family val="1"/>
        <charset val="2"/>
      </rPr>
      <t xml:space="preserve"> </t>
    </r>
    <r>
      <rPr>
        <i/>
        <sz val="11"/>
        <rFont val="Calibri"/>
        <family val="2"/>
      </rPr>
      <t xml:space="preserve">t, multiplied with </t>
    </r>
    <r>
      <rPr>
        <i/>
        <sz val="11"/>
        <rFont val="Symbol"/>
        <family val="1"/>
        <charset val="2"/>
      </rPr>
      <t>t</t>
    </r>
    <r>
      <rPr>
        <i/>
        <vertAlign val="superscript"/>
        <sz val="11"/>
        <rFont val="Calibri"/>
        <family val="2"/>
      </rPr>
      <t>3</t>
    </r>
  </si>
  <si>
    <r>
      <t>dt*a</t>
    </r>
    <r>
      <rPr>
        <vertAlign val="superscript"/>
        <sz val="11"/>
        <rFont val="Times"/>
        <family val="1"/>
      </rPr>
      <t>r</t>
    </r>
    <r>
      <rPr>
        <i/>
        <vertAlign val="subscript"/>
        <sz val="11"/>
        <rFont val="Symbol"/>
        <family val="1"/>
        <charset val="2"/>
      </rPr>
      <t>dt</t>
    </r>
  </si>
  <si>
    <r>
      <t>t*a</t>
    </r>
    <r>
      <rPr>
        <vertAlign val="superscript"/>
        <sz val="11"/>
        <rFont val="Times"/>
        <family val="1"/>
      </rPr>
      <t>r</t>
    </r>
    <r>
      <rPr>
        <i/>
        <vertAlign val="subscript"/>
        <sz val="11"/>
        <rFont val="Symbol"/>
        <family val="1"/>
        <charset val="2"/>
      </rPr>
      <t>t</t>
    </r>
  </si>
  <si>
    <r>
      <t>d*a</t>
    </r>
    <r>
      <rPr>
        <vertAlign val="superscript"/>
        <sz val="11"/>
        <rFont val="Times"/>
        <family val="1"/>
      </rPr>
      <t>r</t>
    </r>
    <r>
      <rPr>
        <i/>
        <vertAlign val="subscript"/>
        <sz val="11"/>
        <rFont val="Symbol"/>
        <family val="1"/>
        <charset val="2"/>
      </rPr>
      <t>d</t>
    </r>
  </si>
  <si>
    <r>
      <rPr>
        <i/>
        <sz val="11"/>
        <rFont val="Symbol"/>
        <family val="1"/>
        <charset val="2"/>
      </rPr>
      <t>a</t>
    </r>
    <r>
      <rPr>
        <vertAlign val="superscript"/>
        <sz val="11"/>
        <rFont val="Times New Roman"/>
        <family val="1"/>
      </rPr>
      <t>r</t>
    </r>
  </si>
  <si>
    <r>
      <t>c</t>
    </r>
    <r>
      <rPr>
        <i/>
        <vertAlign val="subscript"/>
        <sz val="11"/>
        <rFont val="Times New Roman"/>
        <family val="1"/>
      </rPr>
      <t>p</t>
    </r>
    <r>
      <rPr>
        <vertAlign val="superscript"/>
        <sz val="11"/>
        <rFont val="Times New Roman"/>
        <family val="1"/>
      </rPr>
      <t>0</t>
    </r>
  </si>
  <si>
    <t>POINT ID CAPTION</t>
  </si>
  <si>
    <t>Normal saturation point</t>
  </si>
  <si>
    <t>Critical point</t>
  </si>
  <si>
    <t>Max. temperature (cricondentherm)</t>
  </si>
  <si>
    <t>Max. pressure (cricondenbar)</t>
  </si>
  <si>
    <t>Specified pressure</t>
  </si>
  <si>
    <t>Specified temperature</t>
  </si>
  <si>
    <t>e</t>
  </si>
  <si>
    <t>Eq. Type</t>
  </si>
  <si>
    <t>Mix. Rules</t>
  </si>
  <si>
    <t>co2</t>
  </si>
  <si>
    <t>Viscosity</t>
  </si>
  <si>
    <t>kg/s</t>
  </si>
  <si>
    <t>Nitrogen</t>
  </si>
  <si>
    <t>Water</t>
  </si>
  <si>
    <t xml:space="preserve"> </t>
  </si>
  <si>
    <t>MW</t>
  </si>
  <si>
    <t>%</t>
  </si>
  <si>
    <r>
      <t>h</t>
    </r>
    <r>
      <rPr>
        <vertAlign val="subscript"/>
        <sz val="10"/>
        <rFont val="Arial"/>
        <family val="2"/>
      </rPr>
      <t>2</t>
    </r>
    <r>
      <rPr>
        <sz val="10"/>
        <rFont val="Arial"/>
        <family val="2"/>
      </rPr>
      <t xml:space="preserve"> = h</t>
    </r>
    <r>
      <rPr>
        <vertAlign val="subscript"/>
        <sz val="10"/>
        <rFont val="Arial"/>
        <family val="2"/>
      </rPr>
      <t>1</t>
    </r>
    <r>
      <rPr>
        <sz val="10"/>
        <rFont val="Arial"/>
        <family val="2"/>
      </rPr>
      <t xml:space="preserve"> + 1/</t>
    </r>
    <r>
      <rPr>
        <sz val="10"/>
        <rFont val="Symbol"/>
        <family val="1"/>
        <charset val="2"/>
      </rPr>
      <t>h</t>
    </r>
    <r>
      <rPr>
        <vertAlign val="subscript"/>
        <sz val="10"/>
        <rFont val="Arial"/>
        <family val="2"/>
      </rPr>
      <t>sV</t>
    </r>
    <r>
      <rPr>
        <sz val="10"/>
        <rFont val="Arial"/>
        <family val="2"/>
      </rPr>
      <t xml:space="preserve"> (h</t>
    </r>
    <r>
      <rPr>
        <vertAlign val="subscript"/>
        <sz val="10"/>
        <rFont val="Arial"/>
        <family val="2"/>
      </rPr>
      <t>2s</t>
    </r>
    <r>
      <rPr>
        <sz val="10"/>
        <rFont val="Arial"/>
        <family val="2"/>
      </rPr>
      <t>-h</t>
    </r>
    <r>
      <rPr>
        <vertAlign val="subscript"/>
        <sz val="10"/>
        <rFont val="Arial"/>
        <family val="2"/>
      </rPr>
      <t>1</t>
    </r>
    <r>
      <rPr>
        <sz val="10"/>
        <rFont val="Arial"/>
        <family val="2"/>
      </rPr>
      <t>)</t>
    </r>
  </si>
  <si>
    <r>
      <t>h</t>
    </r>
    <r>
      <rPr>
        <vertAlign val="subscript"/>
        <sz val="10"/>
        <rFont val="Arial"/>
        <family val="2"/>
      </rPr>
      <t>4</t>
    </r>
    <r>
      <rPr>
        <sz val="10"/>
        <rFont val="Arial"/>
        <family val="2"/>
      </rPr>
      <t xml:space="preserve"> = h</t>
    </r>
    <r>
      <rPr>
        <vertAlign val="subscript"/>
        <sz val="10"/>
        <rFont val="Arial"/>
        <family val="2"/>
      </rPr>
      <t>3</t>
    </r>
    <r>
      <rPr>
        <sz val="10"/>
        <rFont val="Arial"/>
        <family val="2"/>
      </rPr>
      <t xml:space="preserve"> + </t>
    </r>
    <r>
      <rPr>
        <sz val="10"/>
        <rFont val="Symbol"/>
        <family val="1"/>
        <charset val="2"/>
      </rPr>
      <t>h</t>
    </r>
    <r>
      <rPr>
        <vertAlign val="subscript"/>
        <sz val="10"/>
        <rFont val="Arial"/>
        <family val="2"/>
      </rPr>
      <t>sT</t>
    </r>
    <r>
      <rPr>
        <sz val="10"/>
        <rFont val="Arial"/>
        <family val="2"/>
      </rPr>
      <t xml:space="preserve"> (h</t>
    </r>
    <r>
      <rPr>
        <vertAlign val="subscript"/>
        <sz val="10"/>
        <rFont val="Arial"/>
        <family val="2"/>
      </rPr>
      <t>4s</t>
    </r>
    <r>
      <rPr>
        <sz val="10"/>
        <rFont val="Arial"/>
        <family val="2"/>
      </rPr>
      <t>-h</t>
    </r>
    <r>
      <rPr>
        <vertAlign val="subscript"/>
        <sz val="10"/>
        <rFont val="Arial"/>
        <family val="2"/>
      </rPr>
      <t>3</t>
    </r>
    <r>
      <rPr>
        <sz val="10"/>
        <rFont val="Arial"/>
        <family val="2"/>
      </rPr>
      <t>)</t>
    </r>
  </si>
  <si>
    <r>
      <t>h</t>
    </r>
    <r>
      <rPr>
        <vertAlign val="subscript"/>
        <sz val="10"/>
        <rFont val="Arial"/>
        <family val="2"/>
      </rPr>
      <t>2s</t>
    </r>
    <r>
      <rPr>
        <sz val="10"/>
        <rFont val="Arial"/>
        <family val="2"/>
      </rPr>
      <t xml:space="preserve"> / kJ/kg =</t>
    </r>
  </si>
  <si>
    <r>
      <t>h</t>
    </r>
    <r>
      <rPr>
        <vertAlign val="subscript"/>
        <sz val="10"/>
        <rFont val="Arial"/>
        <family val="2"/>
      </rPr>
      <t>4s</t>
    </r>
    <r>
      <rPr>
        <sz val="10"/>
        <rFont val="Arial"/>
        <family val="2"/>
      </rPr>
      <t xml:space="preserve"> / kJ/kg =</t>
    </r>
  </si>
  <si>
    <r>
      <t>h</t>
    </r>
    <r>
      <rPr>
        <vertAlign val="subscript"/>
        <sz val="10"/>
        <rFont val="Arial"/>
        <family val="2"/>
      </rPr>
      <t>2</t>
    </r>
    <r>
      <rPr>
        <sz val="10"/>
        <rFont val="Arial"/>
        <family val="2"/>
      </rPr>
      <t xml:space="preserve"> / kJ/kg =</t>
    </r>
  </si>
  <si>
    <r>
      <t>h</t>
    </r>
    <r>
      <rPr>
        <vertAlign val="subscript"/>
        <sz val="10"/>
        <rFont val="Arial"/>
        <family val="2"/>
      </rPr>
      <t>4</t>
    </r>
    <r>
      <rPr>
        <sz val="10"/>
        <rFont val="Arial"/>
        <family val="2"/>
      </rPr>
      <t xml:space="preserve"> / kJ/kg =</t>
    </r>
  </si>
  <si>
    <t>Enthalpy / kJ/kg</t>
  </si>
  <si>
    <r>
      <t>w</t>
    </r>
    <r>
      <rPr>
        <vertAlign val="subscript"/>
        <sz val="10"/>
        <rFont val="Arial"/>
        <family val="2"/>
      </rPr>
      <t>t12</t>
    </r>
    <r>
      <rPr>
        <sz val="10"/>
        <rFont val="Arial"/>
        <family val="2"/>
      </rPr>
      <t xml:space="preserve"> / kJ/kg =</t>
    </r>
  </si>
  <si>
    <r>
      <t>w</t>
    </r>
    <r>
      <rPr>
        <vertAlign val="subscript"/>
        <sz val="10"/>
        <rFont val="Arial"/>
        <family val="2"/>
      </rPr>
      <t>t34</t>
    </r>
    <r>
      <rPr>
        <sz val="10"/>
        <rFont val="Arial"/>
        <family val="2"/>
      </rPr>
      <t xml:space="preserve"> / kJ/kg =</t>
    </r>
  </si>
  <si>
    <t>Entropy / kJ/kgK</t>
  </si>
  <si>
    <r>
      <t>P</t>
    </r>
    <r>
      <rPr>
        <b/>
        <vertAlign val="subscript"/>
        <sz val="10"/>
        <rFont val="Arial"/>
        <family val="2"/>
      </rPr>
      <t>12</t>
    </r>
    <r>
      <rPr>
        <b/>
        <sz val="10"/>
        <rFont val="Arial"/>
        <family val="2"/>
      </rPr>
      <t xml:space="preserve"> / MW =</t>
    </r>
  </si>
  <si>
    <r>
      <t>P</t>
    </r>
    <r>
      <rPr>
        <b/>
        <vertAlign val="subscript"/>
        <sz val="10"/>
        <rFont val="Arial"/>
        <family val="2"/>
      </rPr>
      <t>34</t>
    </r>
    <r>
      <rPr>
        <b/>
        <sz val="10"/>
        <rFont val="Arial"/>
        <family val="2"/>
      </rPr>
      <t xml:space="preserve"> / MW =</t>
    </r>
  </si>
  <si>
    <t>Boundary conditions:</t>
  </si>
  <si>
    <r>
      <t>D</t>
    </r>
    <r>
      <rPr>
        <i/>
        <sz val="11"/>
        <rFont val="Calibri"/>
        <family val="2"/>
      </rPr>
      <t>T</t>
    </r>
    <r>
      <rPr>
        <vertAlign val="subscript"/>
        <sz val="11"/>
        <rFont val="Calibri"/>
        <family val="2"/>
      </rPr>
      <t>min,HG</t>
    </r>
    <r>
      <rPr>
        <sz val="11"/>
        <rFont val="Calibri"/>
        <family val="2"/>
      </rPr>
      <t>:</t>
    </r>
  </si>
  <si>
    <r>
      <t>D</t>
    </r>
    <r>
      <rPr>
        <i/>
        <sz val="11"/>
        <rFont val="Calibri"/>
        <family val="2"/>
      </rPr>
      <t>T</t>
    </r>
    <r>
      <rPr>
        <vertAlign val="subscript"/>
        <sz val="11"/>
        <rFont val="Calibri"/>
        <family val="2"/>
      </rPr>
      <t>Pinch</t>
    </r>
    <r>
      <rPr>
        <sz val="11"/>
        <rFont val="Calibri"/>
        <family val="2"/>
      </rPr>
      <t>:</t>
    </r>
  </si>
  <si>
    <t>Working fluid:</t>
  </si>
  <si>
    <t>Temperature differences:</t>
  </si>
  <si>
    <t>Process parameters:</t>
  </si>
  <si>
    <t>Turbine efficiency:</t>
  </si>
  <si>
    <t>Pump efficiency:</t>
  </si>
  <si>
    <t>Pressure in steam generator:</t>
  </si>
  <si>
    <t>Net power</t>
  </si>
  <si>
    <t>Condensation pressure:</t>
  </si>
  <si>
    <t>Mass flow of working fluid:</t>
  </si>
  <si>
    <t>Temperature / K</t>
  </si>
  <si>
    <t>Pressure / MPa</t>
  </si>
  <si>
    <t>Steam quality</t>
  </si>
  <si>
    <t>Point 1</t>
  </si>
  <si>
    <t>Point 2</t>
  </si>
  <si>
    <t>Point 3</t>
  </si>
  <si>
    <t>Point 4</t>
  </si>
  <si>
    <r>
      <t xml:space="preserve">Flue gas temperature, </t>
    </r>
    <r>
      <rPr>
        <i/>
        <sz val="11"/>
        <rFont val="Calibri"/>
        <family val="2"/>
      </rPr>
      <t>T</t>
    </r>
    <r>
      <rPr>
        <vertAlign val="subscript"/>
        <sz val="11"/>
        <rFont val="Calibri"/>
        <family val="2"/>
      </rPr>
      <t>FG,max</t>
    </r>
    <r>
      <rPr>
        <sz val="11"/>
        <rFont val="Calibri"/>
        <family val="2"/>
      </rPr>
      <t>:</t>
    </r>
  </si>
  <si>
    <r>
      <t xml:space="preserve">Mass flow of flue gas, </t>
    </r>
    <r>
      <rPr>
        <i/>
        <sz val="11"/>
        <rFont val="Calibri"/>
        <family val="2"/>
      </rPr>
      <t>m</t>
    </r>
    <r>
      <rPr>
        <vertAlign val="subscript"/>
        <sz val="11"/>
        <rFont val="Calibri"/>
        <family val="2"/>
      </rPr>
      <t>FG</t>
    </r>
    <r>
      <rPr>
        <sz val="11"/>
        <rFont val="Calibri"/>
        <family val="2"/>
      </rPr>
      <t>:</t>
    </r>
  </si>
  <si>
    <r>
      <t xml:space="preserve">Flue gas pressure, </t>
    </r>
    <r>
      <rPr>
        <i/>
        <sz val="11"/>
        <rFont val="Calibri"/>
        <family val="2"/>
      </rPr>
      <t>p</t>
    </r>
    <r>
      <rPr>
        <vertAlign val="subscript"/>
        <sz val="11"/>
        <rFont val="Calibri"/>
        <family val="2"/>
      </rPr>
      <t>FG</t>
    </r>
    <r>
      <rPr>
        <sz val="11"/>
        <rFont val="Calibri"/>
        <family val="2"/>
      </rPr>
      <t>:</t>
    </r>
  </si>
  <si>
    <t>CO2</t>
  </si>
  <si>
    <t>Supercooling in condensator</t>
  </si>
  <si>
    <r>
      <t>Density / kg/m</t>
    </r>
    <r>
      <rPr>
        <vertAlign val="superscript"/>
        <sz val="10"/>
        <rFont val="Arial"/>
        <family val="2"/>
      </rPr>
      <t>3</t>
    </r>
  </si>
  <si>
    <t>Oxygen</t>
  </si>
  <si>
    <t>RELEVANT STATE POINTS</t>
  </si>
  <si>
    <t>Mole fractions</t>
  </si>
  <si>
    <t>Eq. type</t>
  </si>
  <si>
    <t>Mix.rules</t>
  </si>
  <si>
    <t>Flue gas components:</t>
  </si>
  <si>
    <t>CALCULATED VALUES</t>
  </si>
  <si>
    <t>PUMP MODEL</t>
  </si>
  <si>
    <t>TURBINE MODEL</t>
  </si>
  <si>
    <t>STEAM GENERATOR MODEL</t>
  </si>
  <si>
    <t>CALCULATED PROCESS PARAMTERS:</t>
  </si>
  <si>
    <t>ENERGETIC PARAMETERS:</t>
  </si>
  <si>
    <t>MOLECULAR WEIGHTS</t>
  </si>
  <si>
    <t>Fuelgas</t>
  </si>
  <si>
    <t>Thermal efficiency</t>
  </si>
  <si>
    <r>
      <t>h</t>
    </r>
    <r>
      <rPr>
        <vertAlign val="subscript"/>
        <sz val="10"/>
        <rFont val="Arial"/>
        <family val="2"/>
      </rPr>
      <t>RG,max</t>
    </r>
    <r>
      <rPr>
        <sz val="10"/>
        <rFont val="Arial"/>
        <family val="2"/>
      </rPr>
      <t xml:space="preserve"> / kJ/kg  </t>
    </r>
    <r>
      <rPr>
        <sz val="10"/>
        <rFont val="Arial"/>
        <family val="2"/>
      </rPr>
      <t>=</t>
    </r>
  </si>
  <si>
    <r>
      <t>h</t>
    </r>
    <r>
      <rPr>
        <vertAlign val="subscript"/>
        <sz val="10"/>
        <rFont val="Arial"/>
        <family val="2"/>
      </rPr>
      <t>RG, Pinch</t>
    </r>
    <r>
      <rPr>
        <sz val="10"/>
        <rFont val="Arial"/>
        <family val="2"/>
      </rPr>
      <t xml:space="preserve"> / kJ/kg  =</t>
    </r>
  </si>
  <si>
    <r>
      <t>h</t>
    </r>
    <r>
      <rPr>
        <vertAlign val="subscript"/>
        <sz val="10"/>
        <rFont val="Arial"/>
        <family val="2"/>
      </rPr>
      <t xml:space="preserve">RG,out </t>
    </r>
    <r>
      <rPr>
        <sz val="10"/>
        <rFont val="Arial"/>
        <family val="2"/>
      </rPr>
      <t>/ kJ/kg</t>
    </r>
    <r>
      <rPr>
        <vertAlign val="subscript"/>
        <sz val="10"/>
        <rFont val="Arial"/>
        <family val="2"/>
      </rPr>
      <t xml:space="preserve"> </t>
    </r>
    <r>
      <rPr>
        <sz val="10"/>
        <rFont val="Arial"/>
        <family val="2"/>
      </rPr>
      <t xml:space="preserve"> =</t>
    </r>
  </si>
  <si>
    <r>
      <t>T</t>
    </r>
    <r>
      <rPr>
        <vertAlign val="subscript"/>
        <sz val="10"/>
        <rFont val="Arial"/>
        <family val="2"/>
      </rPr>
      <t>siede, Kessel</t>
    </r>
    <r>
      <rPr>
        <sz val="10"/>
        <rFont val="Arial"/>
        <family val="2"/>
      </rPr>
      <t xml:space="preserve"> / K=</t>
    </r>
  </si>
  <si>
    <r>
      <t>h</t>
    </r>
    <r>
      <rPr>
        <vertAlign val="subscript"/>
        <sz val="10"/>
        <rFont val="Arial"/>
        <family val="2"/>
      </rPr>
      <t>Pinch</t>
    </r>
    <r>
      <rPr>
        <sz val="10"/>
        <rFont val="Arial"/>
        <family val="2"/>
      </rPr>
      <t xml:space="preserve"> / kJ/kg</t>
    </r>
    <r>
      <rPr>
        <vertAlign val="subscript"/>
        <sz val="10"/>
        <rFont val="Arial"/>
        <family val="2"/>
      </rPr>
      <t xml:space="preserve">  </t>
    </r>
    <r>
      <rPr>
        <sz val="10"/>
        <rFont val="Arial"/>
        <family val="2"/>
      </rPr>
      <t xml:space="preserve"> =</t>
    </r>
  </si>
  <si>
    <r>
      <t>M</t>
    </r>
    <r>
      <rPr>
        <b/>
        <vertAlign val="subscript"/>
        <sz val="10"/>
        <rFont val="Arial"/>
        <family val="2"/>
      </rPr>
      <t>fluid</t>
    </r>
    <r>
      <rPr>
        <b/>
        <sz val="10"/>
        <rFont val="Arial"/>
        <family val="2"/>
      </rPr>
      <t xml:space="preserve">  / kg/s</t>
    </r>
    <r>
      <rPr>
        <b/>
        <vertAlign val="subscript"/>
        <sz val="10"/>
        <rFont val="Arial"/>
        <family val="2"/>
      </rPr>
      <t xml:space="preserve">  </t>
    </r>
    <r>
      <rPr>
        <b/>
        <sz val="10"/>
        <rFont val="Arial"/>
        <family val="2"/>
      </rPr>
      <t xml:space="preserve"> =</t>
    </r>
  </si>
  <si>
    <r>
      <t>T</t>
    </r>
    <r>
      <rPr>
        <b/>
        <vertAlign val="subscript"/>
        <sz val="10"/>
        <rFont val="Arial"/>
        <family val="2"/>
      </rPr>
      <t>RG,out</t>
    </r>
    <r>
      <rPr>
        <b/>
        <sz val="10"/>
        <rFont val="Arial"/>
        <family val="2"/>
      </rPr>
      <t xml:space="preserve"> / K =</t>
    </r>
  </si>
  <si>
    <r>
      <t>D</t>
    </r>
    <r>
      <rPr>
        <i/>
        <sz val="11"/>
        <rFont val="Calibri"/>
        <family val="2"/>
      </rPr>
      <t>T</t>
    </r>
    <r>
      <rPr>
        <vertAlign val="subscript"/>
        <sz val="11"/>
        <rFont val="Calibri"/>
        <family val="2"/>
      </rPr>
      <t>min,Cond</t>
    </r>
    <r>
      <rPr>
        <sz val="11"/>
        <rFont val="Calibri"/>
        <family val="2"/>
      </rPr>
      <t>:</t>
    </r>
  </si>
  <si>
    <t>COMMON THERMODYNAMIC PROPERTIES</t>
  </si>
  <si>
    <t>D</t>
  </si>
  <si>
    <r>
      <rPr>
        <i/>
        <sz val="11"/>
        <rFont val="Symbol"/>
        <family val="1"/>
        <charset val="2"/>
      </rPr>
      <t>a</t>
    </r>
    <r>
      <rPr>
        <i/>
        <vertAlign val="subscript"/>
        <sz val="11"/>
        <rFont val="Times New Roman"/>
        <family val="1"/>
      </rPr>
      <t>v</t>
    </r>
  </si>
  <si>
    <t>GRUEN</t>
  </si>
  <si>
    <t>PIP</t>
  </si>
  <si>
    <t>Acentric factor</t>
  </si>
  <si>
    <t>w</t>
  </si>
  <si>
    <t>l</t>
  </si>
  <si>
    <t>Isothermal compressibility</t>
  </si>
  <si>
    <t>Second virial coefficient</t>
  </si>
  <si>
    <t>Third virial coefficient</t>
  </si>
  <si>
    <t>Fourth virial coefficient</t>
  </si>
  <si>
    <t>Volume expansivity</t>
  </si>
  <si>
    <t>Isentropic expansion coefficient</t>
  </si>
  <si>
    <t>Isothermal expansion coefficient</t>
  </si>
  <si>
    <t>Grueneisen coefficient</t>
  </si>
  <si>
    <t>Derivative of the int. energy w.r.t the volume at const. Temp.</t>
  </si>
  <si>
    <t>RIEM</t>
  </si>
  <si>
    <t>Isothermal throtteling coefficient</t>
  </si>
  <si>
    <t>Isentropic compressibility</t>
  </si>
  <si>
    <r>
      <rPr>
        <i/>
        <sz val="11"/>
        <rFont val="Symbol"/>
        <family val="1"/>
        <charset val="2"/>
      </rPr>
      <t>r</t>
    </r>
    <r>
      <rPr>
        <vertAlign val="subscript"/>
        <sz val="11"/>
        <rFont val="Times New Roman"/>
        <family val="1"/>
      </rPr>
      <t>Spin,vap/liq</t>
    </r>
  </si>
  <si>
    <r>
      <t>k</t>
    </r>
    <r>
      <rPr>
        <i/>
        <vertAlign val="subscript"/>
        <sz val="11"/>
        <rFont val="Times New Roman"/>
        <family val="1"/>
      </rPr>
      <t>s</t>
    </r>
  </si>
  <si>
    <r>
      <t>k</t>
    </r>
    <r>
      <rPr>
        <i/>
        <vertAlign val="subscript"/>
        <sz val="11"/>
        <rFont val="Times New Roman"/>
        <family val="1"/>
      </rPr>
      <t>T</t>
    </r>
  </si>
  <si>
    <t>Thermal conductivity</t>
  </si>
  <si>
    <r>
      <t>d</t>
    </r>
    <r>
      <rPr>
        <i/>
        <vertAlign val="subscript"/>
        <sz val="11"/>
        <rFont val="Times New Roman"/>
        <family val="1"/>
      </rPr>
      <t>T</t>
    </r>
  </si>
  <si>
    <t>P</t>
  </si>
  <si>
    <r>
      <t>(∂</t>
    </r>
    <r>
      <rPr>
        <i/>
        <sz val="11"/>
        <rFont val="Times New Roman"/>
        <family val="1"/>
      </rPr>
      <t>u</t>
    </r>
    <r>
      <rPr>
        <sz val="11"/>
        <rFont val="Times New Roman"/>
        <family val="1"/>
      </rPr>
      <t>/∂</t>
    </r>
    <r>
      <rPr>
        <i/>
        <sz val="11"/>
        <rFont val="Times New Roman"/>
        <family val="1"/>
      </rPr>
      <t>v)</t>
    </r>
    <r>
      <rPr>
        <i/>
        <vertAlign val="subscript"/>
        <sz val="11"/>
        <rFont val="Times New Roman"/>
        <family val="1"/>
      </rPr>
      <t>T</t>
    </r>
  </si>
  <si>
    <t>Riemann Scalar Curvature</t>
  </si>
  <si>
    <t>m</t>
  </si>
  <si>
    <t>Residual isochoric heat capacity</t>
  </si>
  <si>
    <t>Triple point temperature (pure fluids only)</t>
  </si>
  <si>
    <t>Triple point pressure (pure fluids only)</t>
  </si>
  <si>
    <t>Joule-Thomson coefficient</t>
  </si>
  <si>
    <t>PHT</t>
  </si>
  <si>
    <t>HC</t>
  </si>
  <si>
    <r>
      <rPr>
        <sz val="11"/>
        <rFont val="Times New Roman"/>
        <family val="1"/>
      </rPr>
      <t>d</t>
    </r>
    <r>
      <rPr>
        <i/>
        <sz val="11"/>
        <rFont val="Times New Roman"/>
        <family val="1"/>
      </rPr>
      <t>B/</t>
    </r>
    <r>
      <rPr>
        <sz val="11"/>
        <rFont val="Times New Roman"/>
        <family val="1"/>
      </rPr>
      <t>d</t>
    </r>
    <r>
      <rPr>
        <i/>
        <sz val="11"/>
        <rFont val="Times New Roman"/>
        <family val="1"/>
      </rPr>
      <t>T</t>
    </r>
  </si>
  <si>
    <r>
      <rPr>
        <sz val="11"/>
        <rFont val="Times New Roman"/>
        <family val="1"/>
      </rPr>
      <t>d</t>
    </r>
    <r>
      <rPr>
        <i/>
        <sz val="11"/>
        <rFont val="Times New Roman"/>
        <family val="1"/>
      </rPr>
      <t>C/</t>
    </r>
    <r>
      <rPr>
        <sz val="11"/>
        <rFont val="Times New Roman"/>
        <family val="1"/>
      </rPr>
      <t>d</t>
    </r>
    <r>
      <rPr>
        <i/>
        <sz val="11"/>
        <rFont val="Times New Roman"/>
        <family val="1"/>
      </rPr>
      <t>T</t>
    </r>
  </si>
  <si>
    <t>First derivative of the second virial coefficient wrt temperature</t>
  </si>
  <si>
    <t>First derivative of the third virial coefficient wrt temperature</t>
  </si>
  <si>
    <r>
      <t>T</t>
    </r>
    <r>
      <rPr>
        <vertAlign val="subscript"/>
        <sz val="11"/>
        <rFont val="Times New Roman"/>
        <family val="1"/>
      </rPr>
      <t>tr</t>
    </r>
  </si>
  <si>
    <r>
      <t>p</t>
    </r>
    <r>
      <rPr>
        <vertAlign val="subscript"/>
        <sz val="11"/>
        <rFont val="Times New Roman"/>
        <family val="1"/>
      </rPr>
      <t>tr</t>
    </r>
  </si>
  <si>
    <r>
      <t>T</t>
    </r>
    <r>
      <rPr>
        <vertAlign val="subscript"/>
        <sz val="11"/>
        <rFont val="Times New Roman"/>
        <family val="1"/>
      </rPr>
      <t>c</t>
    </r>
  </si>
  <si>
    <r>
      <t>p</t>
    </r>
    <r>
      <rPr>
        <vertAlign val="subscript"/>
        <sz val="11"/>
        <rFont val="Times New Roman"/>
        <family val="1"/>
      </rPr>
      <t>c</t>
    </r>
  </si>
  <si>
    <r>
      <rPr>
        <i/>
        <sz val="11"/>
        <rFont val="Symbol"/>
        <family val="1"/>
        <charset val="2"/>
      </rPr>
      <t>r</t>
    </r>
    <r>
      <rPr>
        <vertAlign val="subscript"/>
        <sz val="11"/>
        <rFont val="Times New Roman"/>
        <family val="1"/>
      </rPr>
      <t>c</t>
    </r>
  </si>
  <si>
    <r>
      <t>T</t>
    </r>
    <r>
      <rPr>
        <vertAlign val="subscript"/>
        <sz val="11"/>
        <rFont val="Times New Roman"/>
        <family val="1"/>
      </rPr>
      <t>min</t>
    </r>
  </si>
  <si>
    <r>
      <t>T</t>
    </r>
    <r>
      <rPr>
        <vertAlign val="subscript"/>
        <sz val="11"/>
        <rFont val="Times New Roman"/>
        <family val="1"/>
      </rPr>
      <t>max</t>
    </r>
  </si>
  <si>
    <r>
      <t>p</t>
    </r>
    <r>
      <rPr>
        <vertAlign val="subscript"/>
        <sz val="11"/>
        <rFont val="Times New Roman"/>
        <family val="1"/>
      </rPr>
      <t>max</t>
    </r>
  </si>
  <si>
    <r>
      <rPr>
        <i/>
        <sz val="11"/>
        <rFont val="Symbol"/>
        <family val="1"/>
        <charset val="2"/>
      </rPr>
      <t>r</t>
    </r>
    <r>
      <rPr>
        <vertAlign val="subscript"/>
        <sz val="11"/>
        <rFont val="Times New Roman"/>
        <family val="1"/>
      </rPr>
      <t>max</t>
    </r>
  </si>
  <si>
    <t>Toggle Phase Env</t>
  </si>
  <si>
    <t>Second cross virial coefficient</t>
  </si>
  <si>
    <r>
      <t>B</t>
    </r>
    <r>
      <rPr>
        <vertAlign val="subscript"/>
        <sz val="11"/>
        <rFont val="Times New Roman"/>
        <family val="1"/>
      </rPr>
      <t>12</t>
    </r>
  </si>
  <si>
    <r>
      <t>p</t>
    </r>
    <r>
      <rPr>
        <vertAlign val="subscript"/>
        <sz val="11"/>
        <rFont val="Times New Roman"/>
        <family val="1"/>
      </rPr>
      <t>numer</t>
    </r>
  </si>
  <si>
    <r>
      <t>c</t>
    </r>
    <r>
      <rPr>
        <i/>
        <vertAlign val="subscript"/>
        <sz val="11"/>
        <rFont val="Times New Roman"/>
        <family val="1"/>
      </rPr>
      <t>v</t>
    </r>
    <r>
      <rPr>
        <vertAlign val="superscript"/>
        <sz val="11"/>
        <rFont val="Times New Roman"/>
        <family val="1"/>
      </rPr>
      <t>r</t>
    </r>
  </si>
  <si>
    <r>
      <t>d</t>
    </r>
    <r>
      <rPr>
        <vertAlign val="superscript"/>
        <sz val="11"/>
        <rFont val="Symbol"/>
        <family val="1"/>
        <charset val="2"/>
      </rPr>
      <t>2</t>
    </r>
    <r>
      <rPr>
        <i/>
        <sz val="11"/>
        <rFont val="Symbol"/>
        <family val="1"/>
        <charset val="2"/>
      </rPr>
      <t>*a</t>
    </r>
    <r>
      <rPr>
        <vertAlign val="superscript"/>
        <sz val="11"/>
        <rFont val="Times"/>
        <family val="1"/>
      </rPr>
      <t>r</t>
    </r>
    <r>
      <rPr>
        <i/>
        <vertAlign val="subscript"/>
        <sz val="11"/>
        <rFont val="Symbol"/>
        <family val="1"/>
        <charset val="2"/>
      </rPr>
      <t>dd</t>
    </r>
  </si>
  <si>
    <r>
      <t>t</t>
    </r>
    <r>
      <rPr>
        <vertAlign val="superscript"/>
        <sz val="11"/>
        <rFont val="Symbol"/>
        <family val="1"/>
        <charset val="2"/>
      </rPr>
      <t>2</t>
    </r>
    <r>
      <rPr>
        <i/>
        <sz val="11"/>
        <rFont val="Symbol"/>
        <family val="1"/>
        <charset val="2"/>
      </rPr>
      <t>*a</t>
    </r>
    <r>
      <rPr>
        <vertAlign val="superscript"/>
        <sz val="11"/>
        <rFont val="Times"/>
        <family val="1"/>
      </rPr>
      <t>r</t>
    </r>
    <r>
      <rPr>
        <i/>
        <vertAlign val="subscript"/>
        <sz val="11"/>
        <rFont val="Symbol"/>
        <family val="1"/>
        <charset val="2"/>
      </rPr>
      <t>tt</t>
    </r>
  </si>
  <si>
    <r>
      <t>td</t>
    </r>
    <r>
      <rPr>
        <vertAlign val="superscript"/>
        <sz val="11"/>
        <rFont val="Symbol"/>
        <family val="1"/>
        <charset val="2"/>
      </rPr>
      <t>2</t>
    </r>
    <r>
      <rPr>
        <i/>
        <sz val="11"/>
        <rFont val="Symbol"/>
        <family val="1"/>
        <charset val="2"/>
      </rPr>
      <t>*a</t>
    </r>
    <r>
      <rPr>
        <vertAlign val="superscript"/>
        <sz val="11"/>
        <rFont val="Times"/>
        <family val="1"/>
      </rPr>
      <t>r</t>
    </r>
    <r>
      <rPr>
        <i/>
        <vertAlign val="subscript"/>
        <sz val="11"/>
        <rFont val="Symbol"/>
        <family val="1"/>
        <charset val="2"/>
      </rPr>
      <t>tdd</t>
    </r>
  </si>
  <si>
    <r>
      <t>t</t>
    </r>
    <r>
      <rPr>
        <vertAlign val="superscript"/>
        <sz val="11"/>
        <rFont val="Symbol"/>
        <family val="1"/>
        <charset val="2"/>
      </rPr>
      <t>2</t>
    </r>
    <r>
      <rPr>
        <i/>
        <sz val="11"/>
        <rFont val="Symbol"/>
        <family val="1"/>
        <charset val="2"/>
      </rPr>
      <t>d*a</t>
    </r>
    <r>
      <rPr>
        <vertAlign val="superscript"/>
        <sz val="11"/>
        <rFont val="Times"/>
        <family val="1"/>
      </rPr>
      <t>r</t>
    </r>
    <r>
      <rPr>
        <i/>
        <vertAlign val="subscript"/>
        <sz val="11"/>
        <rFont val="Symbol"/>
        <family val="1"/>
        <charset val="2"/>
      </rPr>
      <t>ttd</t>
    </r>
  </si>
  <si>
    <r>
      <t>d</t>
    </r>
    <r>
      <rPr>
        <vertAlign val="superscript"/>
        <sz val="11"/>
        <rFont val="Symbol"/>
        <family val="1"/>
        <charset val="2"/>
      </rPr>
      <t>3</t>
    </r>
    <r>
      <rPr>
        <i/>
        <sz val="11"/>
        <rFont val="Symbol"/>
        <family val="1"/>
        <charset val="2"/>
      </rPr>
      <t>*a</t>
    </r>
    <r>
      <rPr>
        <vertAlign val="superscript"/>
        <sz val="11"/>
        <rFont val="Times"/>
        <family val="1"/>
      </rPr>
      <t>r</t>
    </r>
    <r>
      <rPr>
        <i/>
        <vertAlign val="subscript"/>
        <sz val="11"/>
        <rFont val="Symbol"/>
        <family val="1"/>
        <charset val="2"/>
      </rPr>
      <t>ddd</t>
    </r>
  </si>
  <si>
    <r>
      <t>t</t>
    </r>
    <r>
      <rPr>
        <vertAlign val="superscript"/>
        <sz val="11"/>
        <rFont val="Symbol"/>
        <family val="1"/>
        <charset val="2"/>
      </rPr>
      <t>3</t>
    </r>
    <r>
      <rPr>
        <i/>
        <sz val="11"/>
        <rFont val="Symbol"/>
        <family val="1"/>
        <charset val="2"/>
      </rPr>
      <t>*a</t>
    </r>
    <r>
      <rPr>
        <vertAlign val="superscript"/>
        <sz val="11"/>
        <rFont val="Times"/>
        <family val="1"/>
      </rPr>
      <t>r</t>
    </r>
    <r>
      <rPr>
        <i/>
        <vertAlign val="subscript"/>
        <sz val="11"/>
        <rFont val="Symbol"/>
        <family val="1"/>
        <charset val="2"/>
      </rPr>
      <t>ttt</t>
    </r>
  </si>
  <si>
    <t>CAS Number</t>
  </si>
  <si>
    <t>Excess volume</t>
  </si>
  <si>
    <r>
      <t>v</t>
    </r>
    <r>
      <rPr>
        <vertAlign val="superscript"/>
        <sz val="11"/>
        <rFont val="Times New Roman"/>
        <family val="1"/>
      </rPr>
      <t>E</t>
    </r>
  </si>
  <si>
    <t>Excess enthalpy</t>
  </si>
  <si>
    <t>Excess Gibbs energy</t>
  </si>
  <si>
    <r>
      <t>g</t>
    </r>
    <r>
      <rPr>
        <vertAlign val="superscript"/>
        <sz val="11"/>
        <rFont val="Times New Roman"/>
        <family val="1"/>
      </rPr>
      <t>E</t>
    </r>
  </si>
  <si>
    <r>
      <t>h</t>
    </r>
    <r>
      <rPr>
        <vertAlign val="superscript"/>
        <sz val="11"/>
        <rFont val="Times New Roman"/>
        <family val="1"/>
      </rPr>
      <t>E</t>
    </r>
  </si>
  <si>
    <t>RESIDUAL PROPERTIES &amp; HELMHOLTZ DERIVATIVES &amp; EXCESS PROPERTIES</t>
  </si>
  <si>
    <t>Derivative of pressure wrt temperature</t>
  </si>
  <si>
    <r>
      <t>w</t>
    </r>
    <r>
      <rPr>
        <i/>
        <vertAlign val="subscript"/>
        <sz val="11"/>
        <rFont val="Times New Roman"/>
        <family val="1"/>
      </rPr>
      <t>s</t>
    </r>
    <r>
      <rPr>
        <vertAlign val="subscript"/>
        <sz val="11"/>
        <rFont val="Times New Roman"/>
        <family val="1"/>
      </rPr>
      <t>numer</t>
    </r>
  </si>
  <si>
    <t>Fundamental derivative of gas dynamics</t>
  </si>
  <si>
    <r>
      <rPr>
        <i/>
        <sz val="11"/>
        <rFont val="Symbol"/>
        <family val="1"/>
        <charset val="2"/>
      </rPr>
      <t>g</t>
    </r>
    <r>
      <rPr>
        <vertAlign val="subscript"/>
        <sz val="11"/>
        <rFont val="Times New Roman"/>
        <family val="1"/>
      </rPr>
      <t>GD</t>
    </r>
  </si>
  <si>
    <t>Numerical speed of sound solution (in the VLE region)</t>
  </si>
  <si>
    <t>G</t>
  </si>
  <si>
    <t>Phase identification parameter</t>
  </si>
  <si>
    <t>Density of spinodal for given T</t>
  </si>
  <si>
    <t>Derivative of pressure wrt density</t>
  </si>
  <si>
    <t>Second derivative of pressure wrt density</t>
  </si>
  <si>
    <t>Second derivative of pressure wrt density and temperature</t>
  </si>
  <si>
    <t>Second derivative of pressure wrt temperature</t>
  </si>
  <si>
    <r>
      <t>(</t>
    </r>
    <r>
      <rPr>
        <i/>
        <sz val="11"/>
        <rFont val="Times New Roman"/>
        <family val="1"/>
      </rPr>
      <t>∂p</t>
    </r>
    <r>
      <rPr>
        <sz val="11"/>
        <rFont val="Times New Roman"/>
        <family val="1"/>
      </rPr>
      <t>/∂</t>
    </r>
    <r>
      <rPr>
        <i/>
        <sz val="11"/>
        <rFont val="Times New Roman"/>
        <family val="1"/>
      </rPr>
      <t>T</t>
    </r>
    <r>
      <rPr>
        <sz val="11"/>
        <rFont val="Times New Roman"/>
        <family val="1"/>
      </rPr>
      <t>)</t>
    </r>
    <r>
      <rPr>
        <i/>
        <vertAlign val="subscript"/>
        <sz val="11"/>
        <rFont val="Times New Roman"/>
        <family val="1"/>
      </rPr>
      <t>v</t>
    </r>
  </si>
  <si>
    <r>
      <t>(∂</t>
    </r>
    <r>
      <rPr>
        <i/>
        <sz val="11"/>
        <rFont val="Times New Roman"/>
        <family val="1"/>
      </rPr>
      <t>p</t>
    </r>
    <r>
      <rPr>
        <sz val="11"/>
        <rFont val="Times New Roman"/>
        <family val="1"/>
      </rPr>
      <t>/∂</t>
    </r>
    <r>
      <rPr>
        <i/>
        <sz val="11"/>
        <rFont val="Symbol"/>
        <family val="1"/>
        <charset val="2"/>
      </rPr>
      <t>r</t>
    </r>
    <r>
      <rPr>
        <sz val="11"/>
        <rFont val="Symbol"/>
        <family val="1"/>
        <charset val="2"/>
      </rPr>
      <t>)</t>
    </r>
    <r>
      <rPr>
        <i/>
        <vertAlign val="subscript"/>
        <sz val="11"/>
        <rFont val="Times New Roman"/>
        <family val="1"/>
      </rPr>
      <t>T</t>
    </r>
  </si>
  <si>
    <t>Residual pressure</t>
  </si>
  <si>
    <r>
      <rPr>
        <i/>
        <sz val="11"/>
        <rFont val="Times New Roman"/>
        <family val="1"/>
      </rPr>
      <t>p</t>
    </r>
    <r>
      <rPr>
        <vertAlign val="superscript"/>
        <sz val="11"/>
        <rFont val="Times New Roman"/>
        <family val="1"/>
      </rPr>
      <t>r</t>
    </r>
  </si>
  <si>
    <t>Convert error code to text</t>
  </si>
  <si>
    <t>ERRORTEXT</t>
  </si>
  <si>
    <t>methane</t>
  </si>
  <si>
    <t>LITERATURE REFERENCE</t>
  </si>
  <si>
    <t>Literature Ref.</t>
  </si>
  <si>
    <t>GAMMATFEOS</t>
  </si>
  <si>
    <t>water</t>
  </si>
  <si>
    <t>CALC Type</t>
  </si>
  <si>
    <t>U</t>
  </si>
  <si>
    <t>H</t>
  </si>
  <si>
    <t>S</t>
  </si>
  <si>
    <t>A</t>
  </si>
  <si>
    <t>CP</t>
  </si>
  <si>
    <t>CV</t>
  </si>
  <si>
    <t>WS</t>
  </si>
  <si>
    <t>BVIR</t>
  </si>
  <si>
    <t>CVIR</t>
  </si>
  <si>
    <t>DVIR</t>
  </si>
  <si>
    <t>DBDT</t>
  </si>
  <si>
    <t>DCDT</t>
  </si>
  <si>
    <t>B12</t>
  </si>
  <si>
    <t>CP0</t>
  </si>
  <si>
    <t>Q</t>
  </si>
  <si>
    <t>PNUM</t>
  </si>
  <si>
    <t>WSNUM</t>
  </si>
  <si>
    <t>VEXP</t>
  </si>
  <si>
    <t>COMPS</t>
  </si>
  <si>
    <t>COMPT</t>
  </si>
  <si>
    <t>EXPS</t>
  </si>
  <si>
    <t>EXPT</t>
  </si>
  <si>
    <t>JTCO</t>
  </si>
  <si>
    <t>THROT</t>
  </si>
  <si>
    <t>DSPIN</t>
  </si>
  <si>
    <t>DUDV</t>
  </si>
  <si>
    <t>DPDT</t>
  </si>
  <si>
    <t>DPDD</t>
  </si>
  <si>
    <t>D2PDD2</t>
  </si>
  <si>
    <t>D2PDDT</t>
  </si>
  <si>
    <t>D2PDT2</t>
  </si>
  <si>
    <t>GAMMAGD</t>
  </si>
  <si>
    <t>PR</t>
  </si>
  <si>
    <t>CVR</t>
  </si>
  <si>
    <t>UR</t>
  </si>
  <si>
    <t>HR</t>
  </si>
  <si>
    <t>SR</t>
  </si>
  <si>
    <t>A00</t>
  </si>
  <si>
    <t>A01</t>
  </si>
  <si>
    <t>A10</t>
  </si>
  <si>
    <t>A11</t>
  </si>
  <si>
    <t>A02</t>
  </si>
  <si>
    <t>A20</t>
  </si>
  <si>
    <t>A12</t>
  </si>
  <si>
    <t>A21</t>
  </si>
  <si>
    <t>A03</t>
  </si>
  <si>
    <t>A30</t>
  </si>
  <si>
    <t>VE</t>
  </si>
  <si>
    <t>HE</t>
  </si>
  <si>
    <t>GE</t>
  </si>
  <si>
    <t>ETA</t>
  </si>
  <si>
    <t>TCX</t>
  </si>
  <si>
    <t>ST</t>
  </si>
  <si>
    <t>DE</t>
  </si>
  <si>
    <t>PHASE</t>
  </si>
  <si>
    <r>
      <rPr>
        <b/>
        <i/>
        <sz val="14"/>
        <color rgb="FF003560"/>
        <rFont val="Calibri"/>
        <family val="2"/>
        <scheme val="minor"/>
      </rPr>
      <t>j</t>
    </r>
    <r>
      <rPr>
        <b/>
        <sz val="14"/>
        <color rgb="FF003560"/>
        <rFont val="Calibri"/>
        <family val="2"/>
        <scheme val="minor"/>
      </rPr>
      <t xml:space="preserve"> </t>
    </r>
    <r>
      <rPr>
        <sz val="14"/>
        <rFont val="Times New Roman"/>
        <family val="1"/>
      </rPr>
      <t>→</t>
    </r>
  </si>
  <si>
    <r>
      <rPr>
        <b/>
        <i/>
        <sz val="14"/>
        <color rgb="FF003560"/>
        <rFont val="Calibri"/>
        <family val="2"/>
        <scheme val="minor"/>
      </rPr>
      <t>i</t>
    </r>
    <r>
      <rPr>
        <b/>
        <sz val="14"/>
        <color rgb="FF003560"/>
        <rFont val="Calibri"/>
        <family val="2"/>
        <scheme val="minor"/>
      </rPr>
      <t xml:space="preserve"> </t>
    </r>
    <r>
      <rPr>
        <sz val="14"/>
        <rFont val="Times New Roman"/>
        <family val="1"/>
      </rPr>
      <t>↓</t>
    </r>
  </si>
  <si>
    <t>molar</t>
  </si>
  <si>
    <t>STN</t>
  </si>
  <si>
    <t>MLT</t>
  </si>
  <si>
    <t>SBL</t>
  </si>
  <si>
    <t>TRENDSPECEOS</t>
  </si>
  <si>
    <t>CASFROMFLUID</t>
  </si>
  <si>
    <t>CAS #</t>
  </si>
  <si>
    <t>Matrix Function</t>
  </si>
  <si>
    <t>Single Function</t>
  </si>
  <si>
    <t>Specification of Mixture Depending on Specprop</t>
  </si>
  <si>
    <t>Specification of Mixture Depending on Specprop and Fluidnr =</t>
  </si>
  <si>
    <t>AF</t>
  </si>
  <si>
    <t>butane</t>
  </si>
  <si>
    <t>tp</t>
  </si>
  <si>
    <t>ARRAY FUNCTIONS TO CALCULATE THE FUGACITY AND THE FUGACITY COEFFICIENT</t>
  </si>
  <si>
    <t>Fugacity Coefficient: Vapor</t>
  </si>
  <si>
    <t>Fugacity Coefficient: Liquid light</t>
  </si>
  <si>
    <t>Fugacity Coefficient: Liquid heavy</t>
  </si>
  <si>
    <r>
      <t>Fugacity /</t>
    </r>
    <r>
      <rPr>
        <sz val="11"/>
        <rFont val="Calibri"/>
        <family val="2"/>
        <scheme val="minor"/>
      </rPr>
      <t xml:space="preserve"> MPa</t>
    </r>
  </si>
  <si>
    <t>FUGCOEFFEOS</t>
  </si>
  <si>
    <t>TBOYLE</t>
  </si>
  <si>
    <t>TJTINV</t>
  </si>
  <si>
    <t>Boyle temperature</t>
  </si>
  <si>
    <t>Joule-Thomson inversions temperature</t>
  </si>
  <si>
    <r>
      <t>T</t>
    </r>
    <r>
      <rPr>
        <vertAlign val="subscript"/>
        <sz val="11"/>
        <rFont val="Times New Roman"/>
        <family val="1"/>
      </rPr>
      <t>BL</t>
    </r>
  </si>
  <si>
    <r>
      <t>T</t>
    </r>
    <r>
      <rPr>
        <vertAlign val="subscript"/>
        <sz val="11"/>
        <rFont val="Times New Roman"/>
        <family val="1"/>
      </rPr>
      <t>JTI</t>
    </r>
  </si>
  <si>
    <t>Melting pressure</t>
  </si>
  <si>
    <t>Melting temperature</t>
  </si>
  <si>
    <t>Saturated liquid density</t>
  </si>
  <si>
    <t>Saturated vapor density</t>
  </si>
  <si>
    <t>Sublimation pressure</t>
  </si>
  <si>
    <t>Sublimation temperature</t>
  </si>
  <si>
    <r>
      <t>T</t>
    </r>
    <r>
      <rPr>
        <vertAlign val="subscript"/>
        <sz val="11"/>
        <rFont val="Times New Roman"/>
        <family val="1"/>
      </rPr>
      <t>melt</t>
    </r>
  </si>
  <si>
    <r>
      <t>p</t>
    </r>
    <r>
      <rPr>
        <vertAlign val="subscript"/>
        <sz val="11"/>
        <rFont val="Times New Roman"/>
        <family val="1"/>
      </rPr>
      <t>melt</t>
    </r>
  </si>
  <si>
    <r>
      <t>T</t>
    </r>
    <r>
      <rPr>
        <vertAlign val="subscript"/>
        <sz val="11"/>
        <rFont val="Times New Roman"/>
        <family val="1"/>
      </rPr>
      <t>sub</t>
    </r>
  </si>
  <si>
    <r>
      <t>p</t>
    </r>
    <r>
      <rPr>
        <vertAlign val="subscript"/>
        <sz val="11"/>
        <rFont val="Times New Roman"/>
        <family val="1"/>
      </rPr>
      <t>sub</t>
    </r>
  </si>
  <si>
    <r>
      <rPr>
        <i/>
        <sz val="11"/>
        <rFont val="Symbol"/>
        <family val="1"/>
        <charset val="2"/>
      </rPr>
      <t>r</t>
    </r>
    <r>
      <rPr>
        <vertAlign val="subscript"/>
        <sz val="11"/>
        <rFont val="Times New Roman"/>
        <family val="1"/>
      </rPr>
      <t>liq</t>
    </r>
  </si>
  <si>
    <r>
      <rPr>
        <i/>
        <sz val="11"/>
        <rFont val="Symbol"/>
        <family val="1"/>
        <charset val="2"/>
      </rPr>
      <t>r</t>
    </r>
    <r>
      <rPr>
        <vertAlign val="subscript"/>
        <sz val="11"/>
        <rFont val="Times New Roman"/>
        <family val="1"/>
      </rPr>
      <t>vap</t>
    </r>
  </si>
  <si>
    <t>ANCEQ</t>
  </si>
  <si>
    <t>ANCILLARY EQUATIONS TO CALCULATE SATURATION PROPERTIES 
THESE PROPERTIES ARE NOT CALCULATED WITH FUNDAMENTAL EQUATIONS OF STATE (SEE COMMENT!)</t>
  </si>
  <si>
    <t>Vapor pressure</t>
  </si>
  <si>
    <r>
      <t>p</t>
    </r>
    <r>
      <rPr>
        <vertAlign val="subscript"/>
        <sz val="11"/>
        <rFont val="Times New Roman"/>
        <family val="1"/>
      </rPr>
      <t>vap</t>
    </r>
  </si>
  <si>
    <t>CPOTR</t>
  </si>
  <si>
    <t>liq1</t>
  </si>
  <si>
    <t>liq2</t>
  </si>
  <si>
    <t>ALLHOMEOS</t>
  </si>
  <si>
    <t>TRENDEOS</t>
  </si>
  <si>
    <t>Residual chemical potential</t>
  </si>
  <si>
    <t>Phase type</t>
  </si>
  <si>
    <t>Composition</t>
  </si>
  <si>
    <t>CalcType</t>
  </si>
  <si>
    <t>FLASH EXPERT CALCULATION</t>
  </si>
  <si>
    <t>rho vap estimate</t>
  </si>
  <si>
    <t>rho liq estimate</t>
  </si>
  <si>
    <t>vap mol frac est</t>
  </si>
  <si>
    <t>liq mol frac est</t>
  </si>
  <si>
    <t>FLASH 3 EXPERT CALCULATION</t>
  </si>
  <si>
    <t>liq1 mol frac est</t>
  </si>
  <si>
    <t>liq2 mol frac est</t>
  </si>
  <si>
    <t>nitrogen</t>
  </si>
  <si>
    <t>POINTS OF VLE REGION</t>
  </si>
  <si>
    <t>tvap</t>
  </si>
  <si>
    <t>ethane</t>
  </si>
  <si>
    <t>phase try</t>
  </si>
  <si>
    <t>rho estimate</t>
  </si>
  <si>
    <t>vap</t>
  </si>
  <si>
    <t>q</t>
  </si>
  <si>
    <t>LiteratureReference</t>
  </si>
  <si>
    <t>All arguments are the same as for ALLEOS + one additional argument 'PhaseEst':</t>
  </si>
  <si>
    <t>ShowErrorCode</t>
  </si>
  <si>
    <t>specific</t>
  </si>
  <si>
    <t>Joule inversions temperature</t>
  </si>
  <si>
    <r>
      <t>T</t>
    </r>
    <r>
      <rPr>
        <vertAlign val="subscript"/>
        <sz val="11"/>
        <rFont val="Times New Roman"/>
        <family val="1"/>
      </rPr>
      <t>JI</t>
    </r>
  </si>
  <si>
    <t>TJINV</t>
  </si>
  <si>
    <t>Minimum temperature (pure fluid)</t>
  </si>
  <si>
    <t>Maximum temperature (pure fluid)</t>
  </si>
  <si>
    <t>Maximum pressure (pure fluid)</t>
  </si>
  <si>
    <t>Maximum density (pure fluid)</t>
  </si>
  <si>
    <t>Quality (vapor fraction)</t>
  </si>
  <si>
    <r>
      <t>(∂²</t>
    </r>
    <r>
      <rPr>
        <i/>
        <sz val="11"/>
        <rFont val="Times New Roman"/>
        <family val="1"/>
      </rPr>
      <t>p</t>
    </r>
    <r>
      <rPr>
        <sz val="11"/>
        <rFont val="Times New Roman"/>
        <family val="1"/>
      </rPr>
      <t>/∂</t>
    </r>
    <r>
      <rPr>
        <i/>
        <sz val="11"/>
        <rFont val="Symbol"/>
        <family val="1"/>
        <charset val="2"/>
      </rPr>
      <t>r</t>
    </r>
    <r>
      <rPr>
        <sz val="11"/>
        <rFont val="Times New Roman"/>
        <family val="1"/>
      </rPr>
      <t>²)</t>
    </r>
    <r>
      <rPr>
        <i/>
        <vertAlign val="subscript"/>
        <sz val="11"/>
        <rFont val="Times New Roman"/>
        <family val="1"/>
      </rPr>
      <t>T</t>
    </r>
  </si>
  <si>
    <r>
      <t>∂²</t>
    </r>
    <r>
      <rPr>
        <i/>
        <sz val="11"/>
        <rFont val="Times New Roman"/>
        <family val="1"/>
      </rPr>
      <t>p</t>
    </r>
    <r>
      <rPr>
        <sz val="11"/>
        <rFont val="Times New Roman"/>
        <family val="1"/>
      </rPr>
      <t>/(∂</t>
    </r>
    <r>
      <rPr>
        <i/>
        <sz val="11"/>
        <rFont val="Symbol"/>
        <family val="1"/>
        <charset val="2"/>
      </rPr>
      <t>r</t>
    </r>
    <r>
      <rPr>
        <sz val="11"/>
        <rFont val="Times New Roman"/>
        <family val="1"/>
      </rPr>
      <t>∂</t>
    </r>
    <r>
      <rPr>
        <i/>
        <sz val="11"/>
        <rFont val="Times New Roman"/>
        <family val="1"/>
      </rPr>
      <t>T</t>
    </r>
    <r>
      <rPr>
        <sz val="11"/>
        <rFont val="Times New Roman"/>
        <family val="1"/>
      </rPr>
      <t>)</t>
    </r>
    <r>
      <rPr>
        <i/>
        <vertAlign val="subscript"/>
        <sz val="11"/>
        <rFont val="Times New Roman"/>
        <family val="1"/>
      </rPr>
      <t>T,v</t>
    </r>
  </si>
  <si>
    <r>
      <t>(∂²</t>
    </r>
    <r>
      <rPr>
        <i/>
        <sz val="11"/>
        <rFont val="Times New Roman"/>
        <family val="1"/>
      </rPr>
      <t>p</t>
    </r>
    <r>
      <rPr>
        <sz val="11"/>
        <rFont val="Times New Roman"/>
        <family val="1"/>
      </rPr>
      <t>/∂</t>
    </r>
    <r>
      <rPr>
        <i/>
        <sz val="11"/>
        <rFont val="Times New Roman"/>
        <family val="1"/>
      </rPr>
      <t>T</t>
    </r>
    <r>
      <rPr>
        <sz val="11"/>
        <rFont val="Times New Roman"/>
        <family val="1"/>
      </rPr>
      <t>²)</t>
    </r>
    <r>
      <rPr>
        <i/>
        <vertAlign val="subscript"/>
        <sz val="11"/>
        <rFont val="Times New Roman"/>
        <family val="1"/>
      </rPr>
      <t>v</t>
    </r>
  </si>
  <si>
    <r>
      <t xml:space="preserve">ARRAY FUNCTION TO CALCULATE THE THERMODYNAMIC FACTOR ACCORDING TO TAYLOR AND KOOIJMAN (1991): </t>
    </r>
    <r>
      <rPr>
        <b/>
        <i/>
        <sz val="11"/>
        <color rgb="FF003560"/>
        <rFont val="Calibri"/>
        <family val="2"/>
      </rPr>
      <t>Γ</t>
    </r>
    <r>
      <rPr>
        <b/>
        <i/>
        <vertAlign val="subscript"/>
        <sz val="11"/>
        <color rgb="FF003560"/>
        <rFont val="Calibri"/>
        <family val="2"/>
      </rPr>
      <t>ij</t>
    </r>
    <r>
      <rPr>
        <b/>
        <sz val="11"/>
        <color rgb="FF003560"/>
        <rFont val="Calibri"/>
        <family val="2"/>
      </rPr>
      <t xml:space="preserve"> = </t>
    </r>
    <r>
      <rPr>
        <b/>
        <i/>
        <sz val="11"/>
        <color rgb="FF003560"/>
        <rFont val="Calibri"/>
        <family val="2"/>
      </rPr>
      <t>x</t>
    </r>
    <r>
      <rPr>
        <b/>
        <i/>
        <vertAlign val="subscript"/>
        <sz val="11"/>
        <color rgb="FF003560"/>
        <rFont val="Calibri"/>
        <family val="2"/>
      </rPr>
      <t>i</t>
    </r>
    <r>
      <rPr>
        <b/>
        <sz val="11"/>
        <color rgb="FF003560"/>
        <rFont val="Calibri"/>
        <family val="2"/>
      </rPr>
      <t>/(</t>
    </r>
    <r>
      <rPr>
        <b/>
        <i/>
        <sz val="11"/>
        <color rgb="FF003560"/>
        <rFont val="Calibri"/>
        <family val="2"/>
      </rPr>
      <t>RT</t>
    </r>
    <r>
      <rPr>
        <b/>
        <sz val="11"/>
        <color rgb="FF003560"/>
        <rFont val="Calibri"/>
        <family val="2"/>
      </rPr>
      <t>)*(</t>
    </r>
    <r>
      <rPr>
        <b/>
        <i/>
        <sz val="11"/>
        <color rgb="FF003560"/>
        <rFont val="Calibri"/>
        <family val="2"/>
      </rPr>
      <t>∂μ</t>
    </r>
    <r>
      <rPr>
        <b/>
        <i/>
        <vertAlign val="subscript"/>
        <sz val="11"/>
        <color rgb="FF003560"/>
        <rFont val="Calibri"/>
        <family val="2"/>
      </rPr>
      <t>i</t>
    </r>
    <r>
      <rPr>
        <b/>
        <sz val="11"/>
        <color rgb="FF003560"/>
        <rFont val="Calibri"/>
        <family val="2"/>
      </rPr>
      <t>/</t>
    </r>
    <r>
      <rPr>
        <b/>
        <i/>
        <sz val="11"/>
        <color rgb="FF003560"/>
        <rFont val="Calibri"/>
        <family val="2"/>
      </rPr>
      <t>∂x</t>
    </r>
    <r>
      <rPr>
        <b/>
        <i/>
        <vertAlign val="subscript"/>
        <sz val="11"/>
        <color rgb="FF003560"/>
        <rFont val="Calibri"/>
        <family val="2"/>
      </rPr>
      <t>j</t>
    </r>
    <r>
      <rPr>
        <b/>
        <sz val="11"/>
        <color rgb="FF003560"/>
        <rFont val="Calibri"/>
        <family val="2"/>
      </rPr>
      <t>)</t>
    </r>
    <r>
      <rPr>
        <b/>
        <i/>
        <vertAlign val="subscript"/>
        <sz val="11"/>
        <color rgb="FF003560"/>
        <rFont val="Calibri"/>
        <family val="2"/>
      </rPr>
      <t>T</t>
    </r>
    <r>
      <rPr>
        <b/>
        <vertAlign val="subscript"/>
        <sz val="11"/>
        <color rgb="FF003560"/>
        <rFont val="Calibri"/>
        <family val="2"/>
      </rPr>
      <t>,</t>
    </r>
    <r>
      <rPr>
        <b/>
        <i/>
        <vertAlign val="subscript"/>
        <sz val="11"/>
        <color rgb="FF003560"/>
        <rFont val="Calibri"/>
        <family val="2"/>
      </rPr>
      <t>p</t>
    </r>
  </si>
  <si>
    <t>X</t>
  </si>
  <si>
    <t>Y</t>
  </si>
  <si>
    <t>Outline</t>
  </si>
  <si>
    <t>Grid</t>
  </si>
  <si>
    <t>Axis Ticks</t>
  </si>
  <si>
    <t>Axis Tick Labels</t>
  </si>
  <si>
    <t>Axis Labels</t>
  </si>
  <si>
    <t>A axis label</t>
  </si>
  <si>
    <t>B axis label</t>
  </si>
  <si>
    <t>C axis label</t>
  </si>
  <si>
    <t>tick distance</t>
  </si>
  <si>
    <t>x offset</t>
  </si>
  <si>
    <t>distance</t>
  </si>
  <si>
    <t>tick length</t>
  </si>
  <si>
    <t>y offset</t>
  </si>
  <si>
    <t>x</t>
  </si>
  <si>
    <t>y</t>
  </si>
  <si>
    <t>label</t>
  </si>
  <si>
    <t>Optional arguments</t>
  </si>
  <si>
    <r>
      <t xml:space="preserve">Cooling water temperature, </t>
    </r>
    <r>
      <rPr>
        <i/>
        <sz val="11"/>
        <rFont val="Calibri"/>
        <family val="2"/>
      </rPr>
      <t>T</t>
    </r>
    <r>
      <rPr>
        <vertAlign val="subscript"/>
        <sz val="11"/>
        <rFont val="Calibri"/>
        <family val="2"/>
      </rPr>
      <t>a*</t>
    </r>
    <r>
      <rPr>
        <sz val="11"/>
        <rFont val="Calibri"/>
        <family val="2"/>
      </rPr>
      <t>:</t>
    </r>
  </si>
  <si>
    <t>Measurement points</t>
  </si>
  <si>
    <r>
      <t>x</t>
    </r>
    <r>
      <rPr>
        <vertAlign val="subscript"/>
        <sz val="11"/>
        <color theme="1"/>
        <rFont val="Calibri"/>
        <family val="2"/>
        <scheme val="minor"/>
      </rPr>
      <t>liq,trans</t>
    </r>
  </si>
  <si>
    <r>
      <t>y</t>
    </r>
    <r>
      <rPr>
        <vertAlign val="subscript"/>
        <sz val="11"/>
        <color theme="1"/>
        <rFont val="Calibri"/>
        <family val="2"/>
        <scheme val="minor"/>
      </rPr>
      <t>liq,trans</t>
    </r>
  </si>
  <si>
    <r>
      <t>x</t>
    </r>
    <r>
      <rPr>
        <vertAlign val="subscript"/>
        <sz val="11"/>
        <color theme="1"/>
        <rFont val="Calibri"/>
        <family val="2"/>
        <scheme val="minor"/>
      </rPr>
      <t>vap,trans</t>
    </r>
  </si>
  <si>
    <r>
      <t>y</t>
    </r>
    <r>
      <rPr>
        <vertAlign val="subscript"/>
        <sz val="11"/>
        <color theme="1"/>
        <rFont val="Calibri"/>
        <family val="2"/>
        <scheme val="minor"/>
      </rPr>
      <t>vap,trans</t>
    </r>
  </si>
  <si>
    <t>phasefrac est</t>
  </si>
  <si>
    <t>0: no information on the phase, 1: liquid phase, 2: vapor phase</t>
  </si>
  <si>
    <t>ARRAY FUNCTION TO CALCULATE ALL COMMON THERMODYNAMIC PROPERTIES IN THE HOMOGENEOUS PHASE</t>
  </si>
  <si>
    <t>Errortext:</t>
  </si>
  <si>
    <r>
      <rPr>
        <i/>
        <sz val="11"/>
        <rFont val="Symbol"/>
        <family val="1"/>
        <charset val="2"/>
      </rPr>
      <t>m</t>
    </r>
    <r>
      <rPr>
        <vertAlign val="superscript"/>
        <sz val="11"/>
        <rFont val="Times New Roman"/>
        <family val="1"/>
      </rPr>
      <t>r</t>
    </r>
  </si>
  <si>
    <t>Composition (specific)</t>
  </si>
  <si>
    <t>Composition (molar)</t>
  </si>
  <si>
    <t>TMELT</t>
  </si>
  <si>
    <t>PMELT</t>
  </si>
  <si>
    <t>TSUB</t>
  </si>
  <si>
    <t>PSUB</t>
  </si>
  <si>
    <t>DLIQ</t>
  </si>
  <si>
    <t>DVAP</t>
  </si>
  <si>
    <t>PVAP</t>
  </si>
  <si>
    <t>DDDT</t>
  </si>
  <si>
    <t>Derivative of density wrt temperature</t>
  </si>
  <si>
    <r>
      <t>(∂</t>
    </r>
    <r>
      <rPr>
        <i/>
        <sz val="11"/>
        <color rgb="FF000000"/>
        <rFont val="Times New Roman"/>
        <family val="1"/>
      </rPr>
      <t>ρ</t>
    </r>
    <r>
      <rPr>
        <sz val="11"/>
        <color rgb="FF000000"/>
        <rFont val="Times New Roman"/>
        <family val="1"/>
      </rPr>
      <t>/∂</t>
    </r>
    <r>
      <rPr>
        <i/>
        <sz val="11"/>
        <color rgb="FF000000"/>
        <rFont val="Times New Roman"/>
        <family val="1"/>
      </rPr>
      <t>T</t>
    </r>
    <r>
      <rPr>
        <sz val="11"/>
        <color rgb="FF000000"/>
        <rFont val="Times New Roman"/>
        <family val="1"/>
      </rPr>
      <t>)</t>
    </r>
    <r>
      <rPr>
        <i/>
        <vertAlign val="subscript"/>
        <sz val="8.5"/>
        <color rgb="FF000000"/>
        <rFont val="Times New Roman"/>
        <family val="1"/>
      </rPr>
      <t>p</t>
    </r>
    <r>
      <rPr>
        <sz val="8.5"/>
        <color rgb="FF000000"/>
        <rFont val="Times New Roman"/>
        <family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</si>
</sst>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0"/>
    <numFmt numFmtId="165" formatCode="0.000"/>
    <numFmt numFmtId="166" formatCode="0.000000"/>
    <numFmt numFmtId="167" formatCode="0.000E+00"/>
    <numFmt numFmtId="168" formatCode="#,##0.0"/>
    <numFmt numFmtId="169" formatCode="0.0"/>
    <numFmt numFmtId="170" formatCode="#,##0.000"/>
    <numFmt numFmtId="171" formatCode="0.0000000"/>
  </numFmts>
  <fonts count="80">
    <font>
      <sz val="11"/>
      <name val="Calibri"/>
      <family val="2"/>
      <scheme val="minor"/>
    </font>
    <font>
      <sz val="11"/>
      <color theme="1"/>
      <name val="Calibri"/>
      <family val="2"/>
      <scheme val="minor"/>
    </font>
    <font>
      <b/>
      <sz val="10"/>
      <name val="Arial"/>
      <family val="2"/>
    </font>
    <font>
      <sz val="10"/>
      <name val="Arial"/>
      <family val="2"/>
    </font>
    <font>
      <sz val="8"/>
      <color indexed="81"/>
      <name val="Tahoma"/>
      <family val="2"/>
    </font>
    <font>
      <b/>
      <sz val="8"/>
      <color indexed="81"/>
      <name val="Tahoma"/>
      <family val="2"/>
    </font>
    <font>
      <i/>
      <sz val="8"/>
      <color indexed="81"/>
      <name val="Tahoma"/>
      <family val="2"/>
    </font>
    <font>
      <sz val="11"/>
      <name val="Calibri"/>
      <family val="2"/>
    </font>
    <font>
      <vertAlign val="subscript"/>
      <sz val="11"/>
      <name val="Calibri"/>
      <family val="2"/>
    </font>
    <font>
      <vertAlign val="superscript"/>
      <sz val="11"/>
      <name val="Calibri"/>
      <family val="2"/>
    </font>
    <font>
      <i/>
      <sz val="11"/>
      <name val="Calibri"/>
      <family val="2"/>
    </font>
    <font>
      <i/>
      <vertAlign val="superscript"/>
      <sz val="11"/>
      <name val="Calibri"/>
      <family val="2"/>
    </font>
    <font>
      <i/>
      <sz val="11"/>
      <name val="Times New Roman"/>
      <family val="1"/>
    </font>
    <font>
      <i/>
      <vertAlign val="subscript"/>
      <sz val="11"/>
      <name val="Times New Roman"/>
      <family val="1"/>
    </font>
    <font>
      <i/>
      <sz val="11"/>
      <name val="Symbol"/>
      <family val="1"/>
      <charset val="2"/>
    </font>
    <font>
      <vertAlign val="superscript"/>
      <sz val="11"/>
      <name val="Times"/>
      <family val="1"/>
    </font>
    <font>
      <vertAlign val="superscript"/>
      <sz val="11"/>
      <name val="Times New Roman"/>
      <family val="1"/>
    </font>
    <font>
      <vertAlign val="superscript"/>
      <sz val="11"/>
      <name val="Symbol"/>
      <family val="1"/>
      <charset val="2"/>
    </font>
    <font>
      <i/>
      <vertAlign val="subscript"/>
      <sz val="11"/>
      <name val="Symbol"/>
      <family val="1"/>
      <charset val="2"/>
    </font>
    <font>
      <sz val="11"/>
      <name val="Symbol"/>
      <family val="1"/>
      <charset val="2"/>
    </font>
    <font>
      <vertAlign val="subscript"/>
      <sz val="10"/>
      <name val="Arial"/>
      <family val="2"/>
    </font>
    <font>
      <sz val="10"/>
      <name val="Symbol"/>
      <family val="1"/>
      <charset val="2"/>
    </font>
    <font>
      <b/>
      <vertAlign val="subscript"/>
      <sz val="10"/>
      <name val="Arial"/>
      <family val="2"/>
    </font>
    <font>
      <vertAlign val="superscript"/>
      <sz val="10"/>
      <name val="Arial"/>
      <family val="2"/>
    </font>
    <font>
      <vertAlign val="subscript"/>
      <sz val="11"/>
      <name val="Times New Roman"/>
      <family val="1"/>
    </font>
    <font>
      <sz val="11"/>
      <name val="Times New Roman"/>
      <family val="1"/>
    </font>
    <font>
      <sz val="11"/>
      <color theme="0"/>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sz val="11"/>
      <color rgb="FFFF0000"/>
      <name val="Calibri"/>
      <family val="2"/>
      <scheme val="minor"/>
    </font>
    <font>
      <b/>
      <sz val="11"/>
      <color theme="0"/>
      <name val="Calibri"/>
      <family val="2"/>
      <scheme val="minor"/>
    </font>
    <font>
      <b/>
      <sz val="11"/>
      <color rgb="FF003560"/>
      <name val="Calibri"/>
      <family val="2"/>
      <scheme val="minor"/>
    </font>
    <font>
      <sz val="11"/>
      <name val="Calibri"/>
      <family val="2"/>
      <scheme val="minor"/>
    </font>
    <font>
      <sz val="11"/>
      <color rgb="FF003560"/>
      <name val="Calibri"/>
      <family val="2"/>
      <scheme val="minor"/>
    </font>
    <font>
      <b/>
      <sz val="14"/>
      <color rgb="FF003560"/>
      <name val="Calibri"/>
      <family val="2"/>
      <scheme val="minor"/>
    </font>
    <font>
      <sz val="14"/>
      <name val="Calibri"/>
      <family val="2"/>
      <scheme val="minor"/>
    </font>
    <font>
      <b/>
      <sz val="11"/>
      <name val="Calibri"/>
      <family val="2"/>
      <scheme val="minor"/>
    </font>
    <font>
      <i/>
      <sz val="11"/>
      <name val="Calibri"/>
      <family val="2"/>
      <scheme val="minor"/>
    </font>
    <font>
      <sz val="14"/>
      <color rgb="FF003560"/>
      <name val="Calibri"/>
      <family val="2"/>
      <scheme val="minor"/>
    </font>
    <font>
      <b/>
      <sz val="10"/>
      <color rgb="FF003560"/>
      <name val="Arial"/>
      <family val="2"/>
    </font>
    <font>
      <b/>
      <sz val="11"/>
      <color rgb="FF003560"/>
      <name val="Calibri"/>
      <family val="2"/>
    </font>
    <font>
      <b/>
      <vertAlign val="subscript"/>
      <sz val="11"/>
      <color rgb="FF003560"/>
      <name val="Calibri"/>
      <family val="2"/>
    </font>
    <font>
      <b/>
      <i/>
      <sz val="11"/>
      <color rgb="FF003560"/>
      <name val="Calibri"/>
      <family val="2"/>
    </font>
    <font>
      <b/>
      <i/>
      <vertAlign val="subscript"/>
      <sz val="11"/>
      <color rgb="FF003560"/>
      <name val="Calibri"/>
      <family val="2"/>
    </font>
    <font>
      <b/>
      <i/>
      <sz val="14"/>
      <color rgb="FF003560"/>
      <name val="Calibri"/>
      <family val="2"/>
      <scheme val="minor"/>
    </font>
    <font>
      <sz val="14"/>
      <name val="Times New Roman"/>
      <family val="1"/>
    </font>
    <font>
      <i/>
      <sz val="11"/>
      <name val="Times New Roman"/>
      <family val="1"/>
      <charset val="2"/>
    </font>
    <font>
      <b/>
      <i/>
      <sz val="8"/>
      <color indexed="81"/>
      <name val="Tahoma"/>
      <family val="2"/>
    </font>
    <font>
      <sz val="9"/>
      <color indexed="81"/>
      <name val="Segoe UI"/>
      <family val="2"/>
    </font>
    <font>
      <sz val="11"/>
      <color theme="0" tint="-0.499984740745262"/>
      <name val="Calibri"/>
      <family val="2"/>
      <scheme val="minor"/>
    </font>
    <font>
      <sz val="9"/>
      <color indexed="81"/>
      <name val="Tahoma"/>
      <family val="2"/>
    </font>
    <font>
      <b/>
      <sz val="9"/>
      <color indexed="81"/>
      <name val="Tahoma"/>
      <family val="2"/>
    </font>
    <font>
      <sz val="11"/>
      <color rgb="FF000000"/>
      <name val="Calibri"/>
      <family val="2"/>
    </font>
    <font>
      <sz val="10"/>
      <name val="Calibri"/>
      <family val="2"/>
      <scheme val="minor"/>
    </font>
    <font>
      <b/>
      <sz val="10"/>
      <name val="Calibri"/>
      <family val="2"/>
      <scheme val="minor"/>
    </font>
    <font>
      <b/>
      <sz val="11"/>
      <color rgb="FFFF0000"/>
      <name val="Calibri"/>
      <family val="2"/>
      <scheme val="minor"/>
    </font>
    <font>
      <sz val="11"/>
      <color theme="6" tint="-0.249977111117893"/>
      <name val="Calibri"/>
      <family val="2"/>
      <scheme val="minor"/>
    </font>
    <font>
      <b/>
      <sz val="9"/>
      <color indexed="81"/>
      <name val="Segoe UI"/>
      <family val="2"/>
    </font>
    <font>
      <sz val="11"/>
      <color theme="0" tint="-0.249977111117893"/>
      <name val="Calibri"/>
      <family val="2"/>
      <scheme val="minor"/>
    </font>
    <font>
      <b/>
      <i/>
      <sz val="11"/>
      <color rgb="FF003560"/>
      <name val="Calibri"/>
      <family val="2"/>
      <scheme val="minor"/>
    </font>
    <font>
      <sz val="11"/>
      <color theme="0" tint="-0.34998626667073579"/>
      <name val="Calibri"/>
      <family val="2"/>
      <scheme val="minor"/>
    </font>
    <font>
      <b/>
      <sz val="15"/>
      <color theme="1"/>
      <name val="Calibri"/>
      <family val="2"/>
      <scheme val="minor"/>
    </font>
    <font>
      <b/>
      <sz val="13"/>
      <color theme="1"/>
      <name val="Calibri"/>
      <family val="2"/>
      <scheme val="minor"/>
    </font>
    <font>
      <b/>
      <sz val="14"/>
      <color theme="1"/>
      <name val="Calibri"/>
      <family val="2"/>
      <scheme val="minor"/>
    </font>
    <font>
      <b/>
      <sz val="16"/>
      <color theme="1"/>
      <name val="Calibri"/>
      <family val="2"/>
      <scheme val="minor"/>
    </font>
    <font>
      <vertAlign val="subscript"/>
      <sz val="11"/>
      <color theme="1"/>
      <name val="Calibri"/>
      <family val="2"/>
      <scheme val="minor"/>
    </font>
    <font>
      <sz val="11"/>
      <color rgb="FF000000"/>
      <name val="Times New Roman"/>
      <family val="1"/>
    </font>
    <font>
      <i/>
      <sz val="11"/>
      <color rgb="FF000000"/>
      <name val="Times New Roman"/>
      <family val="1"/>
    </font>
    <font>
      <i/>
      <vertAlign val="subscript"/>
      <sz val="8.5"/>
      <color rgb="FF000000"/>
      <name val="Times New Roman"/>
      <family val="1"/>
    </font>
    <font>
      <sz val="8.5"/>
      <color rgb="FF000000"/>
      <name val="Times New Roman"/>
      <family val="1"/>
    </font>
  </fonts>
  <fills count="18">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C6EFCE"/>
      </patternFill>
    </fill>
    <fill>
      <patternFill patternType="solid">
        <fgColor rgb="FFFFEB9C"/>
      </patternFill>
    </fill>
    <fill>
      <patternFill patternType="solid">
        <fgColor rgb="FFFFC7CE"/>
      </patternFill>
    </fill>
    <fill>
      <patternFill patternType="solid">
        <fgColor rgb="FFA5A5A5"/>
      </patternFill>
    </fill>
    <fill>
      <patternFill patternType="solid">
        <fgColor rgb="FFE6E4E4"/>
        <bgColor indexed="64"/>
      </patternFill>
    </fill>
    <fill>
      <patternFill patternType="solid">
        <fgColor rgb="FF95C11C"/>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s>
  <borders count="2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4">
    <xf numFmtId="0" fontId="0"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7" fillId="8" borderId="12" applyNumberFormat="0" applyAlignment="0" applyProtection="0"/>
    <xf numFmtId="0" fontId="28" fillId="8" borderId="13" applyNumberFormat="0" applyAlignment="0" applyProtection="0"/>
    <xf numFmtId="0" fontId="42" fillId="16" borderId="0" applyNumberFormat="0" applyFont="0" applyBorder="0" applyAlignment="0" applyProtection="0"/>
    <xf numFmtId="0" fontId="29" fillId="0" borderId="14" applyNumberFormat="0" applyFill="0" applyAlignment="0" applyProtection="0"/>
    <xf numFmtId="0" fontId="30" fillId="0" borderId="0" applyNumberFormat="0" applyFill="0" applyBorder="0" applyAlignment="0" applyProtection="0"/>
    <xf numFmtId="0" fontId="31" fillId="9" borderId="0" applyNumberFormat="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0" borderId="0" applyNumberFormat="0" applyFill="0" applyBorder="0" applyAlignment="0" applyProtection="0"/>
    <xf numFmtId="0" fontId="35" fillId="0" borderId="15" applyNumberFormat="0" applyFill="0" applyAlignment="0" applyProtection="0"/>
    <xf numFmtId="0" fontId="36" fillId="0" borderId="16" applyNumberFormat="0" applyFill="0" applyAlignment="0" applyProtection="0"/>
    <xf numFmtId="0" fontId="37" fillId="0" borderId="17" applyNumberFormat="0" applyFill="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0" borderId="0" applyNumberFormat="0" applyFill="0" applyBorder="0" applyAlignment="0" applyProtection="0"/>
    <xf numFmtId="0" fontId="40" fillId="12" borderId="19" applyNumberFormat="0" applyAlignment="0" applyProtection="0"/>
    <xf numFmtId="0" fontId="42" fillId="17" borderId="0" applyNumberFormat="0" applyFont="0" applyBorder="0" applyAlignment="0" applyProtection="0">
      <alignment horizontal="right"/>
    </xf>
  </cellStyleXfs>
  <cellXfs count="347">
    <xf numFmtId="0" fontId="0" fillId="0" borderId="0" xfId="0"/>
    <xf numFmtId="0" fontId="2" fillId="0" borderId="0" xfId="0" applyFont="1"/>
    <xf numFmtId="0" fontId="41" fillId="13" borderId="0" xfId="0" applyFont="1" applyFill="1"/>
    <xf numFmtId="0" fontId="42" fillId="0" borderId="0" xfId="0" applyFont="1"/>
    <xf numFmtId="0" fontId="42" fillId="0" borderId="0" xfId="0" applyFont="1" applyAlignment="1">
      <alignment horizontal="right"/>
    </xf>
    <xf numFmtId="0" fontId="43" fillId="0" borderId="0" xfId="0" applyFont="1"/>
    <xf numFmtId="0" fontId="44" fillId="0" borderId="0" xfId="0" applyFont="1"/>
    <xf numFmtId="0" fontId="45" fillId="0" borderId="0" xfId="0" applyFont="1"/>
    <xf numFmtId="0" fontId="42" fillId="13" borderId="0" xfId="0" applyFont="1" applyFill="1"/>
    <xf numFmtId="0" fontId="42" fillId="0" borderId="8" xfId="0" applyFont="1" applyBorder="1"/>
    <xf numFmtId="0" fontId="46" fillId="0" borderId="0" xfId="0" applyFont="1"/>
    <xf numFmtId="0" fontId="41" fillId="13" borderId="6" xfId="0" applyFont="1" applyFill="1" applyBorder="1" applyAlignment="1">
      <alignment horizontal="right"/>
    </xf>
    <xf numFmtId="165" fontId="42" fillId="0" borderId="0" xfId="0" applyNumberFormat="1" applyFont="1"/>
    <xf numFmtId="0" fontId="42" fillId="0" borderId="10" xfId="0" applyFont="1" applyBorder="1"/>
    <xf numFmtId="164" fontId="42" fillId="0" borderId="0" xfId="0" applyNumberFormat="1" applyFont="1"/>
    <xf numFmtId="0" fontId="48" fillId="0" borderId="0" xfId="0" applyFont="1"/>
    <xf numFmtId="0" fontId="12" fillId="0" borderId="0" xfId="0" applyFont="1" applyAlignment="1">
      <alignment horizontal="right"/>
    </xf>
    <xf numFmtId="0" fontId="14" fillId="0" borderId="0" xfId="0" applyFont="1" applyAlignment="1">
      <alignment horizontal="right"/>
    </xf>
    <xf numFmtId="0" fontId="3" fillId="0" borderId="0" xfId="0" applyFont="1"/>
    <xf numFmtId="0" fontId="41" fillId="0" borderId="0" xfId="0" applyFont="1"/>
    <xf numFmtId="0" fontId="2" fillId="0" borderId="0" xfId="0" applyFont="1" applyAlignment="1">
      <alignment horizontal="left"/>
    </xf>
    <xf numFmtId="0" fontId="3" fillId="0" borderId="0" xfId="0" applyFont="1" applyAlignment="1">
      <alignment horizontal="left"/>
    </xf>
    <xf numFmtId="165" fontId="3" fillId="0" borderId="0" xfId="0" applyNumberFormat="1" applyFont="1" applyAlignment="1">
      <alignment horizontal="right"/>
    </xf>
    <xf numFmtId="165" fontId="2" fillId="0" borderId="0" xfId="0" applyNumberFormat="1" applyFont="1" applyAlignment="1">
      <alignment horizontal="right"/>
    </xf>
    <xf numFmtId="165" fontId="42" fillId="13" borderId="0" xfId="0" applyNumberFormat="1" applyFont="1" applyFill="1"/>
    <xf numFmtId="0" fontId="49" fillId="13" borderId="9" xfId="0" applyFont="1" applyFill="1" applyBorder="1"/>
    <xf numFmtId="0" fontId="0" fillId="13" borderId="6" xfId="0" applyFill="1" applyBorder="1"/>
    <xf numFmtId="0" fontId="0" fillId="0" borderId="6" xfId="0" applyBorder="1"/>
    <xf numFmtId="0" fontId="0" fillId="0" borderId="5" xfId="0" applyBorder="1"/>
    <xf numFmtId="0" fontId="3" fillId="0" borderId="10" xfId="0" applyFont="1" applyBorder="1"/>
    <xf numFmtId="0" fontId="0" fillId="0" borderId="8" xfId="0" applyBorder="1"/>
    <xf numFmtId="0" fontId="0" fillId="0" borderId="10" xfId="0" applyBorder="1"/>
    <xf numFmtId="0" fontId="49" fillId="13" borderId="10" xfId="0" applyFont="1" applyFill="1" applyBorder="1"/>
    <xf numFmtId="0" fontId="0" fillId="13" borderId="0" xfId="0" applyFill="1"/>
    <xf numFmtId="0" fontId="0" fillId="13" borderId="8" xfId="0" applyFill="1" applyBorder="1"/>
    <xf numFmtId="0" fontId="0" fillId="13" borderId="10" xfId="0" applyFill="1" applyBorder="1"/>
    <xf numFmtId="0" fontId="49" fillId="13" borderId="0" xfId="0" applyFont="1" applyFill="1"/>
    <xf numFmtId="0" fontId="49" fillId="13" borderId="8" xfId="0" applyFont="1" applyFill="1" applyBorder="1"/>
    <xf numFmtId="0" fontId="3" fillId="0" borderId="10" xfId="0" applyFont="1" applyBorder="1" applyAlignment="1">
      <alignment horizontal="right"/>
    </xf>
    <xf numFmtId="165" fontId="0" fillId="0" borderId="0" xfId="0" applyNumberFormat="1"/>
    <xf numFmtId="165" fontId="0" fillId="0" borderId="8" xfId="0" applyNumberFormat="1" applyBorder="1"/>
    <xf numFmtId="0" fontId="0" fillId="0" borderId="10" xfId="0" applyBorder="1" applyAlignment="1">
      <alignment horizontal="right"/>
    </xf>
    <xf numFmtId="0" fontId="3" fillId="0" borderId="0" xfId="0" applyFont="1" applyAlignment="1">
      <alignment horizontal="right"/>
    </xf>
    <xf numFmtId="0" fontId="2" fillId="0" borderId="10" xfId="0" applyFont="1" applyBorder="1" applyAlignment="1">
      <alignment horizontal="right"/>
    </xf>
    <xf numFmtId="165" fontId="2" fillId="0" borderId="0" xfId="0" applyNumberFormat="1" applyFont="1"/>
    <xf numFmtId="0" fontId="2" fillId="0" borderId="0" xfId="0" applyFont="1" applyAlignment="1">
      <alignment horizontal="right"/>
    </xf>
    <xf numFmtId="165" fontId="2" fillId="0" borderId="8" xfId="0" applyNumberFormat="1" applyFont="1" applyBorder="1"/>
    <xf numFmtId="165" fontId="3" fillId="0" borderId="10" xfId="0" applyNumberFormat="1" applyFont="1" applyBorder="1" applyAlignment="1">
      <alignment horizontal="right"/>
    </xf>
    <xf numFmtId="0" fontId="41" fillId="13" borderId="10" xfId="0" applyFont="1" applyFill="1" applyBorder="1"/>
    <xf numFmtId="0" fontId="46" fillId="0" borderId="10" xfId="0" applyFont="1" applyBorder="1"/>
    <xf numFmtId="165" fontId="46" fillId="0" borderId="0" xfId="0" applyNumberFormat="1" applyFont="1"/>
    <xf numFmtId="0" fontId="46" fillId="0" borderId="11" xfId="0" applyFont="1" applyBorder="1"/>
    <xf numFmtId="165" fontId="46" fillId="0" borderId="2" xfId="0" applyNumberFormat="1" applyFont="1" applyBorder="1"/>
    <xf numFmtId="0" fontId="46" fillId="0" borderId="2" xfId="0" applyFont="1" applyBorder="1"/>
    <xf numFmtId="0" fontId="0" fillId="0" borderId="2" xfId="0" applyBorder="1"/>
    <xf numFmtId="0" fontId="0" fillId="0" borderId="1" xfId="0" applyBorder="1"/>
    <xf numFmtId="0" fontId="7" fillId="0" borderId="0" xfId="0" applyFont="1"/>
    <xf numFmtId="0" fontId="25" fillId="0" borderId="0" xfId="0" applyFont="1" applyAlignment="1">
      <alignment horizontal="right"/>
    </xf>
    <xf numFmtId="11" fontId="42" fillId="0" borderId="0" xfId="0" applyNumberFormat="1" applyFont="1"/>
    <xf numFmtId="0" fontId="25" fillId="0" borderId="0" xfId="0" applyFont="1"/>
    <xf numFmtId="0" fontId="42" fillId="0" borderId="9" xfId="0" applyFont="1" applyBorder="1"/>
    <xf numFmtId="0" fontId="41" fillId="0" borderId="0" xfId="0" applyFont="1" applyAlignment="1">
      <alignment horizontal="center"/>
    </xf>
    <xf numFmtId="0" fontId="41" fillId="0" borderId="8" xfId="0" applyFont="1" applyBorder="1" applyAlignment="1">
      <alignment horizontal="center"/>
    </xf>
    <xf numFmtId="0" fontId="44" fillId="0" borderId="0" xfId="0" applyFont="1" applyAlignment="1">
      <alignment horizontal="center"/>
    </xf>
    <xf numFmtId="0" fontId="7" fillId="0" borderId="0" xfId="0" applyFont="1" applyAlignment="1">
      <alignment horizontal="right"/>
    </xf>
    <xf numFmtId="0" fontId="47" fillId="0" borderId="0" xfId="0" applyFont="1" applyAlignment="1">
      <alignment horizontal="right"/>
    </xf>
    <xf numFmtId="0" fontId="56" fillId="0" borderId="0" xfId="0" applyFont="1" applyAlignment="1">
      <alignment horizontal="right"/>
    </xf>
    <xf numFmtId="0" fontId="12" fillId="0" borderId="2" xfId="0" applyFont="1" applyBorder="1" applyAlignment="1">
      <alignment horizontal="right"/>
    </xf>
    <xf numFmtId="0" fontId="44" fillId="0" borderId="0" xfId="0" applyFont="1"/>
    <xf numFmtId="0" fontId="45" fillId="0" borderId="0" xfId="0" applyFont="1"/>
    <xf numFmtId="0" fontId="46" fillId="0" borderId="0" xfId="0" applyFont="1"/>
    <xf numFmtId="0" fontId="42" fillId="0" borderId="0" xfId="0" applyFont="1"/>
    <xf numFmtId="0" fontId="41" fillId="13" borderId="0" xfId="0" applyFont="1" applyFill="1"/>
    <xf numFmtId="0" fontId="41" fillId="13" borderId="9" xfId="0" applyFont="1" applyFill="1" applyBorder="1" applyAlignment="1">
      <alignment horizontal="right"/>
    </xf>
    <xf numFmtId="0" fontId="41" fillId="13" borderId="6" xfId="0" applyFont="1" applyFill="1" applyBorder="1" applyAlignment="1">
      <alignment horizontal="right"/>
    </xf>
    <xf numFmtId="0" fontId="12" fillId="0" borderId="0" xfId="0" applyFont="1" applyAlignment="1">
      <alignment horizontal="right"/>
    </xf>
    <xf numFmtId="165" fontId="42" fillId="0" borderId="0" xfId="0" applyNumberFormat="1" applyFont="1"/>
    <xf numFmtId="0" fontId="42" fillId="0" borderId="8" xfId="0" applyFont="1" applyBorder="1"/>
    <xf numFmtId="0" fontId="7" fillId="0" borderId="0" xfId="0" applyFont="1" applyAlignment="1">
      <alignment horizontal="right"/>
    </xf>
    <xf numFmtId="0" fontId="25" fillId="0" borderId="0" xfId="0" applyFont="1" applyAlignment="1">
      <alignment horizontal="right"/>
    </xf>
    <xf numFmtId="0" fontId="42" fillId="0" borderId="10" xfId="0" applyFont="1" applyBorder="1"/>
    <xf numFmtId="0" fontId="42" fillId="0" borderId="6" xfId="0" applyFont="1" applyBorder="1"/>
    <xf numFmtId="0" fontId="42" fillId="0" borderId="2" xfId="0" applyFont="1" applyBorder="1"/>
    <xf numFmtId="0" fontId="42" fillId="0" borderId="9" xfId="0" applyFont="1" applyBorder="1"/>
    <xf numFmtId="165" fontId="42" fillId="0" borderId="8" xfId="0" applyNumberFormat="1" applyFont="1" applyBorder="1"/>
    <xf numFmtId="165" fontId="42" fillId="0" borderId="1" xfId="0" applyNumberFormat="1" applyFont="1" applyBorder="1"/>
    <xf numFmtId="0" fontId="0" fillId="0" borderId="6" xfId="0" applyBorder="1"/>
    <xf numFmtId="0" fontId="0" fillId="0" borderId="5" xfId="0" applyBorder="1"/>
    <xf numFmtId="0" fontId="0" fillId="0" borderId="10" xfId="0" applyBorder="1"/>
    <xf numFmtId="165" fontId="0" fillId="0" borderId="0" xfId="0" applyNumberFormat="1"/>
    <xf numFmtId="0" fontId="59" fillId="0" borderId="0" xfId="0" applyFont="1"/>
    <xf numFmtId="0" fontId="47" fillId="0" borderId="0" xfId="0" applyFont="1" applyBorder="1" applyAlignment="1">
      <alignment horizontal="right"/>
    </xf>
    <xf numFmtId="0" fontId="0" fillId="0" borderId="0" xfId="0"/>
    <xf numFmtId="0" fontId="39" fillId="0" borderId="0" xfId="0" applyFont="1"/>
    <xf numFmtId="165" fontId="59" fillId="0" borderId="0" xfId="0" applyNumberFormat="1" applyFont="1"/>
    <xf numFmtId="1" fontId="59" fillId="0" borderId="0" xfId="0" applyNumberFormat="1" applyFont="1"/>
    <xf numFmtId="0" fontId="41" fillId="13" borderId="6" xfId="0" applyFont="1" applyFill="1" applyBorder="1" applyAlignment="1">
      <alignment horizontal="left"/>
    </xf>
    <xf numFmtId="0" fontId="42" fillId="0" borderId="0" xfId="0" applyFont="1" applyBorder="1" applyAlignment="1"/>
    <xf numFmtId="0" fontId="42" fillId="0" borderId="0" xfId="0" applyFont="1" applyBorder="1"/>
    <xf numFmtId="0" fontId="41" fillId="13" borderId="5" xfId="0" applyFont="1" applyFill="1" applyBorder="1" applyAlignment="1">
      <alignment horizontal="right"/>
    </xf>
    <xf numFmtId="0" fontId="46" fillId="0" borderId="0" xfId="0" applyFont="1" applyBorder="1"/>
    <xf numFmtId="0" fontId="41" fillId="0" borderId="0" xfId="0" applyFont="1" applyAlignment="1">
      <alignment horizontal="center"/>
    </xf>
    <xf numFmtId="0" fontId="42" fillId="0" borderId="10" xfId="0" applyFont="1" applyBorder="1" applyAlignment="1">
      <alignment horizontal="right"/>
    </xf>
    <xf numFmtId="0" fontId="42" fillId="0" borderId="11" xfId="0" applyFont="1" applyBorder="1" applyAlignment="1">
      <alignment horizontal="right"/>
    </xf>
    <xf numFmtId="0" fontId="41" fillId="13" borderId="22" xfId="0" applyFont="1" applyFill="1" applyBorder="1" applyAlignment="1">
      <alignment horizontal="center" vertical="center"/>
    </xf>
    <xf numFmtId="0" fontId="41" fillId="13" borderId="20" xfId="0" applyFont="1" applyFill="1" applyBorder="1" applyAlignment="1">
      <alignment horizontal="center" vertical="center"/>
    </xf>
    <xf numFmtId="0" fontId="47" fillId="0" borderId="2" xfId="0" applyFont="1" applyBorder="1" applyAlignment="1">
      <alignment horizontal="right"/>
    </xf>
    <xf numFmtId="0" fontId="44" fillId="0" borderId="0" xfId="0" applyFont="1" applyBorder="1" applyAlignment="1">
      <alignment horizontal="right"/>
    </xf>
    <xf numFmtId="0" fontId="41" fillId="0" borderId="0" xfId="0" applyFont="1" applyBorder="1" applyAlignment="1">
      <alignment horizontal="right"/>
    </xf>
    <xf numFmtId="0" fontId="41" fillId="0" borderId="2" xfId="0" applyFont="1" applyBorder="1" applyAlignment="1">
      <alignment horizontal="right"/>
    </xf>
    <xf numFmtId="0" fontId="0" fillId="0" borderId="11" xfId="0" applyBorder="1"/>
    <xf numFmtId="0" fontId="42" fillId="0" borderId="0" xfId="0" applyFont="1" applyFill="1"/>
    <xf numFmtId="0" fontId="45" fillId="0" borderId="0" xfId="0" applyFont="1" applyFill="1"/>
    <xf numFmtId="0" fontId="41" fillId="0" borderId="0" xfId="0" applyFont="1" applyFill="1"/>
    <xf numFmtId="0" fontId="0" fillId="0" borderId="0" xfId="0"/>
    <xf numFmtId="0" fontId="44" fillId="0" borderId="0" xfId="0" applyFont="1"/>
    <xf numFmtId="0" fontId="45" fillId="0" borderId="0" xfId="0" applyFont="1"/>
    <xf numFmtId="0" fontId="41" fillId="13" borderId="0" xfId="0" applyFont="1" applyFill="1"/>
    <xf numFmtId="0" fontId="42" fillId="0" borderId="0" xfId="0" applyFont="1"/>
    <xf numFmtId="0" fontId="42" fillId="0" borderId="0" xfId="0" applyFont="1" applyAlignment="1">
      <alignment horizontal="right"/>
    </xf>
    <xf numFmtId="0" fontId="43" fillId="0" borderId="0" xfId="0" applyFont="1"/>
    <xf numFmtId="0" fontId="41" fillId="13" borderId="0" xfId="0" applyFont="1" applyFill="1" applyAlignment="1">
      <alignment horizontal="right"/>
    </xf>
    <xf numFmtId="0" fontId="63" fillId="0" borderId="0" xfId="0" applyFont="1"/>
    <xf numFmtId="0" fontId="64" fillId="0" borderId="0" xfId="0" applyFont="1"/>
    <xf numFmtId="0" fontId="42" fillId="0" borderId="0" xfId="0" quotePrefix="1" applyFont="1"/>
    <xf numFmtId="0" fontId="65" fillId="0" borderId="0" xfId="0" applyFont="1"/>
    <xf numFmtId="0" fontId="41" fillId="13" borderId="0" xfId="0" applyFont="1" applyFill="1" applyBorder="1"/>
    <xf numFmtId="0" fontId="41" fillId="13" borderId="0" xfId="0" applyFont="1" applyFill="1" applyAlignment="1"/>
    <xf numFmtId="0" fontId="43" fillId="0" borderId="0" xfId="0" applyFont="1" applyAlignment="1"/>
    <xf numFmtId="0" fontId="0" fillId="0" borderId="0" xfId="0" applyAlignment="1"/>
    <xf numFmtId="0" fontId="44" fillId="0" borderId="0" xfId="0" applyFont="1" applyAlignment="1"/>
    <xf numFmtId="0" fontId="46" fillId="0" borderId="0" xfId="0" applyFont="1" applyAlignment="1"/>
    <xf numFmtId="0" fontId="42" fillId="0" borderId="0" xfId="0" applyFont="1" applyAlignment="1"/>
    <xf numFmtId="165" fontId="42" fillId="0" borderId="0" xfId="0" quotePrefix="1" applyNumberFormat="1" applyFont="1" applyBorder="1"/>
    <xf numFmtId="0" fontId="41" fillId="0" borderId="10" xfId="0" applyFont="1" applyBorder="1" applyAlignment="1">
      <alignment horizontal="centerContinuous"/>
    </xf>
    <xf numFmtId="0" fontId="41" fillId="0" borderId="0" xfId="0" applyFont="1" applyBorder="1" applyAlignment="1">
      <alignment horizontal="centerContinuous"/>
    </xf>
    <xf numFmtId="0" fontId="41" fillId="0" borderId="8" xfId="0" applyFont="1" applyBorder="1" applyAlignment="1">
      <alignment horizontal="centerContinuous"/>
    </xf>
    <xf numFmtId="0" fontId="41" fillId="0" borderId="9" xfId="0" applyFont="1" applyBorder="1" applyAlignment="1">
      <alignment horizontal="centerContinuous"/>
    </xf>
    <xf numFmtId="0" fontId="41" fillId="0" borderId="6" xfId="0" applyFont="1" applyBorder="1" applyAlignment="1">
      <alignment horizontal="centerContinuous"/>
    </xf>
    <xf numFmtId="0" fontId="41" fillId="0" borderId="5" xfId="0" applyFont="1" applyBorder="1" applyAlignment="1">
      <alignment horizontal="centerContinuous"/>
    </xf>
    <xf numFmtId="0" fontId="0" fillId="0" borderId="0" xfId="0" applyFont="1"/>
    <xf numFmtId="0" fontId="42" fillId="0" borderId="0" xfId="0" applyFont="1"/>
    <xf numFmtId="0" fontId="42" fillId="0" borderId="0" xfId="0" quotePrefix="1" applyFont="1"/>
    <xf numFmtId="3" fontId="42" fillId="0" borderId="0" xfId="0" quotePrefix="1" applyNumberFormat="1" applyFont="1" applyAlignment="1"/>
    <xf numFmtId="3" fontId="42" fillId="0" borderId="0" xfId="0" applyNumberFormat="1" applyFont="1" applyAlignment="1"/>
    <xf numFmtId="165" fontId="42" fillId="0" borderId="0" xfId="0" applyNumberFormat="1" applyFont="1" applyAlignment="1"/>
    <xf numFmtId="0" fontId="42" fillId="0" borderId="0" xfId="0" applyNumberFormat="1" applyFont="1"/>
    <xf numFmtId="0" fontId="41" fillId="0" borderId="0" xfId="0" applyFont="1"/>
    <xf numFmtId="0" fontId="46" fillId="0" borderId="0" xfId="0" applyFont="1"/>
    <xf numFmtId="0" fontId="41" fillId="13" borderId="0" xfId="0" applyFont="1" applyFill="1"/>
    <xf numFmtId="0" fontId="41" fillId="13" borderId="0" xfId="0" applyFont="1" applyFill="1" applyAlignment="1"/>
    <xf numFmtId="0" fontId="43" fillId="0" borderId="0" xfId="0" applyFont="1"/>
    <xf numFmtId="165" fontId="42" fillId="0" borderId="0" xfId="0" applyNumberFormat="1" applyFont="1"/>
    <xf numFmtId="0" fontId="43" fillId="0" borderId="0" xfId="0" applyFont="1" applyFill="1" applyAlignment="1">
      <alignment horizontal="right"/>
    </xf>
    <xf numFmtId="0" fontId="41" fillId="0" borderId="0" xfId="0" applyFont="1" applyFill="1"/>
    <xf numFmtId="0" fontId="41" fillId="0" borderId="0" xfId="0" applyFont="1" applyFill="1" applyAlignment="1">
      <alignment horizontal="right"/>
    </xf>
    <xf numFmtId="0" fontId="42" fillId="0" borderId="0" xfId="0" applyFont="1" applyFill="1" applyAlignment="1">
      <alignment horizontal="right"/>
    </xf>
    <xf numFmtId="0" fontId="42" fillId="0" borderId="0" xfId="0" applyFont="1" applyFill="1"/>
    <xf numFmtId="0" fontId="42" fillId="0" borderId="0" xfId="0" applyFont="1" applyAlignment="1">
      <alignment horizontal="right"/>
    </xf>
    <xf numFmtId="0" fontId="42" fillId="0" borderId="0" xfId="0" applyFont="1" applyAlignment="1"/>
    <xf numFmtId="2" fontId="42" fillId="0" borderId="0" xfId="0" applyNumberFormat="1" applyFont="1"/>
    <xf numFmtId="0" fontId="0" fillId="0" borderId="0" xfId="0"/>
    <xf numFmtId="0" fontId="0" fillId="0" borderId="0" xfId="0" applyFont="1"/>
    <xf numFmtId="0" fontId="42" fillId="0" borderId="0" xfId="0" applyFont="1"/>
    <xf numFmtId="0" fontId="41" fillId="13" borderId="0" xfId="0" applyFont="1" applyFill="1" applyBorder="1" applyAlignment="1"/>
    <xf numFmtId="0" fontId="41" fillId="13" borderId="21" xfId="0" applyFont="1" applyFill="1" applyBorder="1" applyAlignment="1">
      <alignment vertical="center"/>
    </xf>
    <xf numFmtId="0" fontId="41" fillId="13" borderId="22" xfId="0" applyFont="1" applyFill="1" applyBorder="1" applyAlignment="1">
      <alignment vertical="center"/>
    </xf>
    <xf numFmtId="0" fontId="41" fillId="13" borderId="23" xfId="0" applyFont="1" applyFill="1" applyBorder="1" applyAlignment="1">
      <alignment vertical="center"/>
    </xf>
    <xf numFmtId="0" fontId="41" fillId="13" borderId="23" xfId="0" applyFont="1" applyFill="1" applyBorder="1" applyAlignment="1">
      <alignment horizontal="center" vertical="center"/>
    </xf>
    <xf numFmtId="167" fontId="42" fillId="0" borderId="8" xfId="0" applyNumberFormat="1" applyFont="1" applyBorder="1"/>
    <xf numFmtId="167" fontId="59" fillId="0" borderId="0" xfId="0" applyNumberFormat="1" applyFont="1"/>
    <xf numFmtId="11" fontId="59" fillId="0" borderId="0" xfId="0" applyNumberFormat="1" applyFont="1"/>
    <xf numFmtId="0" fontId="68" fillId="0" borderId="0" xfId="0" applyFont="1"/>
    <xf numFmtId="0" fontId="0" fillId="14" borderId="0" xfId="9" applyFont="1" applyFill="1"/>
    <xf numFmtId="168" fontId="42" fillId="14" borderId="0" xfId="9" applyNumberFormat="1" applyFont="1" applyFill="1"/>
    <xf numFmtId="2" fontId="42" fillId="14" borderId="0" xfId="9" applyNumberFormat="1" applyFont="1" applyFill="1"/>
    <xf numFmtId="2" fontId="0" fillId="14" borderId="0" xfId="9" applyNumberFormat="1" applyFont="1" applyFill="1" applyAlignment="1">
      <alignment horizontal="right"/>
    </xf>
    <xf numFmtId="0" fontId="7" fillId="14" borderId="0" xfId="9" applyFont="1" applyFill="1" applyAlignment="1">
      <alignment vertical="center"/>
    </xf>
    <xf numFmtId="0" fontId="42" fillId="14" borderId="0" xfId="9" applyFont="1" applyFill="1" applyAlignment="1"/>
    <xf numFmtId="0" fontId="7" fillId="14" borderId="0" xfId="9" applyFont="1" applyFill="1" applyAlignment="1">
      <alignment horizontal="right" vertical="center"/>
    </xf>
    <xf numFmtId="11" fontId="7" fillId="14" borderId="0" xfId="9" applyNumberFormat="1" applyFont="1" applyFill="1" applyAlignment="1">
      <alignment horizontal="right" vertical="center"/>
    </xf>
    <xf numFmtId="0" fontId="42" fillId="14" borderId="0" xfId="9" applyFont="1" applyFill="1"/>
    <xf numFmtId="0" fontId="42" fillId="0" borderId="0" xfId="9" applyFont="1" applyFill="1" applyAlignment="1">
      <alignment horizontal="right"/>
    </xf>
    <xf numFmtId="0" fontId="41" fillId="0" borderId="0" xfId="0" applyFont="1" applyFill="1" applyBorder="1" applyAlignment="1">
      <alignment horizontal="centerContinuous"/>
    </xf>
    <xf numFmtId="0" fontId="42" fillId="0" borderId="0" xfId="23" applyFont="1" applyFill="1" applyBorder="1" applyAlignment="1">
      <alignment horizontal="right"/>
    </xf>
    <xf numFmtId="165" fontId="42" fillId="0" borderId="0" xfId="23" applyNumberFormat="1" applyFont="1" applyFill="1" applyBorder="1" applyAlignment="1"/>
    <xf numFmtId="0" fontId="42" fillId="0" borderId="0" xfId="23" applyFont="1" applyFill="1" applyBorder="1" applyAlignment="1"/>
    <xf numFmtId="0" fontId="42" fillId="0" borderId="6" xfId="23" applyFont="1" applyFill="1" applyBorder="1" applyAlignment="1"/>
    <xf numFmtId="0" fontId="42" fillId="0" borderId="5" xfId="23" applyFont="1" applyFill="1" applyBorder="1" applyAlignment="1"/>
    <xf numFmtId="0" fontId="42" fillId="0" borderId="8" xfId="23" applyFont="1" applyFill="1" applyBorder="1" applyAlignment="1"/>
    <xf numFmtId="0" fontId="42" fillId="0" borderId="2" xfId="23" applyFont="1" applyFill="1" applyBorder="1" applyAlignment="1"/>
    <xf numFmtId="0" fontId="42" fillId="0" borderId="1" xfId="23" applyFont="1" applyFill="1" applyBorder="1" applyAlignment="1"/>
    <xf numFmtId="0" fontId="42" fillId="0" borderId="0" xfId="23" applyFont="1" applyFill="1" applyAlignment="1">
      <alignment horizontal="right"/>
    </xf>
    <xf numFmtId="2" fontId="42" fillId="0" borderId="0" xfId="23" applyNumberFormat="1" applyFont="1" applyFill="1" applyBorder="1" applyAlignment="1"/>
    <xf numFmtId="167" fontId="42" fillId="0" borderId="0" xfId="23" applyNumberFormat="1" applyFont="1" applyFill="1" applyBorder="1" applyAlignment="1"/>
    <xf numFmtId="165" fontId="42" fillId="0" borderId="2" xfId="23" applyNumberFormat="1" applyFont="1" applyFill="1" applyBorder="1" applyAlignment="1"/>
    <xf numFmtId="0" fontId="42" fillId="0" borderId="0" xfId="23" quotePrefix="1" applyFont="1" applyFill="1" applyAlignment="1"/>
    <xf numFmtId="0" fontId="42" fillId="0" borderId="0" xfId="23" applyFont="1" applyFill="1" applyAlignment="1"/>
    <xf numFmtId="0" fontId="0" fillId="0" borderId="0" xfId="23" applyFont="1" applyFill="1" applyBorder="1" applyAlignment="1"/>
    <xf numFmtId="0" fontId="0" fillId="0" borderId="0" xfId="23" applyFont="1" applyFill="1" applyBorder="1" applyAlignment="1">
      <alignment horizontal="left"/>
    </xf>
    <xf numFmtId="165" fontId="42" fillId="0" borderId="0" xfId="23" applyNumberFormat="1" applyFont="1" applyFill="1" applyAlignment="1"/>
    <xf numFmtId="165" fontId="42" fillId="0" borderId="8" xfId="23" applyNumberFormat="1" applyFont="1" applyFill="1" applyBorder="1" applyAlignment="1"/>
    <xf numFmtId="0" fontId="0" fillId="0" borderId="2" xfId="23" applyFont="1" applyFill="1" applyBorder="1" applyAlignment="1"/>
    <xf numFmtId="0" fontId="0" fillId="0" borderId="2" xfId="23" applyFont="1" applyFill="1" applyBorder="1" applyAlignment="1">
      <alignment horizontal="left"/>
    </xf>
    <xf numFmtId="165" fontId="42" fillId="0" borderId="1" xfId="23" applyNumberFormat="1" applyFont="1" applyFill="1" applyBorder="1" applyAlignment="1"/>
    <xf numFmtId="3" fontId="42" fillId="0" borderId="0" xfId="23" applyNumberFormat="1" applyFont="1" applyFill="1" applyBorder="1" applyAlignment="1"/>
    <xf numFmtId="3" fontId="42" fillId="0" borderId="2" xfId="23" applyNumberFormat="1" applyFont="1" applyFill="1" applyBorder="1" applyAlignment="1"/>
    <xf numFmtId="169" fontId="42" fillId="13" borderId="22" xfId="23" applyNumberFormat="1" applyFont="1" applyFill="1" applyBorder="1" applyAlignment="1"/>
    <xf numFmtId="165" fontId="42" fillId="13" borderId="22" xfId="23" applyNumberFormat="1" applyFont="1" applyFill="1" applyBorder="1" applyAlignment="1"/>
    <xf numFmtId="3" fontId="42" fillId="13" borderId="22" xfId="23" applyNumberFormat="1" applyFont="1" applyFill="1" applyBorder="1" applyAlignment="1"/>
    <xf numFmtId="165" fontId="42" fillId="13" borderId="23" xfId="23" applyNumberFormat="1" applyFont="1" applyFill="1" applyBorder="1" applyAlignment="1"/>
    <xf numFmtId="0" fontId="42" fillId="13" borderId="20" xfId="23" applyFont="1" applyFill="1" applyBorder="1" applyAlignment="1"/>
    <xf numFmtId="0" fontId="42" fillId="0" borderId="7" xfId="23" applyFont="1" applyFill="1" applyBorder="1" applyAlignment="1"/>
    <xf numFmtId="0" fontId="42" fillId="0" borderId="7" xfId="23" applyFont="1" applyFill="1" applyBorder="1" applyAlignment="1">
      <alignment vertical="center"/>
    </xf>
    <xf numFmtId="0" fontId="42" fillId="0" borderId="3" xfId="23" applyFont="1" applyFill="1" applyBorder="1" applyAlignment="1">
      <alignment vertical="center"/>
    </xf>
    <xf numFmtId="169" fontId="42" fillId="0" borderId="21" xfId="23" applyNumberFormat="1" applyFont="1" applyFill="1" applyBorder="1" applyAlignment="1"/>
    <xf numFmtId="165" fontId="42" fillId="0" borderId="22" xfId="23" applyNumberFormat="1" applyFont="1" applyFill="1" applyBorder="1" applyAlignment="1"/>
    <xf numFmtId="3" fontId="42" fillId="0" borderId="22" xfId="23" applyNumberFormat="1" applyFont="1" applyFill="1" applyBorder="1" applyAlignment="1"/>
    <xf numFmtId="165" fontId="42" fillId="0" borderId="23" xfId="23" applyNumberFormat="1" applyFont="1" applyFill="1" applyBorder="1" applyAlignment="1"/>
    <xf numFmtId="0" fontId="42" fillId="0" borderId="20" xfId="23" applyFont="1" applyFill="1" applyBorder="1" applyAlignment="1"/>
    <xf numFmtId="0" fontId="0" fillId="14" borderId="0" xfId="9" applyFont="1" applyFill="1" applyAlignment="1">
      <alignment horizontal="right" vertical="center"/>
    </xf>
    <xf numFmtId="0" fontId="42" fillId="14" borderId="0" xfId="9" applyFont="1" applyFill="1" applyAlignment="1">
      <alignment horizontal="right" vertical="center"/>
    </xf>
    <xf numFmtId="165" fontId="42" fillId="0" borderId="0" xfId="23" applyNumberFormat="1" applyFont="1" applyFill="1" applyBorder="1" applyAlignment="1">
      <alignment horizontal="right"/>
    </xf>
    <xf numFmtId="165" fontId="42" fillId="0" borderId="8" xfId="23" applyNumberFormat="1" applyFont="1" applyFill="1" applyBorder="1" applyAlignment="1">
      <alignment horizontal="right"/>
    </xf>
    <xf numFmtId="0" fontId="42" fillId="13" borderId="22" xfId="23" applyFont="1" applyFill="1" applyBorder="1" applyAlignment="1"/>
    <xf numFmtId="0" fontId="42" fillId="13" borderId="23" xfId="23" applyFont="1" applyFill="1" applyBorder="1" applyAlignment="1"/>
    <xf numFmtId="0" fontId="42" fillId="0" borderId="22" xfId="23" applyFont="1" applyFill="1" applyBorder="1" applyAlignment="1"/>
    <xf numFmtId="0" fontId="42" fillId="0" borderId="23" xfId="23" applyFont="1" applyFill="1" applyBorder="1" applyAlignment="1"/>
    <xf numFmtId="0" fontId="42" fillId="0" borderId="7" xfId="23" applyFont="1" applyFill="1" applyBorder="1" applyAlignment="1">
      <alignment horizontal="right"/>
    </xf>
    <xf numFmtId="0" fontId="7" fillId="0" borderId="7" xfId="23" applyFont="1" applyFill="1" applyBorder="1" applyAlignment="1">
      <alignment horizontal="right"/>
    </xf>
    <xf numFmtId="0" fontId="42" fillId="0" borderId="3" xfId="23" applyFont="1" applyFill="1" applyBorder="1" applyAlignment="1"/>
    <xf numFmtId="3" fontId="42" fillId="0" borderId="8" xfId="23" applyNumberFormat="1" applyFont="1" applyFill="1" applyBorder="1" applyAlignment="1"/>
    <xf numFmtId="3" fontId="42" fillId="0" borderId="1" xfId="23" applyNumberFormat="1" applyFont="1" applyFill="1" applyBorder="1" applyAlignment="1"/>
    <xf numFmtId="2" fontId="42" fillId="13" borderId="23" xfId="23" applyNumberFormat="1" applyFont="1" applyFill="1" applyBorder="1" applyAlignment="1"/>
    <xf numFmtId="2" fontId="42" fillId="0" borderId="23" xfId="23" applyNumberFormat="1" applyFont="1" applyFill="1" applyBorder="1" applyAlignment="1"/>
    <xf numFmtId="0" fontId="42" fillId="13" borderId="20" xfId="23" applyNumberFormat="1" applyFont="1" applyFill="1" applyBorder="1" applyAlignment="1"/>
    <xf numFmtId="0" fontId="42" fillId="0" borderId="20" xfId="23" applyNumberFormat="1" applyFont="1" applyFill="1" applyBorder="1" applyAlignment="1"/>
    <xf numFmtId="0" fontId="42" fillId="0" borderId="7" xfId="23" applyNumberFormat="1" applyFont="1" applyFill="1" applyBorder="1" applyAlignment="1"/>
    <xf numFmtId="0" fontId="69" fillId="13" borderId="0" xfId="0" applyFont="1" applyFill="1" applyAlignment="1"/>
    <xf numFmtId="0" fontId="0" fillId="0" borderId="9" xfId="0" applyBorder="1"/>
    <xf numFmtId="0" fontId="0" fillId="0" borderId="0" xfId="0" applyBorder="1"/>
    <xf numFmtId="0" fontId="3" fillId="0" borderId="9" xfId="0" applyFont="1" applyBorder="1"/>
    <xf numFmtId="0" fontId="3" fillId="0" borderId="11" xfId="0" applyFont="1" applyBorder="1"/>
    <xf numFmtId="0" fontId="70" fillId="0" borderId="0" xfId="0" applyFont="1"/>
    <xf numFmtId="0" fontId="71" fillId="0" borderId="15" xfId="16" applyFont="1"/>
    <xf numFmtId="0" fontId="1" fillId="0" borderId="0" xfId="0" applyFont="1"/>
    <xf numFmtId="0" fontId="72" fillId="0" borderId="16" xfId="17" applyFont="1"/>
    <xf numFmtId="0" fontId="1" fillId="0" borderId="0" xfId="0" applyFont="1" applyAlignment="1">
      <alignment horizontal="right"/>
    </xf>
    <xf numFmtId="2" fontId="1" fillId="15" borderId="0" xfId="0" applyNumberFormat="1" applyFont="1" applyFill="1" applyProtection="1">
      <protection locked="0"/>
    </xf>
    <xf numFmtId="2" fontId="1" fillId="0" borderId="0" xfId="0" applyNumberFormat="1" applyFont="1"/>
    <xf numFmtId="2" fontId="1" fillId="0" borderId="0" xfId="0" applyNumberFormat="1" applyFont="1" applyFill="1" applyProtection="1">
      <protection locked="0"/>
    </xf>
    <xf numFmtId="2" fontId="1" fillId="0" borderId="0" xfId="0" applyNumberFormat="1" applyFont="1" applyProtection="1">
      <protection locked="0"/>
    </xf>
    <xf numFmtId="0" fontId="1" fillId="13" borderId="0" xfId="1" applyFont="1" applyFill="1" applyAlignment="1">
      <alignment horizontal="right"/>
    </xf>
    <xf numFmtId="0" fontId="1" fillId="14" borderId="0" xfId="9" applyFont="1" applyFill="1"/>
    <xf numFmtId="0" fontId="1" fillId="14" borderId="0" xfId="9" applyNumberFormat="1" applyFont="1" applyFill="1"/>
    <xf numFmtId="0" fontId="0" fillId="14" borderId="0" xfId="9" applyFont="1" applyFill="1" applyAlignment="1"/>
    <xf numFmtId="0" fontId="74" fillId="0" borderId="0" xfId="0" applyFont="1"/>
    <xf numFmtId="0" fontId="26" fillId="13" borderId="0" xfId="1" applyFill="1" applyAlignment="1"/>
    <xf numFmtId="0" fontId="42" fillId="0" borderId="10" xfId="23" applyFont="1" applyFill="1" applyBorder="1" applyAlignment="1"/>
    <xf numFmtId="0" fontId="42" fillId="0" borderId="11" xfId="23" applyFont="1" applyFill="1" applyBorder="1" applyAlignment="1"/>
    <xf numFmtId="0" fontId="42" fillId="0" borderId="20" xfId="23" applyFont="1" applyFill="1" applyBorder="1" applyAlignment="1">
      <alignment horizontal="right"/>
    </xf>
    <xf numFmtId="3" fontId="42" fillId="0" borderId="23" xfId="23" applyNumberFormat="1" applyFont="1" applyFill="1" applyBorder="1" applyAlignment="1"/>
    <xf numFmtId="3" fontId="42" fillId="13" borderId="23" xfId="23" applyNumberFormat="1" applyFont="1" applyFill="1" applyBorder="1" applyAlignment="1"/>
    <xf numFmtId="0" fontId="1" fillId="13" borderId="0" xfId="0" applyNumberFormat="1" applyFont="1" applyFill="1" applyAlignment="1"/>
    <xf numFmtId="0" fontId="1" fillId="13" borderId="0" xfId="0" applyNumberFormat="1" applyFont="1" applyFill="1"/>
    <xf numFmtId="0" fontId="42" fillId="14" borderId="0" xfId="9" applyNumberFormat="1" applyFont="1" applyFill="1"/>
    <xf numFmtId="0" fontId="0" fillId="14" borderId="0" xfId="9" applyFont="1" applyFill="1" applyAlignment="1">
      <alignment horizontal="right"/>
    </xf>
    <xf numFmtId="0" fontId="7" fillId="14" borderId="0" xfId="9" applyNumberFormat="1" applyFont="1" applyFill="1" applyAlignment="1">
      <alignment horizontal="right" vertical="center"/>
    </xf>
    <xf numFmtId="2" fontId="7" fillId="14" borderId="0" xfId="9" applyNumberFormat="1" applyFont="1" applyFill="1" applyAlignment="1">
      <alignment horizontal="right" vertical="center"/>
    </xf>
    <xf numFmtId="11" fontId="7" fillId="14" borderId="0" xfId="9" applyNumberFormat="1" applyFont="1" applyFill="1" applyAlignment="1">
      <alignment vertical="center"/>
    </xf>
    <xf numFmtId="11" fontId="42" fillId="14" borderId="0" xfId="9" applyNumberFormat="1" applyFont="1" applyFill="1"/>
    <xf numFmtId="0" fontId="42" fillId="0" borderId="9" xfId="23" applyFont="1" applyFill="1" applyBorder="1" applyAlignment="1"/>
    <xf numFmtId="165" fontId="42" fillId="0" borderId="6" xfId="23" applyNumberFormat="1" applyFont="1" applyFill="1" applyBorder="1" applyAlignment="1">
      <alignment horizontal="center" vertical="center"/>
    </xf>
    <xf numFmtId="165" fontId="42" fillId="0" borderId="4" xfId="23" applyNumberFormat="1" applyFont="1" applyFill="1" applyBorder="1" applyAlignment="1">
      <alignment horizontal="center" vertical="center"/>
    </xf>
    <xf numFmtId="165" fontId="42" fillId="0" borderId="0" xfId="23" applyNumberFormat="1" applyFont="1" applyFill="1" applyAlignment="1">
      <alignment horizontal="center" vertical="center"/>
    </xf>
    <xf numFmtId="165" fontId="42" fillId="0" borderId="7" xfId="23" applyNumberFormat="1" applyFont="1" applyFill="1" applyBorder="1" applyAlignment="1">
      <alignment horizontal="center" vertical="center"/>
    </xf>
    <xf numFmtId="2" fontId="42" fillId="0" borderId="0" xfId="23" applyNumberFormat="1" applyFont="1" applyFill="1" applyAlignment="1">
      <alignment horizontal="center" vertical="center"/>
    </xf>
    <xf numFmtId="166" fontId="42" fillId="0" borderId="0" xfId="23" applyNumberFormat="1" applyFont="1" applyFill="1" applyAlignment="1">
      <alignment horizontal="center" vertical="center"/>
    </xf>
    <xf numFmtId="165" fontId="42" fillId="0" borderId="10" xfId="23" applyNumberFormat="1" applyFont="1" applyFill="1" applyBorder="1" applyAlignment="1">
      <alignment horizontal="center" vertical="center"/>
    </xf>
    <xf numFmtId="165" fontId="42" fillId="0" borderId="10" xfId="23" applyNumberFormat="1" applyFont="1" applyFill="1" applyBorder="1" applyAlignment="1">
      <alignment horizontal="center"/>
    </xf>
    <xf numFmtId="165" fontId="42" fillId="0" borderId="0" xfId="23" applyNumberFormat="1" applyFont="1" applyFill="1" applyAlignment="1">
      <alignment horizontal="center"/>
    </xf>
    <xf numFmtId="165" fontId="42" fillId="0" borderId="8" xfId="23" applyNumberFormat="1" applyFont="1" applyFill="1" applyBorder="1" applyAlignment="1">
      <alignment horizontal="center"/>
    </xf>
    <xf numFmtId="165" fontId="42" fillId="0" borderId="7" xfId="23" applyNumberFormat="1" applyFont="1" applyFill="1" applyBorder="1" applyAlignment="1">
      <alignment horizontal="center"/>
    </xf>
    <xf numFmtId="0" fontId="42" fillId="0" borderId="11" xfId="23" applyFont="1" applyFill="1" applyBorder="1" applyAlignment="1">
      <alignment horizontal="center"/>
    </xf>
    <xf numFmtId="0" fontId="42" fillId="0" borderId="2" xfId="23" applyFont="1" applyFill="1" applyBorder="1" applyAlignment="1">
      <alignment horizontal="center"/>
    </xf>
    <xf numFmtId="0" fontId="42" fillId="0" borderId="1" xfId="23" applyFont="1" applyFill="1" applyBorder="1" applyAlignment="1">
      <alignment horizontal="center"/>
    </xf>
    <xf numFmtId="165" fontId="42" fillId="0" borderId="3" xfId="23" applyNumberFormat="1" applyFont="1" applyFill="1" applyBorder="1" applyAlignment="1">
      <alignment horizontal="center"/>
    </xf>
    <xf numFmtId="166" fontId="42" fillId="0" borderId="2" xfId="23" applyNumberFormat="1" applyFont="1" applyFill="1" applyBorder="1" applyAlignment="1">
      <alignment horizontal="center" vertical="center"/>
    </xf>
    <xf numFmtId="0" fontId="42" fillId="0" borderId="6" xfId="23" applyNumberFormat="1" applyFont="1" applyFill="1" applyBorder="1" applyAlignment="1">
      <alignment horizontal="center" vertical="center"/>
    </xf>
    <xf numFmtId="0" fontId="42" fillId="0" borderId="5" xfId="23" applyNumberFormat="1" applyFont="1" applyFill="1" applyBorder="1" applyAlignment="1">
      <alignment horizontal="center" vertical="center"/>
    </xf>
    <xf numFmtId="165" fontId="42" fillId="0" borderId="8" xfId="23" applyNumberFormat="1" applyFont="1" applyFill="1" applyBorder="1" applyAlignment="1">
      <alignment horizontal="center" vertical="center"/>
    </xf>
    <xf numFmtId="2" fontId="42" fillId="0" borderId="8" xfId="23" applyNumberFormat="1" applyFont="1" applyFill="1" applyBorder="1" applyAlignment="1">
      <alignment horizontal="center" vertical="center"/>
    </xf>
    <xf numFmtId="166" fontId="42" fillId="0" borderId="8" xfId="23" applyNumberFormat="1" applyFont="1" applyFill="1" applyBorder="1" applyAlignment="1">
      <alignment horizontal="center" vertical="center"/>
    </xf>
    <xf numFmtId="0" fontId="42" fillId="0" borderId="8" xfId="23" applyNumberFormat="1" applyFont="1" applyFill="1" applyBorder="1" applyAlignment="1">
      <alignment horizontal="center" vertical="center"/>
    </xf>
    <xf numFmtId="0" fontId="42" fillId="0" borderId="1" xfId="23" applyNumberFormat="1" applyFont="1" applyFill="1" applyBorder="1" applyAlignment="1">
      <alignment horizontal="center" vertical="center"/>
    </xf>
    <xf numFmtId="0" fontId="62" fillId="14" borderId="0" xfId="9" applyFont="1" applyFill="1" applyBorder="1" applyAlignment="1">
      <alignment horizontal="right" vertical="center"/>
    </xf>
    <xf numFmtId="0" fontId="62" fillId="14" borderId="0" xfId="9" applyFont="1" applyFill="1" applyAlignment="1">
      <alignment vertical="center"/>
    </xf>
    <xf numFmtId="0" fontId="62" fillId="14" borderId="0" xfId="9" applyFont="1" applyFill="1" applyAlignment="1">
      <alignment horizontal="right" vertical="center"/>
    </xf>
    <xf numFmtId="0" fontId="26" fillId="0" borderId="0" xfId="1" applyFill="1" applyBorder="1"/>
    <xf numFmtId="0" fontId="73" fillId="0" borderId="0" xfId="1" applyFont="1" applyFill="1" applyBorder="1"/>
    <xf numFmtId="1" fontId="42" fillId="0" borderId="6" xfId="23" applyNumberFormat="1" applyFont="1" applyFill="1" applyBorder="1" applyAlignment="1">
      <alignment horizontal="center" vertical="center"/>
    </xf>
    <xf numFmtId="1" fontId="42" fillId="0" borderId="5" xfId="23" applyNumberFormat="1" applyFont="1" applyFill="1" applyBorder="1" applyAlignment="1">
      <alignment horizontal="center" vertical="center"/>
    </xf>
    <xf numFmtId="0" fontId="26" fillId="0" borderId="0" xfId="1" applyFill="1"/>
    <xf numFmtId="2" fontId="0" fillId="14" borderId="0" xfId="9" applyNumberFormat="1" applyFont="1" applyFill="1" applyAlignment="1"/>
    <xf numFmtId="2" fontId="42" fillId="14" borderId="0" xfId="9" applyNumberFormat="1" applyFont="1" applyFill="1" applyAlignment="1"/>
    <xf numFmtId="0" fontId="0" fillId="0" borderId="0" xfId="23" quotePrefix="1" applyNumberFormat="1" applyFont="1" applyFill="1" applyAlignment="1">
      <alignment horizontal="center"/>
    </xf>
    <xf numFmtId="165" fontId="42" fillId="14" borderId="0" xfId="9" applyNumberFormat="1" applyFont="1" applyFill="1"/>
    <xf numFmtId="2" fontId="42" fillId="0" borderId="2" xfId="23" applyNumberFormat="1" applyFont="1" applyFill="1" applyBorder="1" applyAlignment="1"/>
    <xf numFmtId="2" fontId="42" fillId="0" borderId="0" xfId="23" applyNumberFormat="1" applyFont="1" applyFill="1" applyBorder="1" applyAlignment="1">
      <alignment horizontal="right"/>
    </xf>
    <xf numFmtId="170" fontId="42" fillId="0" borderId="0" xfId="23" applyNumberFormat="1" applyFont="1" applyFill="1" applyBorder="1" applyAlignment="1"/>
    <xf numFmtId="170" fontId="42" fillId="0" borderId="8" xfId="23" applyNumberFormat="1" applyFont="1" applyFill="1" applyBorder="1" applyAlignment="1"/>
    <xf numFmtId="170" fontId="42" fillId="0" borderId="2" xfId="23" applyNumberFormat="1" applyFont="1" applyFill="1" applyBorder="1" applyAlignment="1"/>
    <xf numFmtId="170" fontId="42" fillId="0" borderId="1" xfId="23" applyNumberFormat="1" applyFont="1" applyFill="1" applyBorder="1" applyAlignment="1"/>
    <xf numFmtId="170" fontId="42" fillId="0" borderId="0" xfId="23" applyNumberFormat="1" applyFont="1" applyFill="1" applyBorder="1" applyAlignment="1">
      <alignment horizontal="right"/>
    </xf>
    <xf numFmtId="170" fontId="42" fillId="0" borderId="8" xfId="23" applyNumberFormat="1" applyFont="1" applyFill="1" applyBorder="1" applyAlignment="1">
      <alignment horizontal="right"/>
    </xf>
    <xf numFmtId="0" fontId="0" fillId="0" borderId="10" xfId="0" applyFont="1" applyBorder="1" applyAlignment="1">
      <alignment horizontal="right"/>
    </xf>
    <xf numFmtId="0" fontId="42" fillId="0" borderId="0" xfId="0" applyFont="1" applyBorder="1" applyAlignment="1">
      <alignment horizontal="right"/>
    </xf>
    <xf numFmtId="0" fontId="14" fillId="0" borderId="0" xfId="0" applyFont="1" applyBorder="1" applyAlignment="1">
      <alignment horizontal="right"/>
    </xf>
    <xf numFmtId="2" fontId="42" fillId="0" borderId="0" xfId="23" applyNumberFormat="1" applyFont="1" applyFill="1" applyAlignment="1"/>
    <xf numFmtId="167" fontId="42" fillId="0" borderId="0" xfId="23" applyNumberFormat="1" applyFont="1" applyFill="1" applyAlignment="1"/>
    <xf numFmtId="0" fontId="19" fillId="14" borderId="0" xfId="0" applyFont="1" applyFill="1"/>
    <xf numFmtId="0" fontId="42" fillId="0" borderId="0" xfId="0" applyNumberFormat="1" applyFont="1" applyFill="1"/>
    <xf numFmtId="0" fontId="66" fillId="0" borderId="0" xfId="0" applyNumberFormat="1" applyFont="1" applyFill="1" applyBorder="1"/>
    <xf numFmtId="0" fontId="42" fillId="0" borderId="0" xfId="0" applyNumberFormat="1" applyFont="1" applyFill="1" applyBorder="1"/>
    <xf numFmtId="0" fontId="66" fillId="0" borderId="0" xfId="0" applyNumberFormat="1" applyFont="1" applyFill="1"/>
    <xf numFmtId="0" fontId="42" fillId="0" borderId="0" xfId="9" applyNumberFormat="1" applyFont="1" applyFill="1"/>
    <xf numFmtId="0" fontId="26" fillId="0" borderId="0" xfId="0" applyNumberFormat="1" applyFont="1" applyFill="1"/>
    <xf numFmtId="0" fontId="42" fillId="0" borderId="0" xfId="23" applyNumberFormat="1" applyFont="1" applyFill="1" applyAlignment="1"/>
    <xf numFmtId="0" fontId="26" fillId="0" borderId="0" xfId="3" applyNumberFormat="1" applyFill="1" applyBorder="1"/>
    <xf numFmtId="0" fontId="42" fillId="0" borderId="0" xfId="23" applyNumberFormat="1" applyFont="1" applyFill="1" applyBorder="1" applyAlignment="1"/>
    <xf numFmtId="0" fontId="41" fillId="13" borderId="0" xfId="0" applyFont="1" applyFill="1" applyBorder="1" applyAlignment="1">
      <alignment horizontal="right"/>
    </xf>
    <xf numFmtId="171" fontId="42" fillId="0" borderId="0" xfId="23" applyNumberFormat="1" applyFont="1" applyFill="1" applyAlignment="1">
      <alignment horizontal="center" vertical="center"/>
    </xf>
    <xf numFmtId="171" fontId="42" fillId="0" borderId="7" xfId="23" applyNumberFormat="1" applyFont="1" applyFill="1" applyBorder="1" applyAlignment="1">
      <alignment horizontal="center" vertical="center"/>
    </xf>
    <xf numFmtId="171" fontId="42" fillId="0" borderId="2" xfId="23" applyNumberFormat="1" applyFont="1" applyFill="1" applyBorder="1" applyAlignment="1">
      <alignment horizontal="center" vertical="center"/>
    </xf>
    <xf numFmtId="171" fontId="42" fillId="0" borderId="3" xfId="23" applyNumberFormat="1" applyFont="1" applyFill="1" applyBorder="1" applyAlignment="1">
      <alignment horizontal="center" vertical="center"/>
    </xf>
    <xf numFmtId="0" fontId="42" fillId="0" borderId="2" xfId="23" applyFont="1" applyFill="1" applyBorder="1" applyAlignment="1">
      <alignment horizontal="right"/>
    </xf>
    <xf numFmtId="0" fontId="0" fillId="0" borderId="0" xfId="9" applyFont="1" applyFill="1" applyAlignment="1">
      <alignment horizontal="right"/>
    </xf>
    <xf numFmtId="0" fontId="0" fillId="0" borderId="2" xfId="9" applyFont="1" applyFill="1" applyBorder="1" applyAlignment="1">
      <alignment horizontal="right"/>
    </xf>
    <xf numFmtId="0" fontId="76" fillId="0" borderId="0" xfId="0" applyFont="1" applyAlignment="1">
      <alignment horizontal="right"/>
    </xf>
    <xf numFmtId="0" fontId="0" fillId="0" borderId="0" xfId="23" applyFont="1" applyFill="1" applyBorder="1" applyAlignment="1">
      <alignment horizontal="right"/>
    </xf>
    <xf numFmtId="0" fontId="7" fillId="0" borderId="0" xfId="9" applyFont="1" applyFill="1" applyAlignment="1">
      <alignment horizontal="right" vertical="center"/>
    </xf>
    <xf numFmtId="0" fontId="41" fillId="0" borderId="9" xfId="0" applyFont="1" applyBorder="1" applyAlignment="1">
      <alignment horizontal="center" vertical="center" wrapText="1"/>
    </xf>
    <xf numFmtId="0" fontId="41" fillId="0" borderId="6" xfId="0" applyFont="1" applyBorder="1" applyAlignment="1">
      <alignment horizontal="center" vertical="center" wrapText="1"/>
    </xf>
    <xf numFmtId="0" fontId="41" fillId="0" borderId="5" xfId="0" applyFont="1" applyBorder="1" applyAlignment="1">
      <alignment horizontal="center" vertical="center" wrapText="1"/>
    </xf>
    <xf numFmtId="0" fontId="41" fillId="0" borderId="11" xfId="0" applyFont="1" applyBorder="1" applyAlignment="1">
      <alignment horizontal="center" vertical="center" wrapText="1"/>
    </xf>
    <xf numFmtId="0" fontId="41" fillId="0" borderId="2" xfId="0" applyFont="1" applyBorder="1" applyAlignment="1">
      <alignment horizontal="center" vertical="center" wrapText="1"/>
    </xf>
    <xf numFmtId="0" fontId="41" fillId="0" borderId="1" xfId="0" applyFont="1" applyBorder="1" applyAlignment="1">
      <alignment horizontal="center" vertical="center" wrapText="1"/>
    </xf>
  </cellXfs>
  <cellStyles count="24">
    <cellStyle name="Akzent1" xfId="1" builtinId="29" customBuiltin="1"/>
    <cellStyle name="Akzent2" xfId="2" builtinId="33" customBuiltin="1"/>
    <cellStyle name="Akzent3" xfId="3" builtinId="37" customBuiltin="1"/>
    <cellStyle name="Akzent4" xfId="4" builtinId="41" customBuiltin="1"/>
    <cellStyle name="Akzent5" xfId="5" builtinId="45" customBuiltin="1"/>
    <cellStyle name="Akzent6" xfId="6" builtinId="49" customBuiltin="1"/>
    <cellStyle name="array functions" xfId="23" xr:uid="{00000000-0005-0000-0000-000006000000}"/>
    <cellStyle name="Ausgabe" xfId="7" builtinId="21" customBuiltin="1"/>
    <cellStyle name="Berechnung" xfId="8" builtinId="22" customBuiltin="1"/>
    <cellStyle name="Eingabe" xfId="9" builtinId="20" customBuiltin="1"/>
    <cellStyle name="Ergebnis" xfId="10" builtinId="25" customBuiltin="1"/>
    <cellStyle name="Erklärender Text" xfId="11" builtinId="53" customBuiltin="1"/>
    <cellStyle name="Gut" xfId="12" builtinId="26" customBuiltin="1"/>
    <cellStyle name="Neutral" xfId="13" builtinId="28" customBuiltin="1"/>
    <cellStyle name="Schlecht" xfId="14" builtinId="27" customBuiltin="1"/>
    <cellStyle name="Standard" xfId="0" builtinId="0" customBuiltin="1"/>
    <cellStyle name="Überschrift" xfId="15" builtinId="15" customBuiltin="1"/>
    <cellStyle name="Überschrift 1" xfId="16" builtinId="16" customBuiltin="1"/>
    <cellStyle name="Überschrift 2" xfId="17" builtinId="17" customBuiltin="1"/>
    <cellStyle name="Überschrift 3" xfId="18" builtinId="18" customBuiltin="1"/>
    <cellStyle name="Überschrift 4" xfId="19" builtinId="19" customBuiltin="1"/>
    <cellStyle name="Verknüpfte Zelle" xfId="20" builtinId="24" customBuiltin="1"/>
    <cellStyle name="Warnender Text" xfId="21" builtinId="11" customBuiltin="1"/>
    <cellStyle name="Zelle überprüfen" xfId="22" builtinId="23" customBuiltin="1"/>
  </cellStyles>
  <dxfs count="0"/>
  <tableStyles count="0" defaultTableStyle="TableStyleMedium9" defaultPivotStyle="PivotStyleLight16"/>
  <colors>
    <mruColors>
      <color rgb="FF95C11C"/>
      <color rgb="FFE6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de-DE"/>
              <a:t>Phase envelope diagram</a:t>
            </a:r>
          </a:p>
        </c:rich>
      </c:tx>
      <c:layout>
        <c:manualLayout>
          <c:xMode val="edge"/>
          <c:yMode val="edge"/>
          <c:x val="0.36663967611336035"/>
          <c:y val="2.5330910559257062E-2"/>
        </c:manualLayout>
      </c:layout>
      <c:overlay val="1"/>
    </c:title>
    <c:autoTitleDeleted val="0"/>
    <c:plotArea>
      <c:layout>
        <c:manualLayout>
          <c:layoutTarget val="inner"/>
          <c:xMode val="edge"/>
          <c:yMode val="edge"/>
          <c:x val="0.12905593278572974"/>
          <c:y val="0.10484318871905718"/>
          <c:w val="0.83715203615742362"/>
          <c:h val="0.78074960161072138"/>
        </c:manualLayout>
      </c:layout>
      <c:scatterChart>
        <c:scatterStyle val="smoothMarker"/>
        <c:varyColors val="0"/>
        <c:ser>
          <c:idx val="0"/>
          <c:order val="0"/>
          <c:spPr>
            <a:ln w="28575">
              <a:noFill/>
            </a:ln>
          </c:spPr>
          <c:xVal>
            <c:numRef>
              <c:f>'Phase envelope'!$H$7:$H$206</c:f>
              <c:numCache>
                <c:formatCode>0.00</c:formatCode>
                <c:ptCount val="200"/>
                <c:pt idx="0">
                  <c:v>255.05826214873531</c:v>
                </c:pt>
                <c:pt idx="1">
                  <c:v>257.20449996356075</c:v>
                </c:pt>
                <c:pt idx="2">
                  <c:v>259.39039538046887</c:v>
                </c:pt>
                <c:pt idx="3">
                  <c:v>261.616870036438</c:v>
                </c:pt>
                <c:pt idx="4">
                  <c:v>264.06453910741334</c:v>
                </c:pt>
                <c:pt idx="5">
                  <c:v>266.56058190709484</c:v>
                </c:pt>
                <c:pt idx="6">
                  <c:v>269.10586292826139</c:v>
                </c:pt>
                <c:pt idx="7">
                  <c:v>271.70119451190885</c:v>
                </c:pt>
                <c:pt idx="8">
                  <c:v>274.34732605367134</c:v>
                </c:pt>
                <c:pt idx="9">
                  <c:v>277.04492492783231</c:v>
                </c:pt>
                <c:pt idx="10">
                  <c:v>279.79456781265804</c:v>
                </c:pt>
                <c:pt idx="11">
                  <c:v>282.59672294549841</c:v>
                </c:pt>
                <c:pt idx="12">
                  <c:v>285.45172982479306</c:v>
                </c:pt>
                <c:pt idx="13">
                  <c:v>288</c:v>
                </c:pt>
                <c:pt idx="14">
                  <c:v>290.95465153471616</c:v>
                </c:pt>
                <c:pt idx="15">
                  <c:v>293.96216589366304</c:v>
                </c:pt>
                <c:pt idx="16">
                  <c:v>297.0221430588681</c:v>
                </c:pt>
                <c:pt idx="17">
                  <c:v>300.13390658063264</c:v>
                </c:pt>
                <c:pt idx="18">
                  <c:v>303.29647836651674</c:v>
                </c:pt>
                <c:pt idx="19">
                  <c:v>306.50850460228742</c:v>
                </c:pt>
                <c:pt idx="20">
                  <c:v>309.76821895175317</c:v>
                </c:pt>
                <c:pt idx="21">
                  <c:v>313.07338374259609</c:v>
                </c:pt>
                <c:pt idx="22">
                  <c:v>316.42122376321748</c:v>
                </c:pt>
                <c:pt idx="23">
                  <c:v>319.80835187193259</c:v>
                </c:pt>
                <c:pt idx="24">
                  <c:v>323.23068561014139</c:v>
                </c:pt>
                <c:pt idx="25">
                  <c:v>326.68335400876521</c:v>
                </c:pt>
                <c:pt idx="26">
                  <c:v>330.16059380072397</c:v>
                </c:pt>
                <c:pt idx="27">
                  <c:v>333.65563431870413</c:v>
                </c:pt>
                <c:pt idx="28">
                  <c:v>337.1605704976264</c:v>
                </c:pt>
                <c:pt idx="29">
                  <c:v>340.66622365304312</c:v>
                </c:pt>
                <c:pt idx="30">
                  <c:v>344.16199011153412</c:v>
                </c:pt>
                <c:pt idx="31">
                  <c:v>347.63567838129433</c:v>
                </c:pt>
                <c:pt idx="32">
                  <c:v>351.07333642583529</c:v>
                </c:pt>
                <c:pt idx="33">
                  <c:v>354.45907179675919</c:v>
                </c:pt>
                <c:pt idx="34">
                  <c:v>357.77486893701951</c:v>
                </c:pt>
                <c:pt idx="35">
                  <c:v>361.00040988321302</c:v>
                </c:pt>
                <c:pt idx="36">
                  <c:v>364.1129067873303</c:v>
                </c:pt>
                <c:pt idx="37">
                  <c:v>367.08695690637916</c:v>
                </c:pt>
                <c:pt idx="38">
                  <c:v>369.69355987038819</c:v>
                </c:pt>
                <c:pt idx="39">
                  <c:v>372.31929504540233</c:v>
                </c:pt>
                <c:pt idx="40">
                  <c:v>374.71638875680054</c:v>
                </c:pt>
                <c:pt idx="41">
                  <c:v>376.84862394510395</c:v>
                </c:pt>
                <c:pt idx="42">
                  <c:v>378.67718931023035</c:v>
                </c:pt>
                <c:pt idx="43">
                  <c:v>380.16090672816347</c:v>
                </c:pt>
                <c:pt idx="44">
                  <c:v>381.25653713325943</c:v>
                </c:pt>
                <c:pt idx="45">
                  <c:v>381.91928812050372</c:v>
                </c:pt>
                <c:pt idx="46">
                  <c:v>382.10831592482896</c:v>
                </c:pt>
                <c:pt idx="47">
                  <c:v>381.76453902793179</c:v>
                </c:pt>
                <c:pt idx="48">
                  <c:v>380.8592171694587</c:v>
                </c:pt>
                <c:pt idx="49">
                  <c:v>379.34763771063075</c:v>
                </c:pt>
                <c:pt idx="50">
                  <c:v>378.10897854535341</c:v>
                </c:pt>
                <c:pt idx="51">
                  <c:v>376.92841546075277</c:v>
                </c:pt>
                <c:pt idx="52">
                  <c:v>374.68014302888344</c:v>
                </c:pt>
                <c:pt idx="53">
                  <c:v>373.82873422193092</c:v>
                </c:pt>
                <c:pt idx="54">
                  <c:v>372.30828779571362</c:v>
                </c:pt>
                <c:pt idx="55">
                  <c:v>371.75907286401383</c:v>
                </c:pt>
                <c:pt idx="56">
                  <c:v>370.82177758927588</c:v>
                </c:pt>
                <c:pt idx="57">
                  <c:v>370.50146471230244</c:v>
                </c:pt>
                <c:pt idx="58">
                  <c:v>367.18154567320261</c:v>
                </c:pt>
                <c:pt idx="59">
                  <c:v>366.47197717321478</c:v>
                </c:pt>
                <c:pt idx="60">
                  <c:v>366.05274693644753</c:v>
                </c:pt>
                <c:pt idx="61">
                  <c:v>364.81426220952926</c:v>
                </c:pt>
                <c:pt idx="62">
                  <c:v>362.93310580741087</c:v>
                </c:pt>
                <c:pt idx="63">
                  <c:v>359.96770877024142</c:v>
                </c:pt>
                <c:pt idx="64">
                  <c:v>358.07394083821504</c:v>
                </c:pt>
                <c:pt idx="65">
                  <c:v>355.68192834785265</c:v>
                </c:pt>
                <c:pt idx="66">
                  <c:v>349.21765318941254</c:v>
                </c:pt>
                <c:pt idx="67">
                  <c:v>344.35751495281488</c:v>
                </c:pt>
                <c:pt idx="68">
                  <c:v>338.79557966751861</c:v>
                </c:pt>
                <c:pt idx="69">
                  <c:v>329.92710849761477</c:v>
                </c:pt>
                <c:pt idx="70">
                  <c:v>319.28274658909282</c:v>
                </c:pt>
                <c:pt idx="71">
                  <c:v>305.63012397798741</c:v>
                </c:pt>
                <c:pt idx="72">
                  <c:v>288</c:v>
                </c:pt>
                <c:pt idx="73">
                  <c:v>280.18177169087397</c:v>
                </c:pt>
                <c:pt idx="74">
                  <c:v>262.4595118035237</c:v>
                </c:pt>
                <c:pt idx="75">
                  <c:v>229.95966813704842</c:v>
                </c:pt>
                <c:pt idx="76">
                  <c:v>204.65801162373211</c:v>
                </c:pt>
                <c:pt idx="77">
                  <c:v>195.909635630521</c:v>
                </c:pt>
                <c:pt idx="78">
                  <c:v>178.44050108515529</c:v>
                </c:pt>
                <c:pt idx="79">
                  <c:v>164.32320402029177</c:v>
                </c:pt>
                <c:pt idx="80">
                  <c:v>152.62246513351076</c:v>
                </c:pt>
                <c:pt idx="81">
                  <c:v>142.79105685853565</c:v>
                </c:pt>
                <c:pt idx="82">
                  <c:v>134.45692118533879</c:v>
                </c:pt>
                <c:pt idx="83">
                  <c:v>127.34164403559357</c:v>
                </c:pt>
                <c:pt idx="84">
                  <c:v>120.72126843756214</c:v>
                </c:pt>
                <c:pt idx="85">
                  <c:v>119.5557479255111</c:v>
                </c:pt>
                <c:pt idx="86">
                  <c:v>118.42392390178658</c:v>
                </c:pt>
                <c:pt idx="87">
                  <c:v>117.32449993826297</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'Phase envelope'!$I$7:$I$206</c:f>
              <c:numCache>
                <c:formatCode>0.000</c:formatCode>
                <c:ptCount val="200"/>
                <c:pt idx="0">
                  <c:v>0.1</c:v>
                </c:pt>
                <c:pt idx="1">
                  <c:v>0.11000000000000001</c:v>
                </c:pt>
                <c:pt idx="2">
                  <c:v>0.12100000000000002</c:v>
                </c:pt>
                <c:pt idx="3">
                  <c:v>0.13310000000000002</c:v>
                </c:pt>
                <c:pt idx="4">
                  <c:v>0.14750869738681047</c:v>
                </c:pt>
                <c:pt idx="5">
                  <c:v>0.16347005188921304</c:v>
                </c:pt>
                <c:pt idx="6">
                  <c:v>0.18114883491034164</c:v>
                </c:pt>
                <c:pt idx="7">
                  <c:v>0.20072662851523318</c:v>
                </c:pt>
                <c:pt idx="8">
                  <c:v>0.22240339272539583</c:v>
                </c:pt>
                <c:pt idx="9">
                  <c:v>0.24639908634897131</c:v>
                </c:pt>
                <c:pt idx="10">
                  <c:v>0.27295549654997275</c:v>
                </c:pt>
                <c:pt idx="11">
                  <c:v>0.30233813178649815</c:v>
                </c:pt>
                <c:pt idx="12">
                  <c:v>0.33483821778178474</c:v>
                </c:pt>
                <c:pt idx="13">
                  <c:v>0.36616765112530603</c:v>
                </c:pt>
                <c:pt idx="14">
                  <c:v>0.40540609090301782</c:v>
                </c:pt>
                <c:pt idx="15">
                  <c:v>0.44876240537058376</c:v>
                </c:pt>
                <c:pt idx="16">
                  <c:v>0.49664795272792533</c:v>
                </c:pt>
                <c:pt idx="17">
                  <c:v>0.54951049716256029</c:v>
                </c:pt>
                <c:pt idx="18">
                  <c:v>0.60783670731890527</c:v>
                </c:pt>
                <c:pt idx="19">
                  <c:v>0.67215378962628858</c:v>
                </c:pt>
                <c:pt idx="20">
                  <c:v>0.743031646623874</c:v>
                </c:pt>
                <c:pt idx="21">
                  <c:v>0.82108452850999769</c:v>
                </c:pt>
                <c:pt idx="22">
                  <c:v>0.90697229238330912</c:v>
                </c:pt>
                <c:pt idx="23">
                  <c:v>1.0014011262963913</c:v>
                </c:pt>
                <c:pt idx="24">
                  <c:v>1.1051235651440525</c:v>
                </c:pt>
                <c:pt idx="25">
                  <c:v>1.2189375910159341</c:v>
                </c:pt>
                <c:pt idx="26">
                  <c:v>1.343684572186933</c:v>
                </c:pt>
                <c:pt idx="27">
                  <c:v>1.4802457529845208</c:v>
                </c:pt>
                <c:pt idx="28">
                  <c:v>1.6295369626435074</c:v>
                </c:pt>
                <c:pt idx="29">
                  <c:v>1.7925011674953049</c:v>
                </c:pt>
                <c:pt idx="30">
                  <c:v>1.9700984513865496</c:v>
                </c:pt>
                <c:pt idx="31">
                  <c:v>2.1632929803895493</c:v>
                </c:pt>
                <c:pt idx="32">
                  <c:v>2.3730364988512953</c:v>
                </c:pt>
                <c:pt idx="33">
                  <c:v>2.600247927360634</c:v>
                </c:pt>
                <c:pt idx="34">
                  <c:v>2.8457887062543832</c:v>
                </c:pt>
                <c:pt idx="35">
                  <c:v>3.1104336715957652</c:v>
                </c:pt>
                <c:pt idx="36">
                  <c:v>3.3948374870776661</c:v>
                </c:pt>
                <c:pt idx="37">
                  <c:v>3.6994970062734414</c:v>
                </c:pt>
                <c:pt idx="38">
                  <c:v>4</c:v>
                </c:pt>
                <c:pt idx="39">
                  <c:v>4.3443143954388281</c:v>
                </c:pt>
                <c:pt idx="40">
                  <c:v>4.7090377082388883</c:v>
                </c:pt>
                <c:pt idx="41">
                  <c:v>5.0936461962738537</c:v>
                </c:pt>
                <c:pt idx="42">
                  <c:v>5.4972634515666963</c:v>
                </c:pt>
                <c:pt idx="43">
                  <c:v>5.9186418081265186</c:v>
                </c:pt>
                <c:pt idx="44">
                  <c:v>6.3561570134160243</c:v>
                </c:pt>
                <c:pt idx="45">
                  <c:v>6.8078421291563798</c:v>
                </c:pt>
                <c:pt idx="46">
                  <c:v>7.2070305346306069</c:v>
                </c:pt>
                <c:pt idx="47">
                  <c:v>7.7447937252323698</c:v>
                </c:pt>
                <c:pt idx="48">
                  <c:v>8.2258190375977609</c:v>
                </c:pt>
                <c:pt idx="49">
                  <c:v>8.7134303121625454</c:v>
                </c:pt>
                <c:pt idx="50">
                  <c:v>9.0144801166175927</c:v>
                </c:pt>
                <c:pt idx="51">
                  <c:v>9.2588736528792541</c:v>
                </c:pt>
                <c:pt idx="52">
                  <c:v>9.6533388901262907</c:v>
                </c:pt>
                <c:pt idx="53">
                  <c:v>9.7852289250172095</c:v>
                </c:pt>
                <c:pt idx="54">
                  <c:v>10.002329812246966</c:v>
                </c:pt>
                <c:pt idx="55">
                  <c:v>10.075627243123716</c:v>
                </c:pt>
                <c:pt idx="56">
                  <c:v>10.195118790121873</c:v>
                </c:pt>
                <c:pt idx="57">
                  <c:v>10.234453227484758</c:v>
                </c:pt>
                <c:pt idx="58">
                  <c:v>10.593134466921029</c:v>
                </c:pt>
                <c:pt idx="59">
                  <c:v>10.662058300348775</c:v>
                </c:pt>
                <c:pt idx="60">
                  <c:v>10.701127960116171</c:v>
                </c:pt>
                <c:pt idx="61">
                  <c:v>10.810155130904224</c:v>
                </c:pt>
                <c:pt idx="62">
                  <c:v>10.958990069729381</c:v>
                </c:pt>
                <c:pt idx="63">
                  <c:v>11.156709626515871</c:v>
                </c:pt>
                <c:pt idx="64">
                  <c:v>11.26182956784443</c:v>
                </c:pt>
                <c:pt idx="65">
                  <c:v>11.373735737713028</c:v>
                </c:pt>
                <c:pt idx="66">
                  <c:v>11.578604371691494</c:v>
                </c:pt>
                <c:pt idx="67">
                  <c:v>11.657456658294972</c:v>
                </c:pt>
                <c:pt idx="68">
                  <c:v>11.686040497835585</c:v>
                </c:pt>
                <c:pt idx="69">
                  <c:v>11.623784087593741</c:v>
                </c:pt>
                <c:pt idx="70">
                  <c:v>11.411018323883669</c:v>
                </c:pt>
                <c:pt idx="71">
                  <c:v>10.963321832662757</c:v>
                </c:pt>
                <c:pt idx="72">
                  <c:v>10.148580781922213</c:v>
                </c:pt>
                <c:pt idx="73">
                  <c:v>9.7134726724777352</c:v>
                </c:pt>
                <c:pt idx="74">
                  <c:v>8.5803805188766091</c:v>
                </c:pt>
                <c:pt idx="75">
                  <c:v>6.0849729856685144</c:v>
                </c:pt>
                <c:pt idx="76">
                  <c:v>4</c:v>
                </c:pt>
                <c:pt idx="77">
                  <c:v>3.3195651648336195</c:v>
                </c:pt>
                <c:pt idx="78">
                  <c:v>2.1172006096136329</c:v>
                </c:pt>
                <c:pt idx="79">
                  <c:v>1.3447695867371294</c:v>
                </c:pt>
                <c:pt idx="80">
                  <c:v>0.85289971152730004</c:v>
                </c:pt>
                <c:pt idx="81">
                  <c:v>0.54080569166433179</c:v>
                </c:pt>
                <c:pt idx="82">
                  <c:v>0.34309848265615983</c:v>
                </c:pt>
                <c:pt idx="83">
                  <c:v>0.21790527932023451</c:v>
                </c:pt>
                <c:pt idx="84">
                  <c:v>0.13310000000000002</c:v>
                </c:pt>
                <c:pt idx="85">
                  <c:v>0.12100000000000002</c:v>
                </c:pt>
                <c:pt idx="86">
                  <c:v>0.11000000000000001</c:v>
                </c:pt>
                <c:pt idx="87">
                  <c:v>0.1</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yVal>
          <c:smooth val="1"/>
          <c:extLst>
            <c:ext xmlns:c16="http://schemas.microsoft.com/office/drawing/2014/chart" uri="{C3380CC4-5D6E-409C-BE32-E72D297353CC}">
              <c16:uniqueId val="{00000000-5993-4C61-802F-7203D8963C0A}"/>
            </c:ext>
          </c:extLst>
        </c:ser>
        <c:dLbls>
          <c:showLegendKey val="0"/>
          <c:showVal val="0"/>
          <c:showCatName val="0"/>
          <c:showSerName val="0"/>
          <c:showPercent val="0"/>
          <c:showBubbleSize val="0"/>
        </c:dLbls>
        <c:axId val="329178112"/>
        <c:axId val="330568832"/>
      </c:scatterChart>
      <c:valAx>
        <c:axId val="329178112"/>
        <c:scaling>
          <c:orientation val="minMax"/>
        </c:scaling>
        <c:delete val="0"/>
        <c:axPos val="b"/>
        <c:minorGridlines>
          <c:spPr>
            <a:ln>
              <a:noFill/>
            </a:ln>
          </c:spPr>
        </c:minorGridlines>
        <c:title>
          <c:tx>
            <c:rich>
              <a:bodyPr/>
              <a:lstStyle/>
              <a:p>
                <a:pPr>
                  <a:defRPr sz="1600" b="0" i="0" u="none" strike="noStrike" baseline="0">
                    <a:solidFill>
                      <a:srgbClr val="000000"/>
                    </a:solidFill>
                    <a:latin typeface="Calibri"/>
                    <a:ea typeface="Calibri"/>
                    <a:cs typeface="Calibri"/>
                  </a:defRPr>
                </a:pPr>
                <a:r>
                  <a:rPr lang="de-DE" b="1" i="1"/>
                  <a:t>T</a:t>
                </a:r>
                <a:r>
                  <a:rPr lang="de-DE" b="1"/>
                  <a:t> / K</a:t>
                </a:r>
              </a:p>
            </c:rich>
          </c:tx>
          <c:layout>
            <c:manualLayout>
              <c:xMode val="edge"/>
              <c:yMode val="edge"/>
              <c:x val="0.47633214285714287"/>
              <c:y val="0.94236929421400173"/>
            </c:manualLayout>
          </c:layout>
          <c:overlay val="0"/>
        </c:title>
        <c:numFmt formatCode="0" sourceLinked="0"/>
        <c:majorTickMark val="in"/>
        <c:minorTickMark val="none"/>
        <c:tickLblPos val="nextTo"/>
        <c:spPr>
          <a:ln w="19050">
            <a:solidFill>
              <a:schemeClr val="tx1"/>
            </a:solidFill>
          </a:ln>
        </c:spPr>
        <c:txPr>
          <a:bodyPr rot="0" vert="horz"/>
          <a:lstStyle/>
          <a:p>
            <a:pPr>
              <a:defRPr sz="1400" b="0" i="0" u="none" strike="noStrike" baseline="0">
                <a:solidFill>
                  <a:srgbClr val="000000"/>
                </a:solidFill>
                <a:latin typeface="Calibri"/>
                <a:ea typeface="Calibri"/>
                <a:cs typeface="Calibri"/>
              </a:defRPr>
            </a:pPr>
            <a:endParaRPr lang="de-DE"/>
          </a:p>
        </c:txPr>
        <c:crossAx val="330568832"/>
        <c:crosses val="autoZero"/>
        <c:crossBetween val="midCat"/>
      </c:valAx>
      <c:valAx>
        <c:axId val="330568832"/>
        <c:scaling>
          <c:orientation val="minMax"/>
        </c:scaling>
        <c:delete val="0"/>
        <c:axPos val="l"/>
        <c:majorGridlines>
          <c:spPr>
            <a:ln>
              <a:prstDash val="lgDash"/>
            </a:ln>
          </c:spPr>
        </c:majorGridlines>
        <c:title>
          <c:tx>
            <c:rich>
              <a:bodyPr/>
              <a:lstStyle/>
              <a:p>
                <a:pPr>
                  <a:defRPr sz="1600" b="0" i="0" u="none" strike="noStrike" baseline="0">
                    <a:solidFill>
                      <a:srgbClr val="000000"/>
                    </a:solidFill>
                    <a:latin typeface="Calibri"/>
                    <a:ea typeface="Calibri"/>
                    <a:cs typeface="Calibri"/>
                  </a:defRPr>
                </a:pPr>
                <a:r>
                  <a:rPr lang="de-DE" b="1" i="1"/>
                  <a:t>p</a:t>
                </a:r>
                <a:r>
                  <a:rPr lang="de-DE" b="1"/>
                  <a:t> / MPa</a:t>
                </a:r>
              </a:p>
            </c:rich>
          </c:tx>
          <c:layout>
            <c:manualLayout>
              <c:xMode val="edge"/>
              <c:yMode val="edge"/>
              <c:x val="1.6571207951232819E-2"/>
              <c:y val="0.39831482603136203"/>
            </c:manualLayout>
          </c:layout>
          <c:overlay val="0"/>
        </c:title>
        <c:numFmt formatCode="0.0" sourceLinked="0"/>
        <c:majorTickMark val="in"/>
        <c:minorTickMark val="none"/>
        <c:tickLblPos val="nextTo"/>
        <c:spPr>
          <a:ln w="19050">
            <a:solidFill>
              <a:schemeClr val="tx1"/>
            </a:solidFill>
          </a:ln>
        </c:spPr>
        <c:txPr>
          <a:bodyPr rot="0" vert="horz"/>
          <a:lstStyle/>
          <a:p>
            <a:pPr>
              <a:defRPr sz="1400" b="0" i="0" u="none" strike="noStrike" baseline="0">
                <a:solidFill>
                  <a:srgbClr val="000000"/>
                </a:solidFill>
                <a:latin typeface="Calibri"/>
                <a:ea typeface="Calibri"/>
                <a:cs typeface="Calibri"/>
              </a:defRPr>
            </a:pPr>
            <a:endParaRPr lang="de-DE"/>
          </a:p>
        </c:txPr>
        <c:crossAx val="329178112"/>
        <c:crosses val="autoZero"/>
        <c:crossBetween val="midCat"/>
      </c:valAx>
      <c:spPr>
        <a:ln w="19050">
          <a:solidFill>
            <a:schemeClr val="tx1"/>
          </a:solidFill>
        </a:ln>
      </c:spPr>
    </c:plotArea>
    <c:plotVisOnly val="1"/>
    <c:dispBlanksAs val="gap"/>
    <c:showDLblsOverMax val="0"/>
  </c:chart>
  <c:spPr>
    <a:ln w="0">
      <a:solidFill>
        <a:sysClr val="windowText" lastClr="000000"/>
      </a:solidFill>
    </a:ln>
  </c:spPr>
  <c:txPr>
    <a:bodyPr/>
    <a:lstStyle/>
    <a:p>
      <a:pPr>
        <a:defRPr sz="1000" b="0" i="0" u="none" strike="noStrike" baseline="0">
          <a:solidFill>
            <a:srgbClr val="000000"/>
          </a:solidFill>
          <a:latin typeface="Calibri"/>
          <a:ea typeface="Calibri"/>
          <a:cs typeface="Calibri"/>
        </a:defRPr>
      </a:pPr>
      <a:endParaRPr lang="de-DE"/>
    </a:p>
  </c:txPr>
  <c:printSettings>
    <c:headerFooter/>
    <c:pageMargins b="0.78740157499999996" l="0.70000000000000062" r="0.70000000000000062" t="0.78740157499999996"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de-DE" sz="1800" b="1" i="1" u="none" strike="noStrike" baseline="0">
                <a:solidFill>
                  <a:srgbClr val="000000"/>
                </a:solidFill>
                <a:latin typeface="Calibri"/>
              </a:rPr>
              <a:t>p</a:t>
            </a:r>
            <a:r>
              <a:rPr lang="de-DE" sz="1800" b="1" i="0" u="none" strike="noStrike" baseline="0">
                <a:solidFill>
                  <a:srgbClr val="000000"/>
                </a:solidFill>
                <a:latin typeface="Calibri"/>
              </a:rPr>
              <a:t>-</a:t>
            </a:r>
            <a:r>
              <a:rPr lang="de-DE" sz="1800" b="1" i="1" u="none" strike="noStrike" baseline="0">
                <a:solidFill>
                  <a:srgbClr val="000000"/>
                </a:solidFill>
                <a:latin typeface="Symbol"/>
              </a:rPr>
              <a:t>r</a:t>
            </a:r>
            <a:r>
              <a:rPr lang="de-DE" sz="1800" b="1" i="0" u="none" strike="noStrike" baseline="0">
                <a:solidFill>
                  <a:srgbClr val="000000"/>
                </a:solidFill>
                <a:latin typeface="Calibri"/>
              </a:rPr>
              <a:t>  diagram</a:t>
            </a:r>
          </a:p>
        </c:rich>
      </c:tx>
      <c:layout>
        <c:manualLayout>
          <c:xMode val="edge"/>
          <c:yMode val="edge"/>
          <c:x val="0.44401259559154332"/>
          <c:y val="2.3059553671634318E-2"/>
        </c:manualLayout>
      </c:layout>
      <c:overlay val="1"/>
    </c:title>
    <c:autoTitleDeleted val="0"/>
    <c:plotArea>
      <c:layout>
        <c:manualLayout>
          <c:layoutTarget val="inner"/>
          <c:xMode val="edge"/>
          <c:yMode val="edge"/>
          <c:x val="0.11934156033425247"/>
          <c:y val="0.10484318871905718"/>
          <c:w val="0.83537666313681491"/>
          <c:h val="0.79370835710434995"/>
        </c:manualLayout>
      </c:layout>
      <c:scatterChart>
        <c:scatterStyle val="smoothMarker"/>
        <c:varyColors val="0"/>
        <c:ser>
          <c:idx val="0"/>
          <c:order val="0"/>
          <c:tx>
            <c:strRef>
              <c:f>'Phase envelope'!$J$4</c:f>
              <c:strCache>
                <c:ptCount val="1"/>
                <c:pt idx="0">
                  <c:v>Liquid density</c:v>
                </c:pt>
              </c:strCache>
            </c:strRef>
          </c:tx>
          <c:spPr>
            <a:ln w="28575">
              <a:solidFill>
                <a:srgbClr val="1F497D"/>
              </a:solidFill>
            </a:ln>
          </c:spPr>
          <c:marker>
            <c:symbol val="none"/>
          </c:marker>
          <c:xVal>
            <c:numRef>
              <c:f>'Phase envelope'!$J$7:$J$206</c:f>
              <c:numCache>
                <c:formatCode>#,##0.000</c:formatCode>
                <c:ptCount val="200"/>
                <c:pt idx="0">
                  <c:v>10687.409301262978</c:v>
                </c:pt>
                <c:pt idx="1">
                  <c:v>10650.910091952766</c:v>
                </c:pt>
                <c:pt idx="2">
                  <c:v>10613.63359040013</c:v>
                </c:pt>
                <c:pt idx="3">
                  <c:v>10575.554261570933</c:v>
                </c:pt>
                <c:pt idx="4">
                  <c:v>10533.557556434833</c:v>
                </c:pt>
                <c:pt idx="5">
                  <c:v>10490.579814007719</c:v>
                </c:pt>
                <c:pt idx="6">
                  <c:v>10446.590103575772</c:v>
                </c:pt>
                <c:pt idx="7">
                  <c:v>10401.556731540459</c:v>
                </c:pt>
                <c:pt idx="8">
                  <c:v>10355.447248936676</c:v>
                </c:pt>
                <c:pt idx="9">
                  <c:v>10308.228583636266</c:v>
                </c:pt>
                <c:pt idx="10">
                  <c:v>10259.866969669076</c:v>
                </c:pt>
                <c:pt idx="11">
                  <c:v>10210.328009166959</c:v>
                </c:pt>
                <c:pt idx="12">
                  <c:v>10159.576752047238</c:v>
                </c:pt>
                <c:pt idx="13">
                  <c:v>10114.028249628273</c:v>
                </c:pt>
                <c:pt idx="14">
                  <c:v>10060.904208777669</c:v>
                </c:pt>
                <c:pt idx="15">
                  <c:v>10006.465650008688</c:v>
                </c:pt>
                <c:pt idx="16">
                  <c:v>9950.6764815687857</c:v>
                </c:pt>
                <c:pt idx="17">
                  <c:v>9893.5007986457331</c:v>
                </c:pt>
                <c:pt idx="18">
                  <c:v>9834.9027962260861</c:v>
                </c:pt>
                <c:pt idx="19">
                  <c:v>9774.8475184777253</c:v>
                </c:pt>
                <c:pt idx="20">
                  <c:v>9713.3008555507913</c:v>
                </c:pt>
                <c:pt idx="21">
                  <c:v>9650.2298631768335</c:v>
                </c:pt>
                <c:pt idx="22">
                  <c:v>9585.6031306760833</c:v>
                </c:pt>
                <c:pt idx="23">
                  <c:v>9519.3912021139513</c:v>
                </c:pt>
                <c:pt idx="24">
                  <c:v>9451.567054414596</c:v>
                </c:pt>
                <c:pt idx="25">
                  <c:v>9382.1066352300277</c:v>
                </c:pt>
                <c:pt idx="26">
                  <c:v>9310.9894621152944</c:v>
                </c:pt>
                <c:pt idx="27">
                  <c:v>9238.1992830481286</c:v>
                </c:pt>
                <c:pt idx="28">
                  <c:v>9163.7247964266553</c:v>
                </c:pt>
                <c:pt idx="29">
                  <c:v>9087.5604263686091</c:v>
                </c:pt>
                <c:pt idx="30">
                  <c:v>9009.7071466035795</c:v>
                </c:pt>
                <c:pt idx="31">
                  <c:v>8930.1733433949812</c:v>
                </c:pt>
                <c:pt idx="32">
                  <c:v>8848.9757037629333</c:v>
                </c:pt>
                <c:pt idx="33">
                  <c:v>8766.1401065162318</c:v>
                </c:pt>
                <c:pt idx="34">
                  <c:v>8681.7024737843694</c:v>
                </c:pt>
                <c:pt idx="35">
                  <c:v>8595.7095022911872</c:v>
                </c:pt>
                <c:pt idx="36">
                  <c:v>8508.219134689356</c:v>
                </c:pt>
                <c:pt idx="37">
                  <c:v>8419.3005674831056</c:v>
                </c:pt>
                <c:pt idx="38">
                  <c:v>8335.7406458695659</c:v>
                </c:pt>
                <c:pt idx="39">
                  <c:v>8244.3018556725583</c:v>
                </c:pt>
                <c:pt idx="40">
                  <c:v>8151.6926460234163</c:v>
                </c:pt>
                <c:pt idx="41">
                  <c:v>8058.0127392281202</c:v>
                </c:pt>
                <c:pt idx="42">
                  <c:v>7963.3656071288051</c:v>
                </c:pt>
                <c:pt idx="43">
                  <c:v>7867.8603946500762</c:v>
                </c:pt>
                <c:pt idx="44">
                  <c:v>7771.6212849412977</c:v>
                </c:pt>
                <c:pt idx="45">
                  <c:v>7674.8019263201413</c:v>
                </c:pt>
                <c:pt idx="46">
                  <c:v>7590.9939161000439</c:v>
                </c:pt>
                <c:pt idx="47">
                  <c:v>7480.2255457483734</c:v>
                </c:pt>
                <c:pt idx="48">
                  <c:v>7382.7639424568542</c:v>
                </c:pt>
                <c:pt idx="49">
                  <c:v>7284.6665716221632</c:v>
                </c:pt>
                <c:pt idx="50">
                  <c:v>7223.5671080766851</c:v>
                </c:pt>
                <c:pt idx="51">
                  <c:v>7172.8279147910025</c:v>
                </c:pt>
                <c:pt idx="52">
                  <c:v>7085.9998221005799</c:v>
                </c:pt>
                <c:pt idx="53">
                  <c:v>7054.5579746802787</c:v>
                </c:pt>
                <c:pt idx="54">
                  <c:v>6997.8575632000538</c:v>
                </c:pt>
                <c:pt idx="55">
                  <c:v>6976.2789762739703</c:v>
                </c:pt>
                <c:pt idx="56">
                  <c:v>6934.1542482546138</c:v>
                </c:pt>
                <c:pt idx="57">
                  <c:v>6915.1550249100728</c:v>
                </c:pt>
                <c:pt idx="58">
                  <c:v>6783.4210450389992</c:v>
                </c:pt>
                <c:pt idx="59">
                  <c:v>6778.6397872533889</c:v>
                </c:pt>
                <c:pt idx="60">
                  <c:v>6770.325712371824</c:v>
                </c:pt>
                <c:pt idx="61">
                  <c:v>6736.8506843568794</c:v>
                </c:pt>
                <c:pt idx="62">
                  <c:v>6679.3962360290725</c:v>
                </c:pt>
                <c:pt idx="63">
                  <c:v>6591.2724201983565</c:v>
                </c:pt>
                <c:pt idx="64">
                  <c:v>6539.6446269433345</c:v>
                </c:pt>
                <c:pt idx="65">
                  <c:v>6480.5906724041015</c:v>
                </c:pt>
                <c:pt idx="66">
                  <c:v>6353.9316365532741</c:v>
                </c:pt>
                <c:pt idx="67">
                  <c:v>6284.4796054654125</c:v>
                </c:pt>
                <c:pt idx="68">
                  <c:v>6223.9465340600473</c:v>
                </c:pt>
                <c:pt idx="69">
                  <c:v>6153.5193019258259</c:v>
                </c:pt>
                <c:pt idx="70">
                  <c:v>6089.4069008210199</c:v>
                </c:pt>
                <c:pt idx="71">
                  <c:v>6011.3596794830137</c:v>
                </c:pt>
                <c:pt idx="72">
                  <c:v>5879.1361854303568</c:v>
                </c:pt>
                <c:pt idx="73">
                  <c:v>5798.3968416471371</c:v>
                </c:pt>
                <c:pt idx="74">
                  <c:v>5536.3418955380757</c:v>
                </c:pt>
                <c:pt idx="75">
                  <c:v>4598.4158361655809</c:v>
                </c:pt>
                <c:pt idx="76">
                  <c:v>3325.8448629343197</c:v>
                </c:pt>
                <c:pt idx="77">
                  <c:v>2816.6891931636401</c:v>
                </c:pt>
                <c:pt idx="78">
                  <c:v>1844.5121069066745</c:v>
                </c:pt>
                <c:pt idx="79">
                  <c:v>1194.8873227577405</c:v>
                </c:pt>
                <c:pt idx="80">
                  <c:v>775.82735790779316</c:v>
                </c:pt>
                <c:pt idx="81">
                  <c:v>505.96249314926121</c:v>
                </c:pt>
                <c:pt idx="82">
                  <c:v>331.23247580343133</c:v>
                </c:pt>
                <c:pt idx="83">
                  <c:v>217.45911160929117</c:v>
                </c:pt>
                <c:pt idx="84">
                  <c:v>137.78944319611765</c:v>
                </c:pt>
                <c:pt idx="85">
                  <c:v>126.15293167601028</c:v>
                </c:pt>
                <c:pt idx="86">
                  <c:v>115.4968442408596</c:v>
                </c:pt>
                <c:pt idx="87">
                  <c:v>105.7381865113889</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'Phase envelope'!$I$7:$I$206</c:f>
              <c:numCache>
                <c:formatCode>0.000</c:formatCode>
                <c:ptCount val="200"/>
                <c:pt idx="0">
                  <c:v>0.1</c:v>
                </c:pt>
                <c:pt idx="1">
                  <c:v>0.11000000000000001</c:v>
                </c:pt>
                <c:pt idx="2">
                  <c:v>0.12100000000000002</c:v>
                </c:pt>
                <c:pt idx="3">
                  <c:v>0.13310000000000002</c:v>
                </c:pt>
                <c:pt idx="4">
                  <c:v>0.14750869738681047</c:v>
                </c:pt>
                <c:pt idx="5">
                  <c:v>0.16347005188921304</c:v>
                </c:pt>
                <c:pt idx="6">
                  <c:v>0.18114883491034164</c:v>
                </c:pt>
                <c:pt idx="7">
                  <c:v>0.20072662851523318</c:v>
                </c:pt>
                <c:pt idx="8">
                  <c:v>0.22240339272539583</c:v>
                </c:pt>
                <c:pt idx="9">
                  <c:v>0.24639908634897131</c:v>
                </c:pt>
                <c:pt idx="10">
                  <c:v>0.27295549654997275</c:v>
                </c:pt>
                <c:pt idx="11">
                  <c:v>0.30233813178649815</c:v>
                </c:pt>
                <c:pt idx="12">
                  <c:v>0.33483821778178474</c:v>
                </c:pt>
                <c:pt idx="13">
                  <c:v>0.36616765112530603</c:v>
                </c:pt>
                <c:pt idx="14">
                  <c:v>0.40540609090301782</c:v>
                </c:pt>
                <c:pt idx="15">
                  <c:v>0.44876240537058376</c:v>
                </c:pt>
                <c:pt idx="16">
                  <c:v>0.49664795272792533</c:v>
                </c:pt>
                <c:pt idx="17">
                  <c:v>0.54951049716256029</c:v>
                </c:pt>
                <c:pt idx="18">
                  <c:v>0.60783670731890527</c:v>
                </c:pt>
                <c:pt idx="19">
                  <c:v>0.67215378962628858</c:v>
                </c:pt>
                <c:pt idx="20">
                  <c:v>0.743031646623874</c:v>
                </c:pt>
                <c:pt idx="21">
                  <c:v>0.82108452850999769</c:v>
                </c:pt>
                <c:pt idx="22">
                  <c:v>0.90697229238330912</c:v>
                </c:pt>
                <c:pt idx="23">
                  <c:v>1.0014011262963913</c:v>
                </c:pt>
                <c:pt idx="24">
                  <c:v>1.1051235651440525</c:v>
                </c:pt>
                <c:pt idx="25">
                  <c:v>1.2189375910159341</c:v>
                </c:pt>
                <c:pt idx="26">
                  <c:v>1.343684572186933</c:v>
                </c:pt>
                <c:pt idx="27">
                  <c:v>1.4802457529845208</c:v>
                </c:pt>
                <c:pt idx="28">
                  <c:v>1.6295369626435074</c:v>
                </c:pt>
                <c:pt idx="29">
                  <c:v>1.7925011674953049</c:v>
                </c:pt>
                <c:pt idx="30">
                  <c:v>1.9700984513865496</c:v>
                </c:pt>
                <c:pt idx="31">
                  <c:v>2.1632929803895493</c:v>
                </c:pt>
                <c:pt idx="32">
                  <c:v>2.3730364988512953</c:v>
                </c:pt>
                <c:pt idx="33">
                  <c:v>2.600247927360634</c:v>
                </c:pt>
                <c:pt idx="34">
                  <c:v>2.8457887062543832</c:v>
                </c:pt>
                <c:pt idx="35">
                  <c:v>3.1104336715957652</c:v>
                </c:pt>
                <c:pt idx="36">
                  <c:v>3.3948374870776661</c:v>
                </c:pt>
                <c:pt idx="37">
                  <c:v>3.6994970062734414</c:v>
                </c:pt>
                <c:pt idx="38">
                  <c:v>4</c:v>
                </c:pt>
                <c:pt idx="39">
                  <c:v>4.3443143954388281</c:v>
                </c:pt>
                <c:pt idx="40">
                  <c:v>4.7090377082388883</c:v>
                </c:pt>
                <c:pt idx="41">
                  <c:v>5.0936461962738537</c:v>
                </c:pt>
                <c:pt idx="42">
                  <c:v>5.4972634515666963</c:v>
                </c:pt>
                <c:pt idx="43">
                  <c:v>5.9186418081265186</c:v>
                </c:pt>
                <c:pt idx="44">
                  <c:v>6.3561570134160243</c:v>
                </c:pt>
                <c:pt idx="45">
                  <c:v>6.8078421291563798</c:v>
                </c:pt>
                <c:pt idx="46">
                  <c:v>7.2070305346306069</c:v>
                </c:pt>
                <c:pt idx="47">
                  <c:v>7.7447937252323698</c:v>
                </c:pt>
                <c:pt idx="48">
                  <c:v>8.2258190375977609</c:v>
                </c:pt>
                <c:pt idx="49">
                  <c:v>8.7134303121625454</c:v>
                </c:pt>
                <c:pt idx="50">
                  <c:v>9.0144801166175927</c:v>
                </c:pt>
                <c:pt idx="51">
                  <c:v>9.2588736528792541</c:v>
                </c:pt>
                <c:pt idx="52">
                  <c:v>9.6533388901262907</c:v>
                </c:pt>
                <c:pt idx="53">
                  <c:v>9.7852289250172095</c:v>
                </c:pt>
                <c:pt idx="54">
                  <c:v>10.002329812246966</c:v>
                </c:pt>
                <c:pt idx="55">
                  <c:v>10.075627243123716</c:v>
                </c:pt>
                <c:pt idx="56">
                  <c:v>10.195118790121873</c:v>
                </c:pt>
                <c:pt idx="57">
                  <c:v>10.234453227484758</c:v>
                </c:pt>
                <c:pt idx="58">
                  <c:v>10.593134466921029</c:v>
                </c:pt>
                <c:pt idx="59">
                  <c:v>10.662058300348775</c:v>
                </c:pt>
                <c:pt idx="60">
                  <c:v>10.701127960116171</c:v>
                </c:pt>
                <c:pt idx="61">
                  <c:v>10.810155130904224</c:v>
                </c:pt>
                <c:pt idx="62">
                  <c:v>10.958990069729381</c:v>
                </c:pt>
                <c:pt idx="63">
                  <c:v>11.156709626515871</c:v>
                </c:pt>
                <c:pt idx="64">
                  <c:v>11.26182956784443</c:v>
                </c:pt>
                <c:pt idx="65">
                  <c:v>11.373735737713028</c:v>
                </c:pt>
                <c:pt idx="66">
                  <c:v>11.578604371691494</c:v>
                </c:pt>
                <c:pt idx="67">
                  <c:v>11.657456658294972</c:v>
                </c:pt>
                <c:pt idx="68">
                  <c:v>11.686040497835585</c:v>
                </c:pt>
                <c:pt idx="69">
                  <c:v>11.623784087593741</c:v>
                </c:pt>
                <c:pt idx="70">
                  <c:v>11.411018323883669</c:v>
                </c:pt>
                <c:pt idx="71">
                  <c:v>10.963321832662757</c:v>
                </c:pt>
                <c:pt idx="72">
                  <c:v>10.148580781922213</c:v>
                </c:pt>
                <c:pt idx="73">
                  <c:v>9.7134726724777352</c:v>
                </c:pt>
                <c:pt idx="74">
                  <c:v>8.5803805188766091</c:v>
                </c:pt>
                <c:pt idx="75">
                  <c:v>6.0849729856685144</c:v>
                </c:pt>
                <c:pt idx="76">
                  <c:v>4</c:v>
                </c:pt>
                <c:pt idx="77">
                  <c:v>3.3195651648336195</c:v>
                </c:pt>
                <c:pt idx="78">
                  <c:v>2.1172006096136329</c:v>
                </c:pt>
                <c:pt idx="79">
                  <c:v>1.3447695867371294</c:v>
                </c:pt>
                <c:pt idx="80">
                  <c:v>0.85289971152730004</c:v>
                </c:pt>
                <c:pt idx="81">
                  <c:v>0.54080569166433179</c:v>
                </c:pt>
                <c:pt idx="82">
                  <c:v>0.34309848265615983</c:v>
                </c:pt>
                <c:pt idx="83">
                  <c:v>0.21790527932023451</c:v>
                </c:pt>
                <c:pt idx="84">
                  <c:v>0.13310000000000002</c:v>
                </c:pt>
                <c:pt idx="85">
                  <c:v>0.12100000000000002</c:v>
                </c:pt>
                <c:pt idx="86">
                  <c:v>0.11000000000000001</c:v>
                </c:pt>
                <c:pt idx="87">
                  <c:v>0.1</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yVal>
          <c:smooth val="1"/>
          <c:extLst>
            <c:ext xmlns:c16="http://schemas.microsoft.com/office/drawing/2014/chart" uri="{C3380CC4-5D6E-409C-BE32-E72D297353CC}">
              <c16:uniqueId val="{00000000-2AE6-48B0-8924-9412F3828FD6}"/>
            </c:ext>
          </c:extLst>
        </c:ser>
        <c:ser>
          <c:idx val="1"/>
          <c:order val="1"/>
          <c:tx>
            <c:strRef>
              <c:f>'Phase envelope'!$K$4</c:f>
              <c:strCache>
                <c:ptCount val="1"/>
                <c:pt idx="0">
                  <c:v>Vapor density</c:v>
                </c:pt>
              </c:strCache>
            </c:strRef>
          </c:tx>
          <c:spPr>
            <a:ln>
              <a:solidFill>
                <a:srgbClr val="95C11C"/>
              </a:solidFill>
            </a:ln>
          </c:spPr>
          <c:marker>
            <c:symbol val="none"/>
          </c:marker>
          <c:xVal>
            <c:numRef>
              <c:f>'Phase envelope'!$K$7:$K$206</c:f>
              <c:numCache>
                <c:formatCode>#,##0.000</c:formatCode>
                <c:ptCount val="200"/>
                <c:pt idx="0">
                  <c:v>48.044722935060953</c:v>
                </c:pt>
                <c:pt idx="1">
                  <c:v>52.480272259956465</c:v>
                </c:pt>
                <c:pt idx="2">
                  <c:v>57.326132206154689</c:v>
                </c:pt>
                <c:pt idx="3">
                  <c:v>62.620699786125122</c:v>
                </c:pt>
                <c:pt idx="4">
                  <c:v>68.881969211393894</c:v>
                </c:pt>
                <c:pt idx="5">
                  <c:v>75.769199068206348</c:v>
                </c:pt>
                <c:pt idx="6">
                  <c:v>83.344995094154697</c:v>
                </c:pt>
                <c:pt idx="7">
                  <c:v>91.678221168584543</c:v>
                </c:pt>
                <c:pt idx="8">
                  <c:v>100.84462706016765</c:v>
                </c:pt>
                <c:pt idx="9">
                  <c:v>110.92751449576365</c:v>
                </c:pt>
                <c:pt idx="10">
                  <c:v>122.01851350520376</c:v>
                </c:pt>
                <c:pt idx="11">
                  <c:v>134.21841499883942</c:v>
                </c:pt>
                <c:pt idx="12">
                  <c:v>147.63808657229765</c:v>
                </c:pt>
                <c:pt idx="13">
                  <c:v>160.51111286611956</c:v>
                </c:pt>
                <c:pt idx="14">
                  <c:v>176.55991395959674</c:v>
                </c:pt>
                <c:pt idx="15">
                  <c:v>194.21316123228124</c:v>
                </c:pt>
                <c:pt idx="16">
                  <c:v>213.6312876615124</c:v>
                </c:pt>
                <c:pt idx="17">
                  <c:v>234.99074683998376</c:v>
                </c:pt>
                <c:pt idx="18">
                  <c:v>258.48573117919301</c:v>
                </c:pt>
                <c:pt idx="19">
                  <c:v>284.32974378434187</c:v>
                </c:pt>
                <c:pt idx="20">
                  <c:v>312.75763226115379</c:v>
                </c:pt>
                <c:pt idx="21">
                  <c:v>344.02772240889817</c:v>
                </c:pt>
                <c:pt idx="22">
                  <c:v>378.42416512966957</c:v>
                </c:pt>
                <c:pt idx="23">
                  <c:v>416.25951784709889</c:v>
                </c:pt>
                <c:pt idx="24">
                  <c:v>457.87758386264869</c:v>
                </c:pt>
                <c:pt idx="25">
                  <c:v>503.65653538624633</c:v>
                </c:pt>
                <c:pt idx="26">
                  <c:v>554.01234851750621</c:v>
                </c:pt>
                <c:pt idx="27">
                  <c:v>609.40258124350999</c:v>
                </c:pt>
                <c:pt idx="28">
                  <c:v>670.3305285541951</c:v>
                </c:pt>
                <c:pt idx="29">
                  <c:v>737.3497921319464</c:v>
                </c:pt>
                <c:pt idx="30">
                  <c:v>811.06930574489024</c:v>
                </c:pt>
                <c:pt idx="31">
                  <c:v>892.15886153474082</c:v>
                </c:pt>
                <c:pt idx="32">
                  <c:v>981.3551869388308</c:v>
                </c:pt>
                <c:pt idx="33">
                  <c:v>1079.4686271394053</c:v>
                </c:pt>
                <c:pt idx="34">
                  <c:v>1187.3904939717572</c:v>
                </c:pt>
                <c:pt idx="35">
                  <c:v>1306.1011495914172</c:v>
                </c:pt>
                <c:pt idx="36">
                  <c:v>1436.6789025926548</c:v>
                </c:pt>
                <c:pt idx="37">
                  <c:v>1580.3098067717253</c:v>
                </c:pt>
                <c:pt idx="38">
                  <c:v>1726.1153665336426</c:v>
                </c:pt>
                <c:pt idx="39">
                  <c:v>1898.6828750408667</c:v>
                </c:pt>
                <c:pt idx="40">
                  <c:v>2088.4992818792175</c:v>
                </c:pt>
                <c:pt idx="41">
                  <c:v>2297.2897189791734</c:v>
                </c:pt>
                <c:pt idx="42">
                  <c:v>2526.9525747160424</c:v>
                </c:pt>
                <c:pt idx="43">
                  <c:v>2779.5785369874352</c:v>
                </c:pt>
                <c:pt idx="44">
                  <c:v>3057.4673502534401</c:v>
                </c:pt>
                <c:pt idx="45">
                  <c:v>3363.1484090032986</c:v>
                </c:pt>
                <c:pt idx="46">
                  <c:v>3651.1881407468131</c:v>
                </c:pt>
                <c:pt idx="47">
                  <c:v>4069.271988406967</c:v>
                </c:pt>
                <c:pt idx="48">
                  <c:v>4476.1255464317064</c:v>
                </c:pt>
                <c:pt idx="49">
                  <c:v>4923.7419348611056</c:v>
                </c:pt>
                <c:pt idx="50">
                  <c:v>5219.0075959645728</c:v>
                </c:pt>
                <c:pt idx="51">
                  <c:v>5469.7696133703557</c:v>
                </c:pt>
                <c:pt idx="52">
                  <c:v>5896.3011375146234</c:v>
                </c:pt>
                <c:pt idx="53">
                  <c:v>6045.2300950267345</c:v>
                </c:pt>
                <c:pt idx="54">
                  <c:v>6297.8638488196275</c:v>
                </c:pt>
                <c:pt idx="55">
                  <c:v>6385.4047281687162</c:v>
                </c:pt>
                <c:pt idx="56">
                  <c:v>6530.7278017675117</c:v>
                </c:pt>
                <c:pt idx="57">
                  <c:v>6579.2937538837778</c:v>
                </c:pt>
                <c:pt idx="58">
                  <c:v>7047.7845261154343</c:v>
                </c:pt>
                <c:pt idx="59">
                  <c:v>7142.1630079713104</c:v>
                </c:pt>
                <c:pt idx="60">
                  <c:v>7196.7563999947888</c:v>
                </c:pt>
                <c:pt idx="61">
                  <c:v>7353.4884614652165</c:v>
                </c:pt>
                <c:pt idx="62">
                  <c:v>7579.6335713323624</c:v>
                </c:pt>
                <c:pt idx="63">
                  <c:v>7910.0961235118566</c:v>
                </c:pt>
                <c:pt idx="64">
                  <c:v>8106.3814311977249</c:v>
                </c:pt>
                <c:pt idx="65">
                  <c:v>8339.9274457542324</c:v>
                </c:pt>
                <c:pt idx="66">
                  <c:v>8905.080921250732</c:v>
                </c:pt>
                <c:pt idx="67">
                  <c:v>9280.4204481434572</c:v>
                </c:pt>
                <c:pt idx="68">
                  <c:v>9670.761022788005</c:v>
                </c:pt>
                <c:pt idx="69">
                  <c:v>10227.7759663942</c:v>
                </c:pt>
                <c:pt idx="70">
                  <c:v>10818.447501972176</c:v>
                </c:pt>
                <c:pt idx="71">
                  <c:v>11487.698837851565</c:v>
                </c:pt>
                <c:pt idx="72">
                  <c:v>12249.407736747897</c:v>
                </c:pt>
                <c:pt idx="73">
                  <c:v>12559.873334388612</c:v>
                </c:pt>
                <c:pt idx="74">
                  <c:v>13217.769835170709</c:v>
                </c:pt>
                <c:pt idx="75">
                  <c:v>14311.674205622852</c:v>
                </c:pt>
                <c:pt idx="76">
                  <c:v>15106.395068222952</c:v>
                </c:pt>
                <c:pt idx="77">
                  <c:v>15375.285763437843</c:v>
                </c:pt>
                <c:pt idx="78">
                  <c:v>15906.996208965611</c:v>
                </c:pt>
                <c:pt idx="79">
                  <c:v>16332.215660124604</c:v>
                </c:pt>
                <c:pt idx="80">
                  <c:v>16680.504012833113</c:v>
                </c:pt>
                <c:pt idx="81">
                  <c:v>16968.308510658415</c:v>
                </c:pt>
                <c:pt idx="82">
                  <c:v>17206.522182215846</c:v>
                </c:pt>
                <c:pt idx="83">
                  <c:v>17403.247768114699</c:v>
                </c:pt>
                <c:pt idx="84">
                  <c:v>17577.876603578407</c:v>
                </c:pt>
                <c:pt idx="85">
                  <c:v>17607.499701853838</c:v>
                </c:pt>
                <c:pt idx="86">
                  <c:v>17635.883453126622</c:v>
                </c:pt>
                <c:pt idx="87">
                  <c:v>17663.067326174965</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'Phase envelope'!$I$7:$I$206</c:f>
              <c:numCache>
                <c:formatCode>0.000</c:formatCode>
                <c:ptCount val="200"/>
                <c:pt idx="0">
                  <c:v>0.1</c:v>
                </c:pt>
                <c:pt idx="1">
                  <c:v>0.11000000000000001</c:v>
                </c:pt>
                <c:pt idx="2">
                  <c:v>0.12100000000000002</c:v>
                </c:pt>
                <c:pt idx="3">
                  <c:v>0.13310000000000002</c:v>
                </c:pt>
                <c:pt idx="4">
                  <c:v>0.14750869738681047</c:v>
                </c:pt>
                <c:pt idx="5">
                  <c:v>0.16347005188921304</c:v>
                </c:pt>
                <c:pt idx="6">
                  <c:v>0.18114883491034164</c:v>
                </c:pt>
                <c:pt idx="7">
                  <c:v>0.20072662851523318</c:v>
                </c:pt>
                <c:pt idx="8">
                  <c:v>0.22240339272539583</c:v>
                </c:pt>
                <c:pt idx="9">
                  <c:v>0.24639908634897131</c:v>
                </c:pt>
                <c:pt idx="10">
                  <c:v>0.27295549654997275</c:v>
                </c:pt>
                <c:pt idx="11">
                  <c:v>0.30233813178649815</c:v>
                </c:pt>
                <c:pt idx="12">
                  <c:v>0.33483821778178474</c:v>
                </c:pt>
                <c:pt idx="13">
                  <c:v>0.36616765112530603</c:v>
                </c:pt>
                <c:pt idx="14">
                  <c:v>0.40540609090301782</c:v>
                </c:pt>
                <c:pt idx="15">
                  <c:v>0.44876240537058376</c:v>
                </c:pt>
                <c:pt idx="16">
                  <c:v>0.49664795272792533</c:v>
                </c:pt>
                <c:pt idx="17">
                  <c:v>0.54951049716256029</c:v>
                </c:pt>
                <c:pt idx="18">
                  <c:v>0.60783670731890527</c:v>
                </c:pt>
                <c:pt idx="19">
                  <c:v>0.67215378962628858</c:v>
                </c:pt>
                <c:pt idx="20">
                  <c:v>0.743031646623874</c:v>
                </c:pt>
                <c:pt idx="21">
                  <c:v>0.82108452850999769</c:v>
                </c:pt>
                <c:pt idx="22">
                  <c:v>0.90697229238330912</c:v>
                </c:pt>
                <c:pt idx="23">
                  <c:v>1.0014011262963913</c:v>
                </c:pt>
                <c:pt idx="24">
                  <c:v>1.1051235651440525</c:v>
                </c:pt>
                <c:pt idx="25">
                  <c:v>1.2189375910159341</c:v>
                </c:pt>
                <c:pt idx="26">
                  <c:v>1.343684572186933</c:v>
                </c:pt>
                <c:pt idx="27">
                  <c:v>1.4802457529845208</c:v>
                </c:pt>
                <c:pt idx="28">
                  <c:v>1.6295369626435074</c:v>
                </c:pt>
                <c:pt idx="29">
                  <c:v>1.7925011674953049</c:v>
                </c:pt>
                <c:pt idx="30">
                  <c:v>1.9700984513865496</c:v>
                </c:pt>
                <c:pt idx="31">
                  <c:v>2.1632929803895493</c:v>
                </c:pt>
                <c:pt idx="32">
                  <c:v>2.3730364988512953</c:v>
                </c:pt>
                <c:pt idx="33">
                  <c:v>2.600247927360634</c:v>
                </c:pt>
                <c:pt idx="34">
                  <c:v>2.8457887062543832</c:v>
                </c:pt>
                <c:pt idx="35">
                  <c:v>3.1104336715957652</c:v>
                </c:pt>
                <c:pt idx="36">
                  <c:v>3.3948374870776661</c:v>
                </c:pt>
                <c:pt idx="37">
                  <c:v>3.6994970062734414</c:v>
                </c:pt>
                <c:pt idx="38">
                  <c:v>4</c:v>
                </c:pt>
                <c:pt idx="39">
                  <c:v>4.3443143954388281</c:v>
                </c:pt>
                <c:pt idx="40">
                  <c:v>4.7090377082388883</c:v>
                </c:pt>
                <c:pt idx="41">
                  <c:v>5.0936461962738537</c:v>
                </c:pt>
                <c:pt idx="42">
                  <c:v>5.4972634515666963</c:v>
                </c:pt>
                <c:pt idx="43">
                  <c:v>5.9186418081265186</c:v>
                </c:pt>
                <c:pt idx="44">
                  <c:v>6.3561570134160243</c:v>
                </c:pt>
                <c:pt idx="45">
                  <c:v>6.8078421291563798</c:v>
                </c:pt>
                <c:pt idx="46">
                  <c:v>7.2070305346306069</c:v>
                </c:pt>
                <c:pt idx="47">
                  <c:v>7.7447937252323698</c:v>
                </c:pt>
                <c:pt idx="48">
                  <c:v>8.2258190375977609</c:v>
                </c:pt>
                <c:pt idx="49">
                  <c:v>8.7134303121625454</c:v>
                </c:pt>
                <c:pt idx="50">
                  <c:v>9.0144801166175927</c:v>
                </c:pt>
                <c:pt idx="51">
                  <c:v>9.2588736528792541</c:v>
                </c:pt>
                <c:pt idx="52">
                  <c:v>9.6533388901262907</c:v>
                </c:pt>
                <c:pt idx="53">
                  <c:v>9.7852289250172095</c:v>
                </c:pt>
                <c:pt idx="54">
                  <c:v>10.002329812246966</c:v>
                </c:pt>
                <c:pt idx="55">
                  <c:v>10.075627243123716</c:v>
                </c:pt>
                <c:pt idx="56">
                  <c:v>10.195118790121873</c:v>
                </c:pt>
                <c:pt idx="57">
                  <c:v>10.234453227484758</c:v>
                </c:pt>
                <c:pt idx="58">
                  <c:v>10.593134466921029</c:v>
                </c:pt>
                <c:pt idx="59">
                  <c:v>10.662058300348775</c:v>
                </c:pt>
                <c:pt idx="60">
                  <c:v>10.701127960116171</c:v>
                </c:pt>
                <c:pt idx="61">
                  <c:v>10.810155130904224</c:v>
                </c:pt>
                <c:pt idx="62">
                  <c:v>10.958990069729381</c:v>
                </c:pt>
                <c:pt idx="63">
                  <c:v>11.156709626515871</c:v>
                </c:pt>
                <c:pt idx="64">
                  <c:v>11.26182956784443</c:v>
                </c:pt>
                <c:pt idx="65">
                  <c:v>11.373735737713028</c:v>
                </c:pt>
                <c:pt idx="66">
                  <c:v>11.578604371691494</c:v>
                </c:pt>
                <c:pt idx="67">
                  <c:v>11.657456658294972</c:v>
                </c:pt>
                <c:pt idx="68">
                  <c:v>11.686040497835585</c:v>
                </c:pt>
                <c:pt idx="69">
                  <c:v>11.623784087593741</c:v>
                </c:pt>
                <c:pt idx="70">
                  <c:v>11.411018323883669</c:v>
                </c:pt>
                <c:pt idx="71">
                  <c:v>10.963321832662757</c:v>
                </c:pt>
                <c:pt idx="72">
                  <c:v>10.148580781922213</c:v>
                </c:pt>
                <c:pt idx="73">
                  <c:v>9.7134726724777352</c:v>
                </c:pt>
                <c:pt idx="74">
                  <c:v>8.5803805188766091</c:v>
                </c:pt>
                <c:pt idx="75">
                  <c:v>6.0849729856685144</c:v>
                </c:pt>
                <c:pt idx="76">
                  <c:v>4</c:v>
                </c:pt>
                <c:pt idx="77">
                  <c:v>3.3195651648336195</c:v>
                </c:pt>
                <c:pt idx="78">
                  <c:v>2.1172006096136329</c:v>
                </c:pt>
                <c:pt idx="79">
                  <c:v>1.3447695867371294</c:v>
                </c:pt>
                <c:pt idx="80">
                  <c:v>0.85289971152730004</c:v>
                </c:pt>
                <c:pt idx="81">
                  <c:v>0.54080569166433179</c:v>
                </c:pt>
                <c:pt idx="82">
                  <c:v>0.34309848265615983</c:v>
                </c:pt>
                <c:pt idx="83">
                  <c:v>0.21790527932023451</c:v>
                </c:pt>
                <c:pt idx="84">
                  <c:v>0.13310000000000002</c:v>
                </c:pt>
                <c:pt idx="85">
                  <c:v>0.12100000000000002</c:v>
                </c:pt>
                <c:pt idx="86">
                  <c:v>0.11000000000000001</c:v>
                </c:pt>
                <c:pt idx="87">
                  <c:v>0.1</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yVal>
          <c:smooth val="1"/>
          <c:extLst>
            <c:ext xmlns:c16="http://schemas.microsoft.com/office/drawing/2014/chart" uri="{C3380CC4-5D6E-409C-BE32-E72D297353CC}">
              <c16:uniqueId val="{00000001-2AE6-48B0-8924-9412F3828FD6}"/>
            </c:ext>
          </c:extLst>
        </c:ser>
        <c:dLbls>
          <c:showLegendKey val="0"/>
          <c:showVal val="0"/>
          <c:showCatName val="0"/>
          <c:showSerName val="0"/>
          <c:showPercent val="0"/>
          <c:showBubbleSize val="0"/>
        </c:dLbls>
        <c:axId val="330625408"/>
        <c:axId val="330627328"/>
      </c:scatterChart>
      <c:valAx>
        <c:axId val="330625408"/>
        <c:scaling>
          <c:orientation val="minMax"/>
          <c:min val="0"/>
        </c:scaling>
        <c:delete val="0"/>
        <c:axPos val="b"/>
        <c:title>
          <c:tx>
            <c:rich>
              <a:bodyPr/>
              <a:lstStyle/>
              <a:p>
                <a:pPr>
                  <a:defRPr sz="1100" b="0" i="0" u="none" strike="noStrike" baseline="0">
                    <a:solidFill>
                      <a:srgbClr val="000000"/>
                    </a:solidFill>
                    <a:latin typeface="Calibri"/>
                    <a:ea typeface="Calibri"/>
                    <a:cs typeface="Calibri"/>
                  </a:defRPr>
                </a:pPr>
                <a:r>
                  <a:rPr lang="de-DE" sz="1600" b="1" i="1" u="none" strike="noStrike" baseline="0">
                    <a:solidFill>
                      <a:srgbClr val="000000"/>
                    </a:solidFill>
                    <a:latin typeface="Symbol" panose="05050102010706020507" pitchFamily="18" charset="2"/>
                  </a:rPr>
                  <a:t>r</a:t>
                </a:r>
                <a:r>
                  <a:rPr lang="de-DE" sz="1600" b="1" i="0" u="none" strike="noStrike" baseline="0">
                    <a:solidFill>
                      <a:srgbClr val="000000"/>
                    </a:solidFill>
                    <a:latin typeface="Calibri"/>
                  </a:rPr>
                  <a:t> / mol/m</a:t>
                </a:r>
                <a:r>
                  <a:rPr lang="de-DE" sz="1600" b="1" i="0" u="none" strike="noStrike" baseline="30000">
                    <a:solidFill>
                      <a:srgbClr val="000000"/>
                    </a:solidFill>
                    <a:latin typeface="Calibri"/>
                  </a:rPr>
                  <a:t>3</a:t>
                </a:r>
              </a:p>
            </c:rich>
          </c:tx>
          <c:layout>
            <c:manualLayout>
              <c:xMode val="edge"/>
              <c:yMode val="edge"/>
              <c:x val="0.45113373015873015"/>
              <c:y val="0.9452858802778199"/>
            </c:manualLayout>
          </c:layout>
          <c:overlay val="0"/>
        </c:title>
        <c:numFmt formatCode="#,##0" sourceLinked="0"/>
        <c:majorTickMark val="in"/>
        <c:minorTickMark val="none"/>
        <c:tickLblPos val="nextTo"/>
        <c:spPr>
          <a:ln w="19050">
            <a:solidFill>
              <a:schemeClr val="tx1"/>
            </a:solidFill>
          </a:ln>
        </c:spPr>
        <c:txPr>
          <a:bodyPr rot="0" vert="horz"/>
          <a:lstStyle/>
          <a:p>
            <a:pPr>
              <a:defRPr sz="1400" b="0" i="0" u="none" strike="noStrike" baseline="0">
                <a:solidFill>
                  <a:srgbClr val="000000"/>
                </a:solidFill>
                <a:latin typeface="Calibri"/>
                <a:ea typeface="Calibri"/>
                <a:cs typeface="Calibri"/>
              </a:defRPr>
            </a:pPr>
            <a:endParaRPr lang="de-DE"/>
          </a:p>
        </c:txPr>
        <c:crossAx val="330627328"/>
        <c:crosses val="autoZero"/>
        <c:crossBetween val="midCat"/>
      </c:valAx>
      <c:valAx>
        <c:axId val="330627328"/>
        <c:scaling>
          <c:orientation val="minMax"/>
          <c:min val="0"/>
        </c:scaling>
        <c:delete val="0"/>
        <c:axPos val="l"/>
        <c:majorGridlines>
          <c:spPr>
            <a:ln>
              <a:prstDash val="lgDash"/>
            </a:ln>
          </c:spPr>
        </c:majorGridlines>
        <c:title>
          <c:tx>
            <c:rich>
              <a:bodyPr/>
              <a:lstStyle/>
              <a:p>
                <a:pPr>
                  <a:defRPr sz="1600" b="0" i="0" u="none" strike="noStrike" baseline="0">
                    <a:solidFill>
                      <a:srgbClr val="000000"/>
                    </a:solidFill>
                    <a:latin typeface="Calibri"/>
                    <a:ea typeface="Calibri"/>
                    <a:cs typeface="Calibri"/>
                  </a:defRPr>
                </a:pPr>
                <a:r>
                  <a:rPr lang="de-DE" b="1" i="1"/>
                  <a:t>p</a:t>
                </a:r>
                <a:r>
                  <a:rPr lang="de-DE" b="1" baseline="0"/>
                  <a:t> </a:t>
                </a:r>
                <a:r>
                  <a:rPr lang="de-DE" b="1"/>
                  <a:t>/ MPa</a:t>
                </a:r>
              </a:p>
            </c:rich>
          </c:tx>
          <c:layout>
            <c:manualLayout>
              <c:xMode val="edge"/>
              <c:yMode val="edge"/>
              <c:x val="1.6571207951232819E-2"/>
              <c:y val="0.39831484437528886"/>
            </c:manualLayout>
          </c:layout>
          <c:overlay val="0"/>
        </c:title>
        <c:numFmt formatCode="0.0" sourceLinked="0"/>
        <c:majorTickMark val="in"/>
        <c:minorTickMark val="none"/>
        <c:tickLblPos val="nextTo"/>
        <c:spPr>
          <a:ln w="19050">
            <a:solidFill>
              <a:schemeClr val="tx1"/>
            </a:solidFill>
          </a:ln>
        </c:spPr>
        <c:txPr>
          <a:bodyPr rot="0" vert="horz"/>
          <a:lstStyle/>
          <a:p>
            <a:pPr>
              <a:defRPr sz="1400" b="0" i="0" u="none" strike="noStrike" baseline="0">
                <a:solidFill>
                  <a:srgbClr val="000000"/>
                </a:solidFill>
                <a:latin typeface="Calibri"/>
                <a:ea typeface="Calibri"/>
                <a:cs typeface="Calibri"/>
              </a:defRPr>
            </a:pPr>
            <a:endParaRPr lang="de-DE"/>
          </a:p>
        </c:txPr>
        <c:crossAx val="330625408"/>
        <c:crosses val="autoZero"/>
        <c:crossBetween val="midCat"/>
      </c:valAx>
      <c:spPr>
        <a:ln w="19050">
          <a:solidFill>
            <a:schemeClr val="tx1"/>
          </a:solidFill>
        </a:ln>
      </c:spPr>
    </c:plotArea>
    <c:legend>
      <c:legendPos val="r"/>
      <c:layout>
        <c:manualLayout>
          <c:xMode val="edge"/>
          <c:yMode val="edge"/>
          <c:x val="0.77025916888184509"/>
          <c:y val="0.11847320347353647"/>
          <c:w val="0.16651964031652594"/>
          <c:h val="7.0990713674688066E-2"/>
        </c:manualLayout>
      </c:layout>
      <c:overlay val="1"/>
      <c:txPr>
        <a:bodyPr/>
        <a:lstStyle/>
        <a:p>
          <a:pPr>
            <a:defRPr sz="840" b="0" i="0" u="none" strike="noStrike" baseline="0">
              <a:solidFill>
                <a:srgbClr val="000000"/>
              </a:solidFill>
              <a:latin typeface="Calibri"/>
              <a:ea typeface="Calibri"/>
              <a:cs typeface="Calibri"/>
            </a:defRPr>
          </a:pPr>
          <a:endParaRPr lang="de-DE"/>
        </a:p>
      </c:txPr>
    </c:legend>
    <c:plotVisOnly val="1"/>
    <c:dispBlanksAs val="gap"/>
    <c:showDLblsOverMax val="0"/>
  </c:chart>
  <c:spPr>
    <a:ln w="0">
      <a:solidFill>
        <a:sysClr val="windowText" lastClr="000000"/>
      </a:solidFill>
    </a:ln>
  </c:spPr>
  <c:txPr>
    <a:bodyPr/>
    <a:lstStyle/>
    <a:p>
      <a:pPr>
        <a:defRPr sz="1000" b="0" i="0" u="none" strike="noStrike" baseline="0">
          <a:solidFill>
            <a:srgbClr val="000000"/>
          </a:solidFill>
          <a:latin typeface="Calibri"/>
          <a:ea typeface="Calibri"/>
          <a:cs typeface="Calibri"/>
        </a:defRPr>
      </a:pPr>
      <a:endParaRPr lang="de-DE"/>
    </a:p>
  </c:txPr>
  <c:printSettings>
    <c:headerFooter/>
    <c:pageMargins b="0.78740157499999996" l="0.70000000000000062" r="0.70000000000000062" t="0.78740157499999996"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de-DE" sz="1800" b="1" i="1" u="none" strike="noStrike" baseline="0">
                <a:solidFill>
                  <a:srgbClr val="000000"/>
                </a:solidFill>
                <a:latin typeface="Calibri"/>
              </a:rPr>
              <a:t>T</a:t>
            </a:r>
            <a:r>
              <a:rPr lang="de-DE" sz="1800" b="1" i="0" u="none" strike="noStrike" baseline="0">
                <a:solidFill>
                  <a:srgbClr val="000000"/>
                </a:solidFill>
                <a:latin typeface="Calibri"/>
              </a:rPr>
              <a:t>-</a:t>
            </a:r>
            <a:r>
              <a:rPr lang="de-DE" sz="1800" b="1" i="1" u="none" strike="noStrike" baseline="0">
                <a:solidFill>
                  <a:srgbClr val="000000"/>
                </a:solidFill>
                <a:latin typeface="Symbol"/>
              </a:rPr>
              <a:t>r</a:t>
            </a:r>
            <a:r>
              <a:rPr lang="de-DE" sz="1800" b="1" i="0" u="none" strike="noStrike" baseline="0">
                <a:solidFill>
                  <a:srgbClr val="000000"/>
                </a:solidFill>
                <a:latin typeface="Calibri"/>
              </a:rPr>
              <a:t>  diagram</a:t>
            </a:r>
          </a:p>
        </c:rich>
      </c:tx>
      <c:layout>
        <c:manualLayout>
          <c:xMode val="edge"/>
          <c:yMode val="edge"/>
          <c:x val="0.44401259559154332"/>
          <c:y val="2.3059553671634318E-2"/>
        </c:manualLayout>
      </c:layout>
      <c:overlay val="1"/>
    </c:title>
    <c:autoTitleDeleted val="0"/>
    <c:plotArea>
      <c:layout>
        <c:manualLayout>
          <c:layoutTarget val="inner"/>
          <c:xMode val="edge"/>
          <c:yMode val="edge"/>
          <c:x val="0.12905593278572974"/>
          <c:y val="0.10484318871905718"/>
          <c:w val="0.83715203615742362"/>
          <c:h val="0.76812540289614484"/>
        </c:manualLayout>
      </c:layout>
      <c:scatterChart>
        <c:scatterStyle val="smoothMarker"/>
        <c:varyColors val="0"/>
        <c:ser>
          <c:idx val="0"/>
          <c:order val="0"/>
          <c:tx>
            <c:strRef>
              <c:f>'Phase envelope'!$J$4</c:f>
              <c:strCache>
                <c:ptCount val="1"/>
                <c:pt idx="0">
                  <c:v>Liquid density</c:v>
                </c:pt>
              </c:strCache>
            </c:strRef>
          </c:tx>
          <c:spPr>
            <a:ln w="28575">
              <a:solidFill>
                <a:srgbClr val="1F497D"/>
              </a:solidFill>
            </a:ln>
          </c:spPr>
          <c:marker>
            <c:symbol val="none"/>
          </c:marker>
          <c:xVal>
            <c:numRef>
              <c:f>'Phase envelope'!$J$7:$J$206</c:f>
              <c:numCache>
                <c:formatCode>#,##0.000</c:formatCode>
                <c:ptCount val="200"/>
                <c:pt idx="0">
                  <c:v>10687.409301262978</c:v>
                </c:pt>
                <c:pt idx="1">
                  <c:v>10650.910091952766</c:v>
                </c:pt>
                <c:pt idx="2">
                  <c:v>10613.63359040013</c:v>
                </c:pt>
                <c:pt idx="3">
                  <c:v>10575.554261570933</c:v>
                </c:pt>
                <c:pt idx="4">
                  <c:v>10533.557556434833</c:v>
                </c:pt>
                <c:pt idx="5">
                  <c:v>10490.579814007719</c:v>
                </c:pt>
                <c:pt idx="6">
                  <c:v>10446.590103575772</c:v>
                </c:pt>
                <c:pt idx="7">
                  <c:v>10401.556731540459</c:v>
                </c:pt>
                <c:pt idx="8">
                  <c:v>10355.447248936676</c:v>
                </c:pt>
                <c:pt idx="9">
                  <c:v>10308.228583636266</c:v>
                </c:pt>
                <c:pt idx="10">
                  <c:v>10259.866969669076</c:v>
                </c:pt>
                <c:pt idx="11">
                  <c:v>10210.328009166959</c:v>
                </c:pt>
                <c:pt idx="12">
                  <c:v>10159.576752047238</c:v>
                </c:pt>
                <c:pt idx="13">
                  <c:v>10114.028249628273</c:v>
                </c:pt>
                <c:pt idx="14">
                  <c:v>10060.904208777669</c:v>
                </c:pt>
                <c:pt idx="15">
                  <c:v>10006.465650008688</c:v>
                </c:pt>
                <c:pt idx="16">
                  <c:v>9950.6764815687857</c:v>
                </c:pt>
                <c:pt idx="17">
                  <c:v>9893.5007986457331</c:v>
                </c:pt>
                <c:pt idx="18">
                  <c:v>9834.9027962260861</c:v>
                </c:pt>
                <c:pt idx="19">
                  <c:v>9774.8475184777253</c:v>
                </c:pt>
                <c:pt idx="20">
                  <c:v>9713.3008555507913</c:v>
                </c:pt>
                <c:pt idx="21">
                  <c:v>9650.2298631768335</c:v>
                </c:pt>
                <c:pt idx="22">
                  <c:v>9585.6031306760833</c:v>
                </c:pt>
                <c:pt idx="23">
                  <c:v>9519.3912021139513</c:v>
                </c:pt>
                <c:pt idx="24">
                  <c:v>9451.567054414596</c:v>
                </c:pt>
                <c:pt idx="25">
                  <c:v>9382.1066352300277</c:v>
                </c:pt>
                <c:pt idx="26">
                  <c:v>9310.9894621152944</c:v>
                </c:pt>
                <c:pt idx="27">
                  <c:v>9238.1992830481286</c:v>
                </c:pt>
                <c:pt idx="28">
                  <c:v>9163.7247964266553</c:v>
                </c:pt>
                <c:pt idx="29">
                  <c:v>9087.5604263686091</c:v>
                </c:pt>
                <c:pt idx="30">
                  <c:v>9009.7071466035795</c:v>
                </c:pt>
                <c:pt idx="31">
                  <c:v>8930.1733433949812</c:v>
                </c:pt>
                <c:pt idx="32">
                  <c:v>8848.9757037629333</c:v>
                </c:pt>
                <c:pt idx="33">
                  <c:v>8766.1401065162318</c:v>
                </c:pt>
                <c:pt idx="34">
                  <c:v>8681.7024737843694</c:v>
                </c:pt>
                <c:pt idx="35">
                  <c:v>8595.7095022911872</c:v>
                </c:pt>
                <c:pt idx="36">
                  <c:v>8508.219134689356</c:v>
                </c:pt>
                <c:pt idx="37">
                  <c:v>8419.3005674831056</c:v>
                </c:pt>
                <c:pt idx="38">
                  <c:v>8335.7406458695659</c:v>
                </c:pt>
                <c:pt idx="39">
                  <c:v>8244.3018556725583</c:v>
                </c:pt>
                <c:pt idx="40">
                  <c:v>8151.6926460234163</c:v>
                </c:pt>
                <c:pt idx="41">
                  <c:v>8058.0127392281202</c:v>
                </c:pt>
                <c:pt idx="42">
                  <c:v>7963.3656071288051</c:v>
                </c:pt>
                <c:pt idx="43">
                  <c:v>7867.8603946500762</c:v>
                </c:pt>
                <c:pt idx="44">
                  <c:v>7771.6212849412977</c:v>
                </c:pt>
                <c:pt idx="45">
                  <c:v>7674.8019263201413</c:v>
                </c:pt>
                <c:pt idx="46">
                  <c:v>7590.9939161000439</c:v>
                </c:pt>
                <c:pt idx="47">
                  <c:v>7480.2255457483734</c:v>
                </c:pt>
                <c:pt idx="48">
                  <c:v>7382.7639424568542</c:v>
                </c:pt>
                <c:pt idx="49">
                  <c:v>7284.6665716221632</c:v>
                </c:pt>
                <c:pt idx="50">
                  <c:v>7223.5671080766851</c:v>
                </c:pt>
                <c:pt idx="51">
                  <c:v>7172.8279147910025</c:v>
                </c:pt>
                <c:pt idx="52">
                  <c:v>7085.9998221005799</c:v>
                </c:pt>
                <c:pt idx="53">
                  <c:v>7054.5579746802787</c:v>
                </c:pt>
                <c:pt idx="54">
                  <c:v>6997.8575632000538</c:v>
                </c:pt>
                <c:pt idx="55">
                  <c:v>6976.2789762739703</c:v>
                </c:pt>
                <c:pt idx="56">
                  <c:v>6934.1542482546138</c:v>
                </c:pt>
                <c:pt idx="57">
                  <c:v>6915.1550249100728</c:v>
                </c:pt>
                <c:pt idx="58">
                  <c:v>6783.4210450389992</c:v>
                </c:pt>
                <c:pt idx="59">
                  <c:v>6778.6397872533889</c:v>
                </c:pt>
                <c:pt idx="60">
                  <c:v>6770.325712371824</c:v>
                </c:pt>
                <c:pt idx="61">
                  <c:v>6736.8506843568794</c:v>
                </c:pt>
                <c:pt idx="62">
                  <c:v>6679.3962360290725</c:v>
                </c:pt>
                <c:pt idx="63">
                  <c:v>6591.2724201983565</c:v>
                </c:pt>
                <c:pt idx="64">
                  <c:v>6539.6446269433345</c:v>
                </c:pt>
                <c:pt idx="65">
                  <c:v>6480.5906724041015</c:v>
                </c:pt>
                <c:pt idx="66">
                  <c:v>6353.9316365532741</c:v>
                </c:pt>
                <c:pt idx="67">
                  <c:v>6284.4796054654125</c:v>
                </c:pt>
                <c:pt idx="68">
                  <c:v>6223.9465340600473</c:v>
                </c:pt>
                <c:pt idx="69">
                  <c:v>6153.5193019258259</c:v>
                </c:pt>
                <c:pt idx="70">
                  <c:v>6089.4069008210199</c:v>
                </c:pt>
                <c:pt idx="71">
                  <c:v>6011.3596794830137</c:v>
                </c:pt>
                <c:pt idx="72">
                  <c:v>5879.1361854303568</c:v>
                </c:pt>
                <c:pt idx="73">
                  <c:v>5798.3968416471371</c:v>
                </c:pt>
                <c:pt idx="74">
                  <c:v>5536.3418955380757</c:v>
                </c:pt>
                <c:pt idx="75">
                  <c:v>4598.4158361655809</c:v>
                </c:pt>
                <c:pt idx="76">
                  <c:v>3325.8448629343197</c:v>
                </c:pt>
                <c:pt idx="77">
                  <c:v>2816.6891931636401</c:v>
                </c:pt>
                <c:pt idx="78">
                  <c:v>1844.5121069066745</c:v>
                </c:pt>
                <c:pt idx="79">
                  <c:v>1194.8873227577405</c:v>
                </c:pt>
                <c:pt idx="80">
                  <c:v>775.82735790779316</c:v>
                </c:pt>
                <c:pt idx="81">
                  <c:v>505.96249314926121</c:v>
                </c:pt>
                <c:pt idx="82">
                  <c:v>331.23247580343133</c:v>
                </c:pt>
                <c:pt idx="83">
                  <c:v>217.45911160929117</c:v>
                </c:pt>
                <c:pt idx="84">
                  <c:v>137.78944319611765</c:v>
                </c:pt>
                <c:pt idx="85">
                  <c:v>126.15293167601028</c:v>
                </c:pt>
                <c:pt idx="86">
                  <c:v>115.4968442408596</c:v>
                </c:pt>
                <c:pt idx="87">
                  <c:v>105.7381865113889</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'Phase envelope'!$H$7:$H$206</c:f>
              <c:numCache>
                <c:formatCode>0.00</c:formatCode>
                <c:ptCount val="200"/>
                <c:pt idx="0">
                  <c:v>255.05826214873531</c:v>
                </c:pt>
                <c:pt idx="1">
                  <c:v>257.20449996356075</c:v>
                </c:pt>
                <c:pt idx="2">
                  <c:v>259.39039538046887</c:v>
                </c:pt>
                <c:pt idx="3">
                  <c:v>261.616870036438</c:v>
                </c:pt>
                <c:pt idx="4">
                  <c:v>264.06453910741334</c:v>
                </c:pt>
                <c:pt idx="5">
                  <c:v>266.56058190709484</c:v>
                </c:pt>
                <c:pt idx="6">
                  <c:v>269.10586292826139</c:v>
                </c:pt>
                <c:pt idx="7">
                  <c:v>271.70119451190885</c:v>
                </c:pt>
                <c:pt idx="8">
                  <c:v>274.34732605367134</c:v>
                </c:pt>
                <c:pt idx="9">
                  <c:v>277.04492492783231</c:v>
                </c:pt>
                <c:pt idx="10">
                  <c:v>279.79456781265804</c:v>
                </c:pt>
                <c:pt idx="11">
                  <c:v>282.59672294549841</c:v>
                </c:pt>
                <c:pt idx="12">
                  <c:v>285.45172982479306</c:v>
                </c:pt>
                <c:pt idx="13">
                  <c:v>288</c:v>
                </c:pt>
                <c:pt idx="14">
                  <c:v>290.95465153471616</c:v>
                </c:pt>
                <c:pt idx="15">
                  <c:v>293.96216589366304</c:v>
                </c:pt>
                <c:pt idx="16">
                  <c:v>297.0221430588681</c:v>
                </c:pt>
                <c:pt idx="17">
                  <c:v>300.13390658063264</c:v>
                </c:pt>
                <c:pt idx="18">
                  <c:v>303.29647836651674</c:v>
                </c:pt>
                <c:pt idx="19">
                  <c:v>306.50850460228742</c:v>
                </c:pt>
                <c:pt idx="20">
                  <c:v>309.76821895175317</c:v>
                </c:pt>
                <c:pt idx="21">
                  <c:v>313.07338374259609</c:v>
                </c:pt>
                <c:pt idx="22">
                  <c:v>316.42122376321748</c:v>
                </c:pt>
                <c:pt idx="23">
                  <c:v>319.80835187193259</c:v>
                </c:pt>
                <c:pt idx="24">
                  <c:v>323.23068561014139</c:v>
                </c:pt>
                <c:pt idx="25">
                  <c:v>326.68335400876521</c:v>
                </c:pt>
                <c:pt idx="26">
                  <c:v>330.16059380072397</c:v>
                </c:pt>
                <c:pt idx="27">
                  <c:v>333.65563431870413</c:v>
                </c:pt>
                <c:pt idx="28">
                  <c:v>337.1605704976264</c:v>
                </c:pt>
                <c:pt idx="29">
                  <c:v>340.66622365304312</c:v>
                </c:pt>
                <c:pt idx="30">
                  <c:v>344.16199011153412</c:v>
                </c:pt>
                <c:pt idx="31">
                  <c:v>347.63567838129433</c:v>
                </c:pt>
                <c:pt idx="32">
                  <c:v>351.07333642583529</c:v>
                </c:pt>
                <c:pt idx="33">
                  <c:v>354.45907179675919</c:v>
                </c:pt>
                <c:pt idx="34">
                  <c:v>357.77486893701951</c:v>
                </c:pt>
                <c:pt idx="35">
                  <c:v>361.00040988321302</c:v>
                </c:pt>
                <c:pt idx="36">
                  <c:v>364.1129067873303</c:v>
                </c:pt>
                <c:pt idx="37">
                  <c:v>367.08695690637916</c:v>
                </c:pt>
                <c:pt idx="38">
                  <c:v>369.69355987038819</c:v>
                </c:pt>
                <c:pt idx="39">
                  <c:v>372.31929504540233</c:v>
                </c:pt>
                <c:pt idx="40">
                  <c:v>374.71638875680054</c:v>
                </c:pt>
                <c:pt idx="41">
                  <c:v>376.84862394510395</c:v>
                </c:pt>
                <c:pt idx="42">
                  <c:v>378.67718931023035</c:v>
                </c:pt>
                <c:pt idx="43">
                  <c:v>380.16090672816347</c:v>
                </c:pt>
                <c:pt idx="44">
                  <c:v>381.25653713325943</c:v>
                </c:pt>
                <c:pt idx="45">
                  <c:v>381.91928812050372</c:v>
                </c:pt>
                <c:pt idx="46">
                  <c:v>382.10831592482896</c:v>
                </c:pt>
                <c:pt idx="47">
                  <c:v>381.76453902793179</c:v>
                </c:pt>
                <c:pt idx="48">
                  <c:v>380.8592171694587</c:v>
                </c:pt>
                <c:pt idx="49">
                  <c:v>379.34763771063075</c:v>
                </c:pt>
                <c:pt idx="50">
                  <c:v>378.10897854535341</c:v>
                </c:pt>
                <c:pt idx="51">
                  <c:v>376.92841546075277</c:v>
                </c:pt>
                <c:pt idx="52">
                  <c:v>374.68014302888344</c:v>
                </c:pt>
                <c:pt idx="53">
                  <c:v>373.82873422193092</c:v>
                </c:pt>
                <c:pt idx="54">
                  <c:v>372.30828779571362</c:v>
                </c:pt>
                <c:pt idx="55">
                  <c:v>371.75907286401383</c:v>
                </c:pt>
                <c:pt idx="56">
                  <c:v>370.82177758927588</c:v>
                </c:pt>
                <c:pt idx="57">
                  <c:v>370.50146471230244</c:v>
                </c:pt>
                <c:pt idx="58">
                  <c:v>367.18154567320261</c:v>
                </c:pt>
                <c:pt idx="59">
                  <c:v>366.47197717321478</c:v>
                </c:pt>
                <c:pt idx="60">
                  <c:v>366.05274693644753</c:v>
                </c:pt>
                <c:pt idx="61">
                  <c:v>364.81426220952926</c:v>
                </c:pt>
                <c:pt idx="62">
                  <c:v>362.93310580741087</c:v>
                </c:pt>
                <c:pt idx="63">
                  <c:v>359.96770877024142</c:v>
                </c:pt>
                <c:pt idx="64">
                  <c:v>358.07394083821504</c:v>
                </c:pt>
                <c:pt idx="65">
                  <c:v>355.68192834785265</c:v>
                </c:pt>
                <c:pt idx="66">
                  <c:v>349.21765318941254</c:v>
                </c:pt>
                <c:pt idx="67">
                  <c:v>344.35751495281488</c:v>
                </c:pt>
                <c:pt idx="68">
                  <c:v>338.79557966751861</c:v>
                </c:pt>
                <c:pt idx="69">
                  <c:v>329.92710849761477</c:v>
                </c:pt>
                <c:pt idx="70">
                  <c:v>319.28274658909282</c:v>
                </c:pt>
                <c:pt idx="71">
                  <c:v>305.63012397798741</c:v>
                </c:pt>
                <c:pt idx="72">
                  <c:v>288</c:v>
                </c:pt>
                <c:pt idx="73">
                  <c:v>280.18177169087397</c:v>
                </c:pt>
                <c:pt idx="74">
                  <c:v>262.4595118035237</c:v>
                </c:pt>
                <c:pt idx="75">
                  <c:v>229.95966813704842</c:v>
                </c:pt>
                <c:pt idx="76">
                  <c:v>204.65801162373211</c:v>
                </c:pt>
                <c:pt idx="77">
                  <c:v>195.909635630521</c:v>
                </c:pt>
                <c:pt idx="78">
                  <c:v>178.44050108515529</c:v>
                </c:pt>
                <c:pt idx="79">
                  <c:v>164.32320402029177</c:v>
                </c:pt>
                <c:pt idx="80">
                  <c:v>152.62246513351076</c:v>
                </c:pt>
                <c:pt idx="81">
                  <c:v>142.79105685853565</c:v>
                </c:pt>
                <c:pt idx="82">
                  <c:v>134.45692118533879</c:v>
                </c:pt>
                <c:pt idx="83">
                  <c:v>127.34164403559357</c:v>
                </c:pt>
                <c:pt idx="84">
                  <c:v>120.72126843756214</c:v>
                </c:pt>
                <c:pt idx="85">
                  <c:v>119.5557479255111</c:v>
                </c:pt>
                <c:pt idx="86">
                  <c:v>118.42392390178658</c:v>
                </c:pt>
                <c:pt idx="87">
                  <c:v>117.32449993826297</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yVal>
          <c:smooth val="1"/>
          <c:extLst>
            <c:ext xmlns:c16="http://schemas.microsoft.com/office/drawing/2014/chart" uri="{C3380CC4-5D6E-409C-BE32-E72D297353CC}">
              <c16:uniqueId val="{00000000-E35B-4849-94DE-9A9754E58CDC}"/>
            </c:ext>
          </c:extLst>
        </c:ser>
        <c:ser>
          <c:idx val="1"/>
          <c:order val="1"/>
          <c:tx>
            <c:strRef>
              <c:f>'Phase envelope'!$K$4</c:f>
              <c:strCache>
                <c:ptCount val="1"/>
                <c:pt idx="0">
                  <c:v>Vapor density</c:v>
                </c:pt>
              </c:strCache>
            </c:strRef>
          </c:tx>
          <c:spPr>
            <a:ln>
              <a:solidFill>
                <a:srgbClr val="95C11C"/>
              </a:solidFill>
            </a:ln>
          </c:spPr>
          <c:marker>
            <c:symbol val="none"/>
          </c:marker>
          <c:xVal>
            <c:numRef>
              <c:f>'Phase envelope'!$K$7:$K$206</c:f>
              <c:numCache>
                <c:formatCode>#,##0.000</c:formatCode>
                <c:ptCount val="200"/>
                <c:pt idx="0">
                  <c:v>48.044722935060953</c:v>
                </c:pt>
                <c:pt idx="1">
                  <c:v>52.480272259956465</c:v>
                </c:pt>
                <c:pt idx="2">
                  <c:v>57.326132206154689</c:v>
                </c:pt>
                <c:pt idx="3">
                  <c:v>62.620699786125122</c:v>
                </c:pt>
                <c:pt idx="4">
                  <c:v>68.881969211393894</c:v>
                </c:pt>
                <c:pt idx="5">
                  <c:v>75.769199068206348</c:v>
                </c:pt>
                <c:pt idx="6">
                  <c:v>83.344995094154697</c:v>
                </c:pt>
                <c:pt idx="7">
                  <c:v>91.678221168584543</c:v>
                </c:pt>
                <c:pt idx="8">
                  <c:v>100.84462706016765</c:v>
                </c:pt>
                <c:pt idx="9">
                  <c:v>110.92751449576365</c:v>
                </c:pt>
                <c:pt idx="10">
                  <c:v>122.01851350520376</c:v>
                </c:pt>
                <c:pt idx="11">
                  <c:v>134.21841499883942</c:v>
                </c:pt>
                <c:pt idx="12">
                  <c:v>147.63808657229765</c:v>
                </c:pt>
                <c:pt idx="13">
                  <c:v>160.51111286611956</c:v>
                </c:pt>
                <c:pt idx="14">
                  <c:v>176.55991395959674</c:v>
                </c:pt>
                <c:pt idx="15">
                  <c:v>194.21316123228124</c:v>
                </c:pt>
                <c:pt idx="16">
                  <c:v>213.6312876615124</c:v>
                </c:pt>
                <c:pt idx="17">
                  <c:v>234.99074683998376</c:v>
                </c:pt>
                <c:pt idx="18">
                  <c:v>258.48573117919301</c:v>
                </c:pt>
                <c:pt idx="19">
                  <c:v>284.32974378434187</c:v>
                </c:pt>
                <c:pt idx="20">
                  <c:v>312.75763226115379</c:v>
                </c:pt>
                <c:pt idx="21">
                  <c:v>344.02772240889817</c:v>
                </c:pt>
                <c:pt idx="22">
                  <c:v>378.42416512966957</c:v>
                </c:pt>
                <c:pt idx="23">
                  <c:v>416.25951784709889</c:v>
                </c:pt>
                <c:pt idx="24">
                  <c:v>457.87758386264869</c:v>
                </c:pt>
                <c:pt idx="25">
                  <c:v>503.65653538624633</c:v>
                </c:pt>
                <c:pt idx="26">
                  <c:v>554.01234851750621</c:v>
                </c:pt>
                <c:pt idx="27">
                  <c:v>609.40258124350999</c:v>
                </c:pt>
                <c:pt idx="28">
                  <c:v>670.3305285541951</c:v>
                </c:pt>
                <c:pt idx="29">
                  <c:v>737.3497921319464</c:v>
                </c:pt>
                <c:pt idx="30">
                  <c:v>811.06930574489024</c:v>
                </c:pt>
                <c:pt idx="31">
                  <c:v>892.15886153474082</c:v>
                </c:pt>
                <c:pt idx="32">
                  <c:v>981.3551869388308</c:v>
                </c:pt>
                <c:pt idx="33">
                  <c:v>1079.4686271394053</c:v>
                </c:pt>
                <c:pt idx="34">
                  <c:v>1187.3904939717572</c:v>
                </c:pt>
                <c:pt idx="35">
                  <c:v>1306.1011495914172</c:v>
                </c:pt>
                <c:pt idx="36">
                  <c:v>1436.6789025926548</c:v>
                </c:pt>
                <c:pt idx="37">
                  <c:v>1580.3098067717253</c:v>
                </c:pt>
                <c:pt idx="38">
                  <c:v>1726.1153665336426</c:v>
                </c:pt>
                <c:pt idx="39">
                  <c:v>1898.6828750408667</c:v>
                </c:pt>
                <c:pt idx="40">
                  <c:v>2088.4992818792175</c:v>
                </c:pt>
                <c:pt idx="41">
                  <c:v>2297.2897189791734</c:v>
                </c:pt>
                <c:pt idx="42">
                  <c:v>2526.9525747160424</c:v>
                </c:pt>
                <c:pt idx="43">
                  <c:v>2779.5785369874352</c:v>
                </c:pt>
                <c:pt idx="44">
                  <c:v>3057.4673502534401</c:v>
                </c:pt>
                <c:pt idx="45">
                  <c:v>3363.1484090032986</c:v>
                </c:pt>
                <c:pt idx="46">
                  <c:v>3651.1881407468131</c:v>
                </c:pt>
                <c:pt idx="47">
                  <c:v>4069.271988406967</c:v>
                </c:pt>
                <c:pt idx="48">
                  <c:v>4476.1255464317064</c:v>
                </c:pt>
                <c:pt idx="49">
                  <c:v>4923.7419348611056</c:v>
                </c:pt>
                <c:pt idx="50">
                  <c:v>5219.0075959645728</c:v>
                </c:pt>
                <c:pt idx="51">
                  <c:v>5469.7696133703557</c:v>
                </c:pt>
                <c:pt idx="52">
                  <c:v>5896.3011375146234</c:v>
                </c:pt>
                <c:pt idx="53">
                  <c:v>6045.2300950267345</c:v>
                </c:pt>
                <c:pt idx="54">
                  <c:v>6297.8638488196275</c:v>
                </c:pt>
                <c:pt idx="55">
                  <c:v>6385.4047281687162</c:v>
                </c:pt>
                <c:pt idx="56">
                  <c:v>6530.7278017675117</c:v>
                </c:pt>
                <c:pt idx="57">
                  <c:v>6579.2937538837778</c:v>
                </c:pt>
                <c:pt idx="58">
                  <c:v>7047.7845261154343</c:v>
                </c:pt>
                <c:pt idx="59">
                  <c:v>7142.1630079713104</c:v>
                </c:pt>
                <c:pt idx="60">
                  <c:v>7196.7563999947888</c:v>
                </c:pt>
                <c:pt idx="61">
                  <c:v>7353.4884614652165</c:v>
                </c:pt>
                <c:pt idx="62">
                  <c:v>7579.6335713323624</c:v>
                </c:pt>
                <c:pt idx="63">
                  <c:v>7910.0961235118566</c:v>
                </c:pt>
                <c:pt idx="64">
                  <c:v>8106.3814311977249</c:v>
                </c:pt>
                <c:pt idx="65">
                  <c:v>8339.9274457542324</c:v>
                </c:pt>
                <c:pt idx="66">
                  <c:v>8905.080921250732</c:v>
                </c:pt>
                <c:pt idx="67">
                  <c:v>9280.4204481434572</c:v>
                </c:pt>
                <c:pt idx="68">
                  <c:v>9670.761022788005</c:v>
                </c:pt>
                <c:pt idx="69">
                  <c:v>10227.7759663942</c:v>
                </c:pt>
                <c:pt idx="70">
                  <c:v>10818.447501972176</c:v>
                </c:pt>
                <c:pt idx="71">
                  <c:v>11487.698837851565</c:v>
                </c:pt>
                <c:pt idx="72">
                  <c:v>12249.407736747897</c:v>
                </c:pt>
                <c:pt idx="73">
                  <c:v>12559.873334388612</c:v>
                </c:pt>
                <c:pt idx="74">
                  <c:v>13217.769835170709</c:v>
                </c:pt>
                <c:pt idx="75">
                  <c:v>14311.674205622852</c:v>
                </c:pt>
                <c:pt idx="76">
                  <c:v>15106.395068222952</c:v>
                </c:pt>
                <c:pt idx="77">
                  <c:v>15375.285763437843</c:v>
                </c:pt>
                <c:pt idx="78">
                  <c:v>15906.996208965611</c:v>
                </c:pt>
                <c:pt idx="79">
                  <c:v>16332.215660124604</c:v>
                </c:pt>
                <c:pt idx="80">
                  <c:v>16680.504012833113</c:v>
                </c:pt>
                <c:pt idx="81">
                  <c:v>16968.308510658415</c:v>
                </c:pt>
                <c:pt idx="82">
                  <c:v>17206.522182215846</c:v>
                </c:pt>
                <c:pt idx="83">
                  <c:v>17403.247768114699</c:v>
                </c:pt>
                <c:pt idx="84">
                  <c:v>17577.876603578407</c:v>
                </c:pt>
                <c:pt idx="85">
                  <c:v>17607.499701853838</c:v>
                </c:pt>
                <c:pt idx="86">
                  <c:v>17635.883453126622</c:v>
                </c:pt>
                <c:pt idx="87">
                  <c:v>17663.067326174965</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xVal>
          <c:yVal>
            <c:numRef>
              <c:f>'Phase envelope'!$H$7:$H$206</c:f>
              <c:numCache>
                <c:formatCode>0.00</c:formatCode>
                <c:ptCount val="200"/>
                <c:pt idx="0">
                  <c:v>255.05826214873531</c:v>
                </c:pt>
                <c:pt idx="1">
                  <c:v>257.20449996356075</c:v>
                </c:pt>
                <c:pt idx="2">
                  <c:v>259.39039538046887</c:v>
                </c:pt>
                <c:pt idx="3">
                  <c:v>261.616870036438</c:v>
                </c:pt>
                <c:pt idx="4">
                  <c:v>264.06453910741334</c:v>
                </c:pt>
                <c:pt idx="5">
                  <c:v>266.56058190709484</c:v>
                </c:pt>
                <c:pt idx="6">
                  <c:v>269.10586292826139</c:v>
                </c:pt>
                <c:pt idx="7">
                  <c:v>271.70119451190885</c:v>
                </c:pt>
                <c:pt idx="8">
                  <c:v>274.34732605367134</c:v>
                </c:pt>
                <c:pt idx="9">
                  <c:v>277.04492492783231</c:v>
                </c:pt>
                <c:pt idx="10">
                  <c:v>279.79456781265804</c:v>
                </c:pt>
                <c:pt idx="11">
                  <c:v>282.59672294549841</c:v>
                </c:pt>
                <c:pt idx="12">
                  <c:v>285.45172982479306</c:v>
                </c:pt>
                <c:pt idx="13">
                  <c:v>288</c:v>
                </c:pt>
                <c:pt idx="14">
                  <c:v>290.95465153471616</c:v>
                </c:pt>
                <c:pt idx="15">
                  <c:v>293.96216589366304</c:v>
                </c:pt>
                <c:pt idx="16">
                  <c:v>297.0221430588681</c:v>
                </c:pt>
                <c:pt idx="17">
                  <c:v>300.13390658063264</c:v>
                </c:pt>
                <c:pt idx="18">
                  <c:v>303.29647836651674</c:v>
                </c:pt>
                <c:pt idx="19">
                  <c:v>306.50850460228742</c:v>
                </c:pt>
                <c:pt idx="20">
                  <c:v>309.76821895175317</c:v>
                </c:pt>
                <c:pt idx="21">
                  <c:v>313.07338374259609</c:v>
                </c:pt>
                <c:pt idx="22">
                  <c:v>316.42122376321748</c:v>
                </c:pt>
                <c:pt idx="23">
                  <c:v>319.80835187193259</c:v>
                </c:pt>
                <c:pt idx="24">
                  <c:v>323.23068561014139</c:v>
                </c:pt>
                <c:pt idx="25">
                  <c:v>326.68335400876521</c:v>
                </c:pt>
                <c:pt idx="26">
                  <c:v>330.16059380072397</c:v>
                </c:pt>
                <c:pt idx="27">
                  <c:v>333.65563431870413</c:v>
                </c:pt>
                <c:pt idx="28">
                  <c:v>337.1605704976264</c:v>
                </c:pt>
                <c:pt idx="29">
                  <c:v>340.66622365304312</c:v>
                </c:pt>
                <c:pt idx="30">
                  <c:v>344.16199011153412</c:v>
                </c:pt>
                <c:pt idx="31">
                  <c:v>347.63567838129433</c:v>
                </c:pt>
                <c:pt idx="32">
                  <c:v>351.07333642583529</c:v>
                </c:pt>
                <c:pt idx="33">
                  <c:v>354.45907179675919</c:v>
                </c:pt>
                <c:pt idx="34">
                  <c:v>357.77486893701951</c:v>
                </c:pt>
                <c:pt idx="35">
                  <c:v>361.00040988321302</c:v>
                </c:pt>
                <c:pt idx="36">
                  <c:v>364.1129067873303</c:v>
                </c:pt>
                <c:pt idx="37">
                  <c:v>367.08695690637916</c:v>
                </c:pt>
                <c:pt idx="38">
                  <c:v>369.69355987038819</c:v>
                </c:pt>
                <c:pt idx="39">
                  <c:v>372.31929504540233</c:v>
                </c:pt>
                <c:pt idx="40">
                  <c:v>374.71638875680054</c:v>
                </c:pt>
                <c:pt idx="41">
                  <c:v>376.84862394510395</c:v>
                </c:pt>
                <c:pt idx="42">
                  <c:v>378.67718931023035</c:v>
                </c:pt>
                <c:pt idx="43">
                  <c:v>380.16090672816347</c:v>
                </c:pt>
                <c:pt idx="44">
                  <c:v>381.25653713325943</c:v>
                </c:pt>
                <c:pt idx="45">
                  <c:v>381.91928812050372</c:v>
                </c:pt>
                <c:pt idx="46">
                  <c:v>382.10831592482896</c:v>
                </c:pt>
                <c:pt idx="47">
                  <c:v>381.76453902793179</c:v>
                </c:pt>
                <c:pt idx="48">
                  <c:v>380.8592171694587</c:v>
                </c:pt>
                <c:pt idx="49">
                  <c:v>379.34763771063075</c:v>
                </c:pt>
                <c:pt idx="50">
                  <c:v>378.10897854535341</c:v>
                </c:pt>
                <c:pt idx="51">
                  <c:v>376.92841546075277</c:v>
                </c:pt>
                <c:pt idx="52">
                  <c:v>374.68014302888344</c:v>
                </c:pt>
                <c:pt idx="53">
                  <c:v>373.82873422193092</c:v>
                </c:pt>
                <c:pt idx="54">
                  <c:v>372.30828779571362</c:v>
                </c:pt>
                <c:pt idx="55">
                  <c:v>371.75907286401383</c:v>
                </c:pt>
                <c:pt idx="56">
                  <c:v>370.82177758927588</c:v>
                </c:pt>
                <c:pt idx="57">
                  <c:v>370.50146471230244</c:v>
                </c:pt>
                <c:pt idx="58">
                  <c:v>367.18154567320261</c:v>
                </c:pt>
                <c:pt idx="59">
                  <c:v>366.47197717321478</c:v>
                </c:pt>
                <c:pt idx="60">
                  <c:v>366.05274693644753</c:v>
                </c:pt>
                <c:pt idx="61">
                  <c:v>364.81426220952926</c:v>
                </c:pt>
                <c:pt idx="62">
                  <c:v>362.93310580741087</c:v>
                </c:pt>
                <c:pt idx="63">
                  <c:v>359.96770877024142</c:v>
                </c:pt>
                <c:pt idx="64">
                  <c:v>358.07394083821504</c:v>
                </c:pt>
                <c:pt idx="65">
                  <c:v>355.68192834785265</c:v>
                </c:pt>
                <c:pt idx="66">
                  <c:v>349.21765318941254</c:v>
                </c:pt>
                <c:pt idx="67">
                  <c:v>344.35751495281488</c:v>
                </c:pt>
                <c:pt idx="68">
                  <c:v>338.79557966751861</c:v>
                </c:pt>
                <c:pt idx="69">
                  <c:v>329.92710849761477</c:v>
                </c:pt>
                <c:pt idx="70">
                  <c:v>319.28274658909282</c:v>
                </c:pt>
                <c:pt idx="71">
                  <c:v>305.63012397798741</c:v>
                </c:pt>
                <c:pt idx="72">
                  <c:v>288</c:v>
                </c:pt>
                <c:pt idx="73">
                  <c:v>280.18177169087397</c:v>
                </c:pt>
                <c:pt idx="74">
                  <c:v>262.4595118035237</c:v>
                </c:pt>
                <c:pt idx="75">
                  <c:v>229.95966813704842</c:v>
                </c:pt>
                <c:pt idx="76">
                  <c:v>204.65801162373211</c:v>
                </c:pt>
                <c:pt idx="77">
                  <c:v>195.909635630521</c:v>
                </c:pt>
                <c:pt idx="78">
                  <c:v>178.44050108515529</c:v>
                </c:pt>
                <c:pt idx="79">
                  <c:v>164.32320402029177</c:v>
                </c:pt>
                <c:pt idx="80">
                  <c:v>152.62246513351076</c:v>
                </c:pt>
                <c:pt idx="81">
                  <c:v>142.79105685853565</c:v>
                </c:pt>
                <c:pt idx="82">
                  <c:v>134.45692118533879</c:v>
                </c:pt>
                <c:pt idx="83">
                  <c:v>127.34164403559357</c:v>
                </c:pt>
                <c:pt idx="84">
                  <c:v>120.72126843756214</c:v>
                </c:pt>
                <c:pt idx="85">
                  <c:v>119.5557479255111</c:v>
                </c:pt>
                <c:pt idx="86">
                  <c:v>118.42392390178658</c:v>
                </c:pt>
                <c:pt idx="87">
                  <c:v>117.32449993826297</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numCache>
            </c:numRef>
          </c:yVal>
          <c:smooth val="1"/>
          <c:extLst>
            <c:ext xmlns:c16="http://schemas.microsoft.com/office/drawing/2014/chart" uri="{C3380CC4-5D6E-409C-BE32-E72D297353CC}">
              <c16:uniqueId val="{00000001-E35B-4849-94DE-9A9754E58CDC}"/>
            </c:ext>
          </c:extLst>
        </c:ser>
        <c:dLbls>
          <c:showLegendKey val="0"/>
          <c:showVal val="0"/>
          <c:showCatName val="0"/>
          <c:showSerName val="0"/>
          <c:showPercent val="0"/>
          <c:showBubbleSize val="0"/>
        </c:dLbls>
        <c:axId val="331456896"/>
        <c:axId val="331458816"/>
      </c:scatterChart>
      <c:valAx>
        <c:axId val="331456896"/>
        <c:scaling>
          <c:orientation val="minMax"/>
          <c:min val="0"/>
        </c:scaling>
        <c:delete val="0"/>
        <c:axPos val="b"/>
        <c:title>
          <c:tx>
            <c:rich>
              <a:bodyPr/>
              <a:lstStyle/>
              <a:p>
                <a:pPr>
                  <a:defRPr sz="1100" b="0" i="0" u="none" strike="noStrike" baseline="0">
                    <a:solidFill>
                      <a:srgbClr val="000000"/>
                    </a:solidFill>
                    <a:latin typeface="Calibri"/>
                    <a:ea typeface="Calibri"/>
                    <a:cs typeface="Calibri"/>
                  </a:defRPr>
                </a:pPr>
                <a:r>
                  <a:rPr lang="de-DE" sz="1600" b="1" i="1" u="none" strike="noStrike" baseline="0">
                    <a:solidFill>
                      <a:srgbClr val="000000"/>
                    </a:solidFill>
                    <a:latin typeface="Symbol" panose="05050102010706020507" pitchFamily="18" charset="2"/>
                  </a:rPr>
                  <a:t>r</a:t>
                </a:r>
                <a:r>
                  <a:rPr lang="de-DE" sz="1600" b="1" i="0" u="none" strike="noStrike" baseline="0">
                    <a:solidFill>
                      <a:srgbClr val="000000"/>
                    </a:solidFill>
                    <a:latin typeface="Calibri"/>
                  </a:rPr>
                  <a:t> / mol/m</a:t>
                </a:r>
                <a:r>
                  <a:rPr lang="de-DE" sz="1600" b="1" i="0" u="none" strike="noStrike" baseline="30000">
                    <a:solidFill>
                      <a:srgbClr val="000000"/>
                    </a:solidFill>
                    <a:latin typeface="Calibri"/>
                  </a:rPr>
                  <a:t>3</a:t>
                </a:r>
              </a:p>
            </c:rich>
          </c:tx>
          <c:layout>
            <c:manualLayout>
              <c:xMode val="edge"/>
              <c:yMode val="edge"/>
              <c:x val="0.45113370950088727"/>
              <c:y val="0.93074514748688952"/>
            </c:manualLayout>
          </c:layout>
          <c:overlay val="0"/>
        </c:title>
        <c:numFmt formatCode="#,##0" sourceLinked="0"/>
        <c:majorTickMark val="in"/>
        <c:minorTickMark val="none"/>
        <c:tickLblPos val="nextTo"/>
        <c:spPr>
          <a:ln w="19050">
            <a:solidFill>
              <a:schemeClr val="tx1"/>
            </a:solidFill>
          </a:ln>
        </c:spPr>
        <c:txPr>
          <a:bodyPr rot="0" vert="horz"/>
          <a:lstStyle/>
          <a:p>
            <a:pPr>
              <a:defRPr sz="1400" b="0" i="0" u="none" strike="noStrike" baseline="0">
                <a:solidFill>
                  <a:srgbClr val="000000"/>
                </a:solidFill>
                <a:latin typeface="Calibri"/>
                <a:ea typeface="Calibri"/>
                <a:cs typeface="Calibri"/>
              </a:defRPr>
            </a:pPr>
            <a:endParaRPr lang="de-DE"/>
          </a:p>
        </c:txPr>
        <c:crossAx val="331458816"/>
        <c:crosses val="autoZero"/>
        <c:crossBetween val="midCat"/>
      </c:valAx>
      <c:valAx>
        <c:axId val="331458816"/>
        <c:scaling>
          <c:orientation val="minMax"/>
        </c:scaling>
        <c:delete val="0"/>
        <c:axPos val="l"/>
        <c:majorGridlines>
          <c:spPr>
            <a:ln>
              <a:prstDash val="lgDash"/>
            </a:ln>
          </c:spPr>
        </c:majorGridlines>
        <c:title>
          <c:tx>
            <c:rich>
              <a:bodyPr/>
              <a:lstStyle/>
              <a:p>
                <a:pPr>
                  <a:defRPr sz="1600" b="0" i="0" u="none" strike="noStrike" baseline="0">
                    <a:solidFill>
                      <a:srgbClr val="000000"/>
                    </a:solidFill>
                    <a:latin typeface="Calibri"/>
                    <a:ea typeface="Calibri"/>
                    <a:cs typeface="Calibri"/>
                  </a:defRPr>
                </a:pPr>
                <a:r>
                  <a:rPr lang="de-DE" b="1" i="1"/>
                  <a:t>T</a:t>
                </a:r>
                <a:r>
                  <a:rPr lang="de-DE" b="1"/>
                  <a:t> / K</a:t>
                </a:r>
              </a:p>
            </c:rich>
          </c:tx>
          <c:layout>
            <c:manualLayout>
              <c:xMode val="edge"/>
              <c:yMode val="edge"/>
              <c:x val="1.6571207951232819E-2"/>
              <c:y val="0.39831484437528886"/>
            </c:manualLayout>
          </c:layout>
          <c:overlay val="0"/>
        </c:title>
        <c:numFmt formatCode="0" sourceLinked="0"/>
        <c:majorTickMark val="in"/>
        <c:minorTickMark val="none"/>
        <c:tickLblPos val="nextTo"/>
        <c:spPr>
          <a:ln w="19050">
            <a:solidFill>
              <a:schemeClr val="tx1"/>
            </a:solidFill>
          </a:ln>
        </c:spPr>
        <c:txPr>
          <a:bodyPr rot="0" vert="horz"/>
          <a:lstStyle/>
          <a:p>
            <a:pPr>
              <a:defRPr sz="1400" b="0" i="0" u="none" strike="noStrike" baseline="0">
                <a:solidFill>
                  <a:srgbClr val="000000"/>
                </a:solidFill>
                <a:latin typeface="Calibri"/>
                <a:ea typeface="Calibri"/>
                <a:cs typeface="Calibri"/>
              </a:defRPr>
            </a:pPr>
            <a:endParaRPr lang="de-DE"/>
          </a:p>
        </c:txPr>
        <c:crossAx val="331456896"/>
        <c:crosses val="autoZero"/>
        <c:crossBetween val="midCat"/>
      </c:valAx>
      <c:spPr>
        <a:ln w="19050">
          <a:solidFill>
            <a:schemeClr val="tx1"/>
          </a:solidFill>
        </a:ln>
      </c:spPr>
    </c:plotArea>
    <c:legend>
      <c:legendPos val="r"/>
      <c:layout>
        <c:manualLayout>
          <c:xMode val="edge"/>
          <c:yMode val="edge"/>
          <c:x val="0.77712433075052223"/>
          <c:y val="0.11117051477518035"/>
          <c:w val="0.16486079192254077"/>
          <c:h val="6.5281904811312505E-2"/>
        </c:manualLayout>
      </c:layout>
      <c:overlay val="1"/>
      <c:txPr>
        <a:bodyPr/>
        <a:lstStyle/>
        <a:p>
          <a:pPr>
            <a:defRPr sz="840" b="0" i="0" u="none" strike="noStrike" baseline="0">
              <a:solidFill>
                <a:srgbClr val="000000"/>
              </a:solidFill>
              <a:latin typeface="Calibri"/>
              <a:ea typeface="Calibri"/>
              <a:cs typeface="Calibri"/>
            </a:defRPr>
          </a:pPr>
          <a:endParaRPr lang="de-DE"/>
        </a:p>
      </c:txPr>
    </c:legend>
    <c:plotVisOnly val="1"/>
    <c:dispBlanksAs val="gap"/>
    <c:showDLblsOverMax val="0"/>
  </c:chart>
  <c:spPr>
    <a:ln w="0">
      <a:solidFill>
        <a:sysClr val="windowText" lastClr="000000"/>
      </a:solidFill>
    </a:ln>
  </c:spPr>
  <c:txPr>
    <a:bodyPr/>
    <a:lstStyle/>
    <a:p>
      <a:pPr>
        <a:defRPr sz="1000" b="0" i="0" u="none" strike="noStrike" baseline="0">
          <a:solidFill>
            <a:srgbClr val="000000"/>
          </a:solidFill>
          <a:latin typeface="Calibri"/>
          <a:ea typeface="Calibri"/>
          <a:cs typeface="Calibri"/>
        </a:defRPr>
      </a:pPr>
      <a:endParaRPr lang="de-DE"/>
    </a:p>
  </c:txPr>
  <c:printSettings>
    <c:headerFooter/>
    <c:pageMargins b="0.78740157499999996" l="0.70000000000000062" r="0.70000000000000062" t="0.7874015749999999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de-DE" sz="1800" i="1"/>
              <a:t>p-x</a:t>
            </a:r>
            <a:r>
              <a:rPr lang="de-DE" sz="1800"/>
              <a:t> diagram</a:t>
            </a:r>
          </a:p>
        </c:rich>
      </c:tx>
      <c:overlay val="0"/>
      <c:spPr>
        <a:noFill/>
        <a:ln>
          <a:noFill/>
        </a:ln>
        <a:effectLst/>
      </c:spPr>
    </c:title>
    <c:autoTitleDeleted val="0"/>
    <c:plotArea>
      <c:layout>
        <c:manualLayout>
          <c:layoutTarget val="inner"/>
          <c:xMode val="edge"/>
          <c:yMode val="edge"/>
          <c:x val="6.6239027130053987E-2"/>
          <c:y val="7.1467505241090162E-2"/>
          <c:w val="0.90672226380633802"/>
          <c:h val="0.80402499999999999"/>
        </c:manualLayout>
      </c:layout>
      <c:scatterChart>
        <c:scatterStyle val="lineMarker"/>
        <c:varyColors val="0"/>
        <c:ser>
          <c:idx val="0"/>
          <c:order val="0"/>
          <c:tx>
            <c:v>Bubble line</c:v>
          </c:tx>
          <c:spPr>
            <a:ln w="19050" cap="rnd">
              <a:solidFill>
                <a:schemeClr val="accent1"/>
              </a:solidFill>
              <a:round/>
            </a:ln>
            <a:effectLst/>
          </c:spPr>
          <c:marker>
            <c:symbol val="none"/>
          </c:marker>
          <c:xVal>
            <c:numRef>
              <c:f>'ptx Diagrams'!$M$7:$M$306</c:f>
              <c:numCache>
                <c:formatCode>0.000</c:formatCode>
                <c:ptCount val="300"/>
                <c:pt idx="0">
                  <c:v>0</c:v>
                </c:pt>
                <c:pt idx="1">
                  <c:v>8.08153821229886E-3</c:v>
                </c:pt>
                <c:pt idx="2">
                  <c:v>1.808153821229886E-2</c:v>
                </c:pt>
                <c:pt idx="3">
                  <c:v>2.8081538212298862E-2</c:v>
                </c:pt>
                <c:pt idx="4">
                  <c:v>3.8081538212298864E-2</c:v>
                </c:pt>
                <c:pt idx="5">
                  <c:v>4.8081538212298866E-2</c:v>
                </c:pt>
                <c:pt idx="6">
                  <c:v>5.8081538212298868E-2</c:v>
                </c:pt>
                <c:pt idx="7">
                  <c:v>6.808153821229887E-2</c:v>
                </c:pt>
                <c:pt idx="8">
                  <c:v>7.8081538212298865E-2</c:v>
                </c:pt>
                <c:pt idx="9">
                  <c:v>8.808153821229886E-2</c:v>
                </c:pt>
                <c:pt idx="10">
                  <c:v>9.8081538212298855E-2</c:v>
                </c:pt>
                <c:pt idx="11">
                  <c:v>0.10808153821229885</c:v>
                </c:pt>
                <c:pt idx="12">
                  <c:v>0.11808153821229884</c:v>
                </c:pt>
                <c:pt idx="13">
                  <c:v>0.12808153821229884</c:v>
                </c:pt>
                <c:pt idx="14">
                  <c:v>0.13808153821229885</c:v>
                </c:pt>
                <c:pt idx="15">
                  <c:v>0.14808153821229886</c:v>
                </c:pt>
                <c:pt idx="16">
                  <c:v>0.15808153821229887</c:v>
                </c:pt>
                <c:pt idx="17">
                  <c:v>0.16808153821229888</c:v>
                </c:pt>
                <c:pt idx="18">
                  <c:v>0.17808153821229888</c:v>
                </c:pt>
                <c:pt idx="19">
                  <c:v>0.18808153821229889</c:v>
                </c:pt>
                <c:pt idx="20">
                  <c:v>0.1980815382122989</c:v>
                </c:pt>
                <c:pt idx="21">
                  <c:v>0.20808153821229891</c:v>
                </c:pt>
                <c:pt idx="22">
                  <c:v>0.21808153821229892</c:v>
                </c:pt>
                <c:pt idx="23">
                  <c:v>0.22808153821229893</c:v>
                </c:pt>
                <c:pt idx="24">
                  <c:v>0.23808153821229894</c:v>
                </c:pt>
                <c:pt idx="25">
                  <c:v>0.24808153821229895</c:v>
                </c:pt>
                <c:pt idx="26">
                  <c:v>0.25808153821229896</c:v>
                </c:pt>
                <c:pt idx="27">
                  <c:v>0.26808153821229896</c:v>
                </c:pt>
                <c:pt idx="28">
                  <c:v>0.27808153821229897</c:v>
                </c:pt>
                <c:pt idx="29">
                  <c:v>0.28808153821229898</c:v>
                </c:pt>
                <c:pt idx="30">
                  <c:v>0.29808153821229899</c:v>
                </c:pt>
                <c:pt idx="31">
                  <c:v>0.308081538212299</c:v>
                </c:pt>
                <c:pt idx="32">
                  <c:v>0.31808153821229901</c:v>
                </c:pt>
                <c:pt idx="33">
                  <c:v>0.32808153821229902</c:v>
                </c:pt>
                <c:pt idx="34">
                  <c:v>0.33808153821229903</c:v>
                </c:pt>
                <c:pt idx="35">
                  <c:v>0.34808153821229904</c:v>
                </c:pt>
                <c:pt idx="36">
                  <c:v>0.35808153821229904</c:v>
                </c:pt>
                <c:pt idx="37">
                  <c:v>0.36808153821229905</c:v>
                </c:pt>
                <c:pt idx="38">
                  <c:v>0.37808153821229906</c:v>
                </c:pt>
                <c:pt idx="39">
                  <c:v>0.38808153821229907</c:v>
                </c:pt>
                <c:pt idx="40">
                  <c:v>0.39808153821229908</c:v>
                </c:pt>
                <c:pt idx="41">
                  <c:v>0.40808153821229909</c:v>
                </c:pt>
                <c:pt idx="42">
                  <c:v>0.4180815382122991</c:v>
                </c:pt>
                <c:pt idx="43">
                  <c:v>0.42808153821229911</c:v>
                </c:pt>
                <c:pt idx="44">
                  <c:v>0.43808153821229912</c:v>
                </c:pt>
                <c:pt idx="45">
                  <c:v>0.44808153821229912</c:v>
                </c:pt>
                <c:pt idx="46">
                  <c:v>0.45808153821229913</c:v>
                </c:pt>
                <c:pt idx="47">
                  <c:v>0.46808153821229914</c:v>
                </c:pt>
                <c:pt idx="48">
                  <c:v>0.47808153821229915</c:v>
                </c:pt>
                <c:pt idx="49">
                  <c:v>0.48808153821229916</c:v>
                </c:pt>
                <c:pt idx="50">
                  <c:v>0.49808153821229917</c:v>
                </c:pt>
                <c:pt idx="51">
                  <c:v>0.50808153821229918</c:v>
                </c:pt>
                <c:pt idx="52">
                  <c:v>0.51808153821229919</c:v>
                </c:pt>
                <c:pt idx="53">
                  <c:v>0.5280815382122992</c:v>
                </c:pt>
                <c:pt idx="54">
                  <c:v>0.5380815382122992</c:v>
                </c:pt>
                <c:pt idx="55">
                  <c:v>0.54808153821229921</c:v>
                </c:pt>
                <c:pt idx="56">
                  <c:v>0.55808153821229922</c:v>
                </c:pt>
                <c:pt idx="57">
                  <c:v>0.56808153821229923</c:v>
                </c:pt>
                <c:pt idx="58">
                  <c:v>0.57808153821229924</c:v>
                </c:pt>
                <c:pt idx="59">
                  <c:v>0.58808153821229925</c:v>
                </c:pt>
                <c:pt idx="60">
                  <c:v>0.59808153821229926</c:v>
                </c:pt>
                <c:pt idx="61">
                  <c:v>0.60808153821229927</c:v>
                </c:pt>
                <c:pt idx="62">
                  <c:v>0.61808153821229928</c:v>
                </c:pt>
                <c:pt idx="63">
                  <c:v>0.67395537638712788</c:v>
                </c:pt>
                <c:pt idx="64">
                  <c:v>0.71709887335105782</c:v>
                </c:pt>
                <c:pt idx="65">
                  <c:v>0.75116060091117243</c:v>
                </c:pt>
                <c:pt idx="66">
                  <c:v>0.77862004770133042</c:v>
                </c:pt>
                <c:pt idx="67">
                  <c:v>0.80117128030086204</c:v>
                </c:pt>
                <c:pt idx="68">
                  <c:v>0.81999312561688942</c:v>
                </c:pt>
                <c:pt idx="69">
                  <c:v>0.83592389864878003</c:v>
                </c:pt>
                <c:pt idx="70">
                  <c:v>0.84957281198424239</c:v>
                </c:pt>
                <c:pt idx="71">
                  <c:v>0.86139167152128715</c:v>
                </c:pt>
                <c:pt idx="72">
                  <c:v>0.87172183277081539</c:v>
                </c:pt>
                <c:pt idx="73">
                  <c:v>0.88082558047151793</c:v>
                </c:pt>
                <c:pt idx="74">
                  <c:v>0.88890752993174593</c:v>
                </c:pt>
                <c:pt idx="75">
                  <c:v>0.89612951113204842</c:v>
                </c:pt>
                <c:pt idx="76">
                  <c:v>0.90262111182466398</c:v>
                </c:pt>
                <c:pt idx="77">
                  <c:v>0.90848727384829941</c:v>
                </c:pt>
                <c:pt idx="78">
                  <c:v>0.91381385290916983</c:v>
                </c:pt>
                <c:pt idx="79">
                  <c:v>0.91867174710482224</c:v>
                </c:pt>
                <c:pt idx="80">
                  <c:v>0.9231200037588515</c:v>
                </c:pt>
                <c:pt idx="81">
                  <c:v>0.92720818629521617</c:v>
                </c:pt>
                <c:pt idx="82">
                  <c:v>0.930978198047826</c:v>
                </c:pt>
                <c:pt idx="83">
                  <c:v>0.93446570184919675</c:v>
                </c:pt>
                <c:pt idx="84">
                  <c:v>0.93770123717369713</c:v>
                </c:pt>
                <c:pt idx="85">
                  <c:v>0.94071110540577463</c:v>
                </c:pt>
                <c:pt idx="86">
                  <c:v>0.94351807863291082</c:v>
                </c:pt>
                <c:pt idx="87">
                  <c:v>0.94614197106062115</c:v>
                </c:pt>
                <c:pt idx="88">
                  <c:v>0.94860010314716847</c:v>
                </c:pt>
                <c:pt idx="89">
                  <c:v>0.95090768118815439</c:v>
                </c:pt>
                <c:pt idx="90">
                  <c:v>0.95307810975234608</c:v>
                </c:pt>
                <c:pt idx="91">
                  <c:v>0.9551232504023508</c:v>
                </c:pt>
                <c:pt idx="92">
                  <c:v>0.95705363715444691</c:v>
                </c:pt>
                <c:pt idx="93">
                  <c:v>0.95887865687333584</c:v>
                </c:pt>
                <c:pt idx="94">
                  <c:v>0.96060670107326163</c:v>
                </c:pt>
                <c:pt idx="95">
                  <c:v>0.96224529426897309</c:v>
                </c:pt>
                <c:pt idx="96">
                  <c:v>0.96380120299098537</c:v>
                </c:pt>
                <c:pt idx="97">
                  <c:v>0.96528052877563408</c:v>
                </c:pt>
                <c:pt idx="98">
                  <c:v>0.96668878780917167</c:v>
                </c:pt>
                <c:pt idx="99">
                  <c:v>0.96803097940575145</c:v>
                </c:pt>
                <c:pt idx="100">
                  <c:v>0.96931164510187995</c:v>
                </c:pt>
                <c:pt idx="101">
                  <c:v>0.97053491983253692</c:v>
                </c:pt>
                <c:pt idx="102">
                  <c:v>0.97170457639839714</c:v>
                </c:pt>
                <c:pt idx="103">
                  <c:v>0.97282406422745193</c:v>
                </c:pt>
                <c:pt idx="104">
                  <c:v>0.97389654326633313</c:v>
                </c:pt>
                <c:pt idx="105">
                  <c:v>0.97492491370014167</c:v>
                </c:pt>
                <c:pt idx="106">
                  <c:v>0.97591184208719595</c:v>
                </c:pt>
                <c:pt idx="107">
                  <c:v>0.97685978440287669</c:v>
                </c:pt>
                <c:pt idx="108">
                  <c:v>0.97777100641052639</c:v>
                </c:pt>
                <c:pt idx="109">
                  <c:v>0.97864760171394571</c:v>
                </c:pt>
                <c:pt idx="110">
                  <c:v>0.97949150779339034</c:v>
                </c:pt>
                <c:pt idx="111">
                  <c:v>0.98030452028285064</c:v>
                </c:pt>
                <c:pt idx="112">
                  <c:v>0.98108830570946159</c:v>
                </c:pt>
                <c:pt idx="113">
                  <c:v>0.98184441288471158</c:v>
                </c:pt>
                <c:pt idx="114">
                  <c:v>0.98257428311097139</c:v>
                </c:pt>
                <c:pt idx="115">
                  <c:v>0.98327925934450233</c:v>
                </c:pt>
                <c:pt idx="116">
                  <c:v>0.98396059443720985</c:v>
                </c:pt>
                <c:pt idx="117">
                  <c:v>0.98461945856338728</c:v>
                </c:pt>
                <c:pt idx="118">
                  <c:v>0.98525694592387725</c:v>
                </c:pt>
                <c:pt idx="119">
                  <c:v>0.98587408080825933</c:v>
                </c:pt>
                <c:pt idx="120">
                  <c:v>0.98647182308565207</c:v>
                </c:pt>
                <c:pt idx="121">
                  <c:v>0.98705107318587604</c:v>
                </c:pt>
                <c:pt idx="122">
                  <c:v>0.98761267662535945</c:v>
                </c:pt>
                <c:pt idx="123">
                  <c:v>0.98815742812545915</c:v>
                </c:pt>
                <c:pt idx="124">
                  <c:v>0.98868607536540598</c:v>
                </c:pt>
                <c:pt idx="125">
                  <c:v>0.9891993224071135</c:v>
                </c:pt>
                <c:pt idx="126">
                  <c:v>0.98969783282477697</c:v>
                </c:pt>
                <c:pt idx="127">
                  <c:v>0.9901822325684897</c:v>
                </c:pt>
                <c:pt idx="128">
                  <c:v>0.99065311258792232</c:v>
                </c:pt>
                <c:pt idx="129">
                  <c:v>0.99111103123908295</c:v>
                </c:pt>
                <c:pt idx="130">
                  <c:v>0.99155651649487286</c:v>
                </c:pt>
                <c:pt idx="131">
                  <c:v>0.99199006797774825</c:v>
                </c:pt>
                <c:pt idx="132">
                  <c:v>0.99241215883104605</c:v>
                </c:pt>
                <c:pt idx="133">
                  <c:v>0.99282323744364764</c:v>
                </c:pt>
                <c:pt idx="134">
                  <c:v>0.99322372904126688</c:v>
                </c:pt>
                <c:pt idx="135">
                  <c:v>0.99361403715623786</c:v>
                </c:pt>
                <c:pt idx="136">
                  <c:v>0.99399454498652695</c:v>
                </c:pt>
                <c:pt idx="137">
                  <c:v>0.99436561665359213</c:v>
                </c:pt>
                <c:pt idx="138">
                  <c:v>0.99472759836783997</c:v>
                </c:pt>
                <c:pt idx="139">
                  <c:v>0.99508081950952731</c:v>
                </c:pt>
                <c:pt idx="140">
                  <c:v>0.99542559363227445</c:v>
                </c:pt>
                <c:pt idx="141">
                  <c:v>0.99576221939562914</c:v>
                </c:pt>
                <c:pt idx="142">
                  <c:v>0.99609098143258423</c:v>
                </c:pt>
                <c:pt idx="143">
                  <c:v>0.99641215115737791</c:v>
                </c:pt>
                <c:pt idx="144">
                  <c:v>0.99672598751847341</c:v>
                </c:pt>
                <c:pt idx="145">
                  <c:v>0.99703273770113254</c:v>
                </c:pt>
                <c:pt idx="146">
                  <c:v>0.99733263778369829</c:v>
                </c:pt>
                <c:pt idx="147">
                  <c:v>0.99762591335126816</c:v>
                </c:pt>
                <c:pt idx="148">
                  <c:v>0.99791278007021167</c:v>
                </c:pt>
                <c:pt idx="149">
                  <c:v>0.99819344422668022</c:v>
                </c:pt>
                <c:pt idx="150">
                  <c:v>0.99846810323200574</c:v>
                </c:pt>
                <c:pt idx="151">
                  <c:v>0.99873694609767794</c:v>
                </c:pt>
                <c:pt idx="152">
                  <c:v>0.99900015388240671</c:v>
                </c:pt>
                <c:pt idx="153">
                  <c:v>0.99925790011357418</c:v>
                </c:pt>
                <c:pt idx="154">
                  <c:v>0.99951035118524911</c:v>
                </c:pt>
                <c:pt idx="155">
                  <c:v>0.99975766673479871</c:v>
                </c:pt>
                <c:pt idx="156">
                  <c:v>1</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'ptx Diagrams'!$I$7:$I$306</c:f>
              <c:numCache>
                <c:formatCode>0.000</c:formatCode>
                <c:ptCount val="300"/>
                <c:pt idx="0">
                  <c:v>3.2851804144731753</c:v>
                </c:pt>
                <c:pt idx="1">
                  <c:v>3.2382718894930149</c:v>
                </c:pt>
                <c:pt idx="2">
                  <c:v>3.1833915104173811</c:v>
                </c:pt>
                <c:pt idx="3">
                  <c:v>3.1314502014297929</c:v>
                </c:pt>
                <c:pt idx="4">
                  <c:v>3.081993319548999</c:v>
                </c:pt>
                <c:pt idx="5">
                  <c:v>3.034669457132134</c:v>
                </c:pt>
                <c:pt idx="6">
                  <c:v>2.9891994975635163</c:v>
                </c:pt>
                <c:pt idx="7">
                  <c:v>2.9453568719118062</c:v>
                </c:pt>
                <c:pt idx="8">
                  <c:v>2.9029543725867497</c:v>
                </c:pt>
                <c:pt idx="9">
                  <c:v>2.8618350135750732</c:v>
                </c:pt>
                <c:pt idx="10">
                  <c:v>2.8218654972801254</c:v>
                </c:pt>
                <c:pt idx="11">
                  <c:v>2.7829314214888772</c:v>
                </c:pt>
                <c:pt idx="12">
                  <c:v>2.7449336840378029</c:v>
                </c:pt>
                <c:pt idx="13">
                  <c:v>2.7077857339871936</c:v>
                </c:pt>
                <c:pt idx="14">
                  <c:v>2.6714114350871427</c:v>
                </c:pt>
                <c:pt idx="15">
                  <c:v>2.6357433810907214</c:v>
                </c:pt>
                <c:pt idx="16">
                  <c:v>2.6007215503240357</c:v>
                </c:pt>
                <c:pt idx="17">
                  <c:v>2.566292218778877</c:v>
                </c:pt>
                <c:pt idx="18">
                  <c:v>2.5324070727707748</c:v>
                </c:pt>
                <c:pt idx="19">
                  <c:v>2.4990224774498992</c:v>
                </c:pt>
                <c:pt idx="20">
                  <c:v>2.4660988683553096</c:v>
                </c:pt>
                <c:pt idx="21">
                  <c:v>2.433600241113389</c:v>
                </c:pt>
                <c:pt idx="22">
                  <c:v>2.4014937202271849</c:v>
                </c:pt>
                <c:pt idx="23">
                  <c:v>2.3697491922152381</c:v>
                </c:pt>
                <c:pt idx="24">
                  <c:v>2.3383389915910624</c:v>
                </c:pt>
                <c:pt idx="25">
                  <c:v>2.307237630608113</c:v>
                </c:pt>
                <c:pt idx="26">
                  <c:v>2.2764215655252462</c:v>
                </c:pt>
                <c:pt idx="27">
                  <c:v>2.2458689935571168</c:v>
                </c:pt>
                <c:pt idx="28">
                  <c:v>2.2155596707536693</c:v>
                </c:pt>
                <c:pt idx="29">
                  <c:v>2.1854747777424355</c:v>
                </c:pt>
                <c:pt idx="30">
                  <c:v>2.15559675091834</c:v>
                </c:pt>
                <c:pt idx="31">
                  <c:v>2.1259091849914742</c:v>
                </c:pt>
                <c:pt idx="32">
                  <c:v>2.0963967207806582</c:v>
                </c:pt>
                <c:pt idx="33">
                  <c:v>2.0670449509515283</c:v>
                </c:pt>
                <c:pt idx="34">
                  <c:v>2.0378403361632236</c:v>
                </c:pt>
                <c:pt idx="35">
                  <c:v>2.0087701302334677</c:v>
                </c:pt>
                <c:pt idx="36">
                  <c:v>1.979822313252708</c:v>
                </c:pt>
                <c:pt idx="37">
                  <c:v>1.9509855315577393</c:v>
                </c:pt>
                <c:pt idx="38">
                  <c:v>1.9222490438024027</c:v>
                </c:pt>
                <c:pt idx="39">
                  <c:v>1.8936026723703538</c:v>
                </c:pt>
                <c:pt idx="40">
                  <c:v>1.8650367595082882</c:v>
                </c:pt>
                <c:pt idx="41">
                  <c:v>1.836542127637282</c:v>
                </c:pt>
                <c:pt idx="42">
                  <c:v>1.8081100433759818</c:v>
                </c:pt>
                <c:pt idx="43">
                  <c:v>1.7797321848596028</c:v>
                </c:pt>
                <c:pt idx="44">
                  <c:v>1.7514006120043069</c:v>
                </c:pt>
                <c:pt idx="45">
                  <c:v>1.7231077393960146</c:v>
                </c:pt>
                <c:pt idx="46">
                  <c:v>1.6948463115376686</c:v>
                </c:pt>
                <c:pt idx="47">
                  <c:v>1.6666093802012898</c:v>
                </c:pt>
                <c:pt idx="48">
                  <c:v>1.6383902836847473</c:v>
                </c:pt>
                <c:pt idx="49">
                  <c:v>1.6101826277683564</c:v>
                </c:pt>
                <c:pt idx="50">
                  <c:v>1.5819802682219453</c:v>
                </c:pt>
                <c:pt idx="51">
                  <c:v>1.5537772946959174</c:v>
                </c:pt>
                <c:pt idx="52">
                  <c:v>1.5255680158791662</c:v>
                </c:pt>
                <c:pt idx="53">
                  <c:v>1.4973469457969182</c:v>
                </c:pt>
                <c:pt idx="54">
                  <c:v>1.4691087911463621</c:v>
                </c:pt>
                <c:pt idx="55">
                  <c:v>1.4408484395764376</c:v>
                </c:pt>
                <c:pt idx="56">
                  <c:v>1.4125609488273601</c:v>
                </c:pt>
                <c:pt idx="57">
                  <c:v>1.3842415366531142</c:v>
                </c:pt>
                <c:pt idx="58">
                  <c:v>1.3558855714615077</c:v>
                </c:pt>
                <c:pt idx="59">
                  <c:v>1.3274885636084717</c:v>
                </c:pt>
                <c:pt idx="60">
                  <c:v>1.2990461572927852</c:v>
                </c:pt>
                <c:pt idx="61">
                  <c:v>1.2705541223869328</c:v>
                </c:pt>
                <c:pt idx="62">
                  <c:v>1.2420083466326812</c:v>
                </c:pt>
                <c:pt idx="63">
                  <c:v>1.0813426169486586</c:v>
                </c:pt>
                <c:pt idx="64">
                  <c:v>0.95564602622914974</c:v>
                </c:pt>
                <c:pt idx="65">
                  <c:v>0.85520742848645426</c:v>
                </c:pt>
                <c:pt idx="66">
                  <c:v>0.77337546370230004</c:v>
                </c:pt>
                <c:pt idx="67">
                  <c:v>0.70554977426269216</c:v>
                </c:pt>
                <c:pt idx="68">
                  <c:v>0.64848751075501088</c:v>
                </c:pt>
                <c:pt idx="69">
                  <c:v>0.59985385431580429</c:v>
                </c:pt>
                <c:pt idx="70">
                  <c:v>0.55793262744226613</c:v>
                </c:pt>
                <c:pt idx="71">
                  <c:v>0.52143784205700716</c:v>
                </c:pt>
                <c:pt idx="72">
                  <c:v>0.48938877111835966</c:v>
                </c:pt>
                <c:pt idx="73">
                  <c:v>0.46102548426306222</c:v>
                </c:pt>
                <c:pt idx="74">
                  <c:v>0.43575060946321992</c:v>
                </c:pt>
                <c:pt idx="75">
                  <c:v>0.41308841783060107</c:v>
                </c:pt>
                <c:pt idx="76">
                  <c:v>0.39265556987628569</c:v>
                </c:pt>
                <c:pt idx="77">
                  <c:v>0.37413985644584913</c:v>
                </c:pt>
                <c:pt idx="78">
                  <c:v>0.3572845156521533</c:v>
                </c:pt>
                <c:pt idx="79">
                  <c:v>0.34187650201939163</c:v>
                </c:pt>
                <c:pt idx="80">
                  <c:v>0.32773759914157868</c:v>
                </c:pt>
                <c:pt idx="81">
                  <c:v>0.31471760685850603</c:v>
                </c:pt>
                <c:pt idx="82">
                  <c:v>0.30268905854745115</c:v>
                </c:pt>
                <c:pt idx="83">
                  <c:v>0.29154310087370439</c:v>
                </c:pt>
                <c:pt idx="84">
                  <c:v>0.28118620757724538</c:v>
                </c:pt>
                <c:pt idx="85">
                  <c:v>0.27153759124789045</c:v>
                </c:pt>
                <c:pt idx="86">
                  <c:v>0.26252710771811022</c:v>
                </c:pt>
                <c:pt idx="87">
                  <c:v>0.25409356270759881</c:v>
                </c:pt>
                <c:pt idx="88">
                  <c:v>0.24618333113331392</c:v>
                </c:pt>
                <c:pt idx="89">
                  <c:v>0.23874922389550282</c:v>
                </c:pt>
                <c:pt idx="90">
                  <c:v>0.23174955196968308</c:v>
                </c:pt>
                <c:pt idx="91">
                  <c:v>0.22514734895011343</c:v>
                </c:pt>
                <c:pt idx="92">
                  <c:v>0.21890972163810518</c:v>
                </c:pt>
                <c:pt idx="93">
                  <c:v>0.2130073047804385</c:v>
                </c:pt>
                <c:pt idx="94">
                  <c:v>0.20741380099490639</c:v>
                </c:pt>
                <c:pt idx="95">
                  <c:v>0.20210559078163334</c:v>
                </c:pt>
                <c:pt idx="96">
                  <c:v>0.19706140047486553</c:v>
                </c:pt>
                <c:pt idx="97">
                  <c:v>0.19226201836003315</c:v>
                </c:pt>
                <c:pt idx="98">
                  <c:v>0.18769005099764552</c:v>
                </c:pt>
                <c:pt idx="99">
                  <c:v>0.18332971326996034</c:v>
                </c:pt>
                <c:pt idx="100">
                  <c:v>0.17916664684385394</c:v>
                </c:pt>
                <c:pt idx="101">
                  <c:v>0.17518776264993483</c:v>
                </c:pt>
                <c:pt idx="102">
                  <c:v>0.1713811037707231</c:v>
                </c:pt>
                <c:pt idx="103">
                  <c:v>0.16773572570518586</c:v>
                </c:pt>
                <c:pt idx="104">
                  <c:v>0.16424159151262838</c:v>
                </c:pt>
                <c:pt idx="105">
                  <c:v>0.160889479708554</c:v>
                </c:pt>
                <c:pt idx="106">
                  <c:v>0.15767090314695212</c:v>
                </c:pt>
                <c:pt idx="107">
                  <c:v>0.15457803739473402</c:v>
                </c:pt>
                <c:pt idx="108">
                  <c:v>0.15160365732089023</c:v>
                </c:pt>
                <c:pt idx="109">
                  <c:v>0.14874108082787593</c:v>
                </c:pt>
                <c:pt idx="110">
                  <c:v>0.14598411880204595</c:v>
                </c:pt>
                <c:pt idx="111">
                  <c:v>0.14332703049641815</c:v>
                </c:pt>
                <c:pt idx="112">
                  <c:v>0.1407644836698573</c:v>
                </c:pt>
                <c:pt idx="113">
                  <c:v>0.13829151890745706</c:v>
                </c:pt>
                <c:pt idx="114">
                  <c:v>0.13590351761073274</c:v>
                </c:pt>
                <c:pt idx="115">
                  <c:v>0.13359617322755421</c:v>
                </c:pt>
                <c:pt idx="116">
                  <c:v>0.13136546535344057</c:v>
                </c:pt>
                <c:pt idx="117">
                  <c:v>0.12920763636631577</c:v>
                </c:pt>
                <c:pt idx="118">
                  <c:v>0.12711917031145098</c:v>
                </c:pt>
                <c:pt idx="119">
                  <c:v>0.12509677379531137</c:v>
                </c:pt>
                <c:pt idx="120">
                  <c:v>0.12313735865890099</c:v>
                </c:pt>
                <c:pt idx="121">
                  <c:v>0.12123802625204698</c:v>
                </c:pt>
                <c:pt idx="122">
                  <c:v>0.11939605312132928</c:v>
                </c:pt>
                <c:pt idx="123">
                  <c:v>0.11760887798651286</c:v>
                </c:pt>
                <c:pt idx="124">
                  <c:v>0.11587408986126667</c:v>
                </c:pt>
                <c:pt idx="125">
                  <c:v>0.11418941719690175</c:v>
                </c:pt>
                <c:pt idx="126">
                  <c:v>0.11255271795848761</c:v>
                </c:pt>
                <c:pt idx="127">
                  <c:v>0.11096197054335413</c:v>
                </c:pt>
                <c:pt idx="128">
                  <c:v>0.10941526544132649</c:v>
                </c:pt>
                <c:pt idx="129">
                  <c:v>0.1079107975938252</c:v>
                </c:pt>
                <c:pt idx="130">
                  <c:v>0.10644685935647998</c:v>
                </c:pt>
                <c:pt idx="131">
                  <c:v>0.10502183403893434</c:v>
                </c:pt>
                <c:pt idx="132">
                  <c:v>0.10363418993840055</c:v>
                </c:pt>
                <c:pt idx="133">
                  <c:v>0.1022824748490249</c:v>
                </c:pt>
                <c:pt idx="134">
                  <c:v>0.10096531098719115</c:v>
                </c:pt>
                <c:pt idx="135">
                  <c:v>9.9681390304066961E-2</c:v>
                </c:pt>
                <c:pt idx="136">
                  <c:v>9.8429470143848188E-2</c:v>
                </c:pt>
                <c:pt idx="137">
                  <c:v>9.720836923099993E-2</c:v>
                </c:pt>
                <c:pt idx="138">
                  <c:v>9.6016963943023545E-2</c:v>
                </c:pt>
                <c:pt idx="139">
                  <c:v>9.4854184858555776E-2</c:v>
                </c:pt>
                <c:pt idx="140">
                  <c:v>9.371901354349968E-2</c:v>
                </c:pt>
                <c:pt idx="141">
                  <c:v>9.2610479569757681E-2</c:v>
                </c:pt>
                <c:pt idx="142">
                  <c:v>9.1527657736353754E-2</c:v>
                </c:pt>
                <c:pt idx="143">
                  <c:v>9.0469665485606685E-2</c:v>
                </c:pt>
                <c:pt idx="144">
                  <c:v>8.9435660485136667E-2</c:v>
                </c:pt>
                <c:pt idx="145">
                  <c:v>8.8424838385537954E-2</c:v>
                </c:pt>
                <c:pt idx="146">
                  <c:v>8.7436430706206034E-2</c:v>
                </c:pt>
                <c:pt idx="147">
                  <c:v>8.6469702873988682E-2</c:v>
                </c:pt>
                <c:pt idx="148">
                  <c:v>8.5523952383403268E-2</c:v>
                </c:pt>
                <c:pt idx="149">
                  <c:v>8.459850706428014E-2</c:v>
                </c:pt>
                <c:pt idx="150">
                  <c:v>8.3692723462368113E-2</c:v>
                </c:pt>
                <c:pt idx="151">
                  <c:v>8.2805985320193454E-2</c:v>
                </c:pt>
                <c:pt idx="152">
                  <c:v>8.1937702139833479E-2</c:v>
                </c:pt>
                <c:pt idx="153">
                  <c:v>8.1087307831521307E-2</c:v>
                </c:pt>
                <c:pt idx="154">
                  <c:v>8.0254259444672779E-2</c:v>
                </c:pt>
                <c:pt idx="155">
                  <c:v>7.943803595561677E-2</c:v>
                </c:pt>
                <c:pt idx="156">
                  <c:v>7.8639036976226553E-2</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02-D0C7-44DA-844B-5806CB639641}"/>
            </c:ext>
          </c:extLst>
        </c:ser>
        <c:ser>
          <c:idx val="1"/>
          <c:order val="1"/>
          <c:tx>
            <c:v>Dew line</c:v>
          </c:tx>
          <c:spPr>
            <a:ln w="19050" cap="rnd">
              <a:solidFill>
                <a:schemeClr val="accent2"/>
              </a:solidFill>
              <a:round/>
            </a:ln>
            <a:effectLst/>
          </c:spPr>
          <c:marker>
            <c:symbol val="none"/>
          </c:marker>
          <c:xVal>
            <c:numRef>
              <c:f>'ptx Diagrams'!$O$7:$O$306</c:f>
              <c:numCache>
                <c:formatCode>0.000</c:formatCode>
                <c:ptCount val="300"/>
                <c:pt idx="0">
                  <c:v>0</c:v>
                </c:pt>
                <c:pt idx="1">
                  <c:v>1.4625934018182084E-3</c:v>
                </c:pt>
                <c:pt idx="2">
                  <c:v>3.1034970964232099E-3</c:v>
                </c:pt>
                <c:pt idx="3">
                  <c:v>4.5955841630330426E-3</c:v>
                </c:pt>
                <c:pt idx="4">
                  <c:v>5.9681845549082744E-3</c:v>
                </c:pt>
                <c:pt idx="5">
                  <c:v>7.2429204605918172E-3</c:v>
                </c:pt>
                <c:pt idx="6">
                  <c:v>8.4362458456071297E-3</c:v>
                </c:pt>
                <c:pt idx="7">
                  <c:v>9.5610079500886534E-3</c:v>
                </c:pt>
                <c:pt idx="8">
                  <c:v>1.062745449986072E-2</c:v>
                </c:pt>
                <c:pt idx="9">
                  <c:v>1.164390920947767E-2</c:v>
                </c:pt>
                <c:pt idx="10">
                  <c:v>1.2617239757866916E-2</c:v>
                </c:pt>
                <c:pt idx="11">
                  <c:v>1.3553191023628617E-2</c:v>
                </c:pt>
                <c:pt idx="12">
                  <c:v>1.4456628036768787E-2</c:v>
                </c:pt>
                <c:pt idx="13">
                  <c:v>1.5331716768997708E-2</c:v>
                </c:pt>
                <c:pt idx="14">
                  <c:v>1.6182061101458412E-2</c:v>
                </c:pt>
                <c:pt idx="15">
                  <c:v>1.7010808253964897E-2</c:v>
                </c:pt>
                <c:pt idx="16">
                  <c:v>1.7820731102686335E-2</c:v>
                </c:pt>
                <c:pt idx="17">
                  <c:v>1.8614293291003805E-2</c:v>
                </c:pt>
                <c:pt idx="18">
                  <c:v>1.9393701349342259E-2</c:v>
                </c:pt>
                <c:pt idx="19">
                  <c:v>2.0160946884079219E-2</c:v>
                </c:pt>
                <c:pt idx="20">
                  <c:v>2.0917841089395244E-2</c:v>
                </c:pt>
                <c:pt idx="21">
                  <c:v>2.1666043263806022E-2</c:v>
                </c:pt>
                <c:pt idx="22">
                  <c:v>2.2407084601495531E-2</c:v>
                </c:pt>
                <c:pt idx="23">
                  <c:v>2.3142388228436235E-2</c:v>
                </c:pt>
                <c:pt idx="24">
                  <c:v>2.3873286232316104E-2</c:v>
                </c:pt>
                <c:pt idx="25">
                  <c:v>2.4601034270972533E-2</c:v>
                </c:pt>
                <c:pt idx="26">
                  <c:v>2.5326824220599689E-2</c:v>
                </c:pt>
                <c:pt idx="27">
                  <c:v>2.6051795231572198E-2</c:v>
                </c:pt>
                <c:pt idx="28">
                  <c:v>2.6777043230310771E-2</c:v>
                </c:pt>
                <c:pt idx="29">
                  <c:v>2.7503630692195444E-2</c:v>
                </c:pt>
                <c:pt idx="30">
                  <c:v>2.8232592831875007E-2</c:v>
                </c:pt>
                <c:pt idx="31">
                  <c:v>2.8964945912027959E-2</c:v>
                </c:pt>
                <c:pt idx="32">
                  <c:v>2.9701693552840157E-2</c:v>
                </c:pt>
                <c:pt idx="33">
                  <c:v>3.0443832909166225E-2</c:v>
                </c:pt>
                <c:pt idx="34">
                  <c:v>3.1192360519283202E-2</c:v>
                </c:pt>
                <c:pt idx="35">
                  <c:v>3.1948277914682563E-2</c:v>
                </c:pt>
                <c:pt idx="36">
                  <c:v>3.2712597075027147E-2</c:v>
                </c:pt>
                <c:pt idx="37">
                  <c:v>3.3486345798359213E-2</c:v>
                </c:pt>
                <c:pt idx="38">
                  <c:v>3.4270573058715788E-2</c:v>
                </c:pt>
                <c:pt idx="39">
                  <c:v>3.5066354415728994E-2</c:v>
                </c:pt>
                <c:pt idx="40">
                  <c:v>3.587479754057276E-2</c:v>
                </c:pt>
                <c:pt idx="41">
                  <c:v>3.6697047922175166E-2</c:v>
                </c:pt>
                <c:pt idx="42">
                  <c:v>3.7534294818819425E-2</c:v>
                </c:pt>
                <c:pt idx="43">
                  <c:v>3.8387777522655001E-2</c:v>
                </c:pt>
                <c:pt idx="44">
                  <c:v>3.9258792008646168E-2</c:v>
                </c:pt>
                <c:pt idx="45">
                  <c:v>4.0148698044643896E-2</c:v>
                </c:pt>
                <c:pt idx="46">
                  <c:v>4.1058926846297854E-2</c:v>
                </c:pt>
                <c:pt idx="47">
                  <c:v>4.1990989368868588E-2</c:v>
                </c:pt>
                <c:pt idx="48">
                  <c:v>4.2946485338753441E-2</c:v>
                </c:pt>
                <c:pt idx="49">
                  <c:v>4.3927113139907013E-2</c:v>
                </c:pt>
                <c:pt idx="50">
                  <c:v>4.4934680685940524E-2</c:v>
                </c:pt>
                <c:pt idx="51">
                  <c:v>4.5971117426496809E-2</c:v>
                </c:pt>
                <c:pt idx="52">
                  <c:v>4.7038487658607034E-2</c:v>
                </c:pt>
                <c:pt idx="53">
                  <c:v>4.8139005339381355E-2</c:v>
                </c:pt>
                <c:pt idx="54">
                  <c:v>4.9275050627476787E-2</c:v>
                </c:pt>
                <c:pt idx="55">
                  <c:v>5.0449188417717145E-2</c:v>
                </c:pt>
                <c:pt idx="56">
                  <c:v>5.1664189177550043E-2</c:v>
                </c:pt>
                <c:pt idx="57">
                  <c:v>5.292305244717424E-2</c:v>
                </c:pt>
                <c:pt idx="58">
                  <c:v>5.4229033429269081E-2</c:v>
                </c:pt>
                <c:pt idx="59">
                  <c:v>5.5585673171593401E-2</c:v>
                </c:pt>
                <c:pt idx="60">
                  <c:v>5.6996832939605377E-2</c:v>
                </c:pt>
                <c:pt idx="61">
                  <c:v>5.8466733412624615E-2</c:v>
                </c:pt>
                <c:pt idx="62">
                  <c:v>5.9999999999999255E-2</c:v>
                </c:pt>
                <c:pt idx="63">
                  <c:v>6.9999999999999257E-2</c:v>
                </c:pt>
                <c:pt idx="64">
                  <c:v>7.9999999999999252E-2</c:v>
                </c:pt>
                <c:pt idx="65">
                  <c:v>8.9999999999999247E-2</c:v>
                </c:pt>
                <c:pt idx="66">
                  <c:v>9.9999999999999242E-2</c:v>
                </c:pt>
                <c:pt idx="67">
                  <c:v>0.10999999999999924</c:v>
                </c:pt>
                <c:pt idx="68">
                  <c:v>0.11999999999999923</c:v>
                </c:pt>
                <c:pt idx="69">
                  <c:v>0.12999999999999923</c:v>
                </c:pt>
                <c:pt idx="70">
                  <c:v>0.13999999999999924</c:v>
                </c:pt>
                <c:pt idx="71">
                  <c:v>0.14999999999999925</c:v>
                </c:pt>
                <c:pt idx="72">
                  <c:v>0.15999999999999925</c:v>
                </c:pt>
                <c:pt idx="73">
                  <c:v>0.16999999999999926</c:v>
                </c:pt>
                <c:pt idx="74">
                  <c:v>0.17999999999999927</c:v>
                </c:pt>
                <c:pt idx="75">
                  <c:v>0.18999999999999928</c:v>
                </c:pt>
                <c:pt idx="76">
                  <c:v>0.19999999999999929</c:v>
                </c:pt>
                <c:pt idx="77">
                  <c:v>0.2099999999999993</c:v>
                </c:pt>
                <c:pt idx="78">
                  <c:v>0.21999999999999931</c:v>
                </c:pt>
                <c:pt idx="79">
                  <c:v>0.22999999999999932</c:v>
                </c:pt>
                <c:pt idx="80">
                  <c:v>0.23999999999999932</c:v>
                </c:pt>
                <c:pt idx="81">
                  <c:v>0.24999999999999933</c:v>
                </c:pt>
                <c:pt idx="82">
                  <c:v>0.25999999999999934</c:v>
                </c:pt>
                <c:pt idx="83">
                  <c:v>0.26999999999999935</c:v>
                </c:pt>
                <c:pt idx="84">
                  <c:v>0.27999999999999936</c:v>
                </c:pt>
                <c:pt idx="85">
                  <c:v>0.28999999999999937</c:v>
                </c:pt>
                <c:pt idx="86">
                  <c:v>0.29999999999999938</c:v>
                </c:pt>
                <c:pt idx="87">
                  <c:v>0.30999999999999939</c:v>
                </c:pt>
                <c:pt idx="88">
                  <c:v>0.3199999999999994</c:v>
                </c:pt>
                <c:pt idx="89">
                  <c:v>0.3299999999999994</c:v>
                </c:pt>
                <c:pt idx="90">
                  <c:v>0.33999999999999941</c:v>
                </c:pt>
                <c:pt idx="91">
                  <c:v>0.34999999999999942</c:v>
                </c:pt>
                <c:pt idx="92">
                  <c:v>0.35999999999999943</c:v>
                </c:pt>
                <c:pt idx="93">
                  <c:v>0.36999999999999944</c:v>
                </c:pt>
                <c:pt idx="94">
                  <c:v>0.37999999999999945</c:v>
                </c:pt>
                <c:pt idx="95">
                  <c:v>0.38999999999999946</c:v>
                </c:pt>
                <c:pt idx="96">
                  <c:v>0.39999999999999947</c:v>
                </c:pt>
                <c:pt idx="97">
                  <c:v>0.40999999999999948</c:v>
                </c:pt>
                <c:pt idx="98">
                  <c:v>0.41999999999999948</c:v>
                </c:pt>
                <c:pt idx="99">
                  <c:v>0.42999999999999949</c:v>
                </c:pt>
                <c:pt idx="100">
                  <c:v>0.4399999999999995</c:v>
                </c:pt>
                <c:pt idx="101">
                  <c:v>0.44999999999999951</c:v>
                </c:pt>
                <c:pt idx="102">
                  <c:v>0.45999999999999952</c:v>
                </c:pt>
                <c:pt idx="103">
                  <c:v>0.46999999999999953</c:v>
                </c:pt>
                <c:pt idx="104">
                  <c:v>0.47999999999999954</c:v>
                </c:pt>
                <c:pt idx="105">
                  <c:v>0.48999999999999955</c:v>
                </c:pt>
                <c:pt idx="106">
                  <c:v>0.49999999999999956</c:v>
                </c:pt>
                <c:pt idx="107">
                  <c:v>0.50999999999999956</c:v>
                </c:pt>
                <c:pt idx="108">
                  <c:v>0.51999999999999957</c:v>
                </c:pt>
                <c:pt idx="109">
                  <c:v>0.52999999999999958</c:v>
                </c:pt>
                <c:pt idx="110">
                  <c:v>0.53999999999999959</c:v>
                </c:pt>
                <c:pt idx="111">
                  <c:v>0.5499999999999996</c:v>
                </c:pt>
                <c:pt idx="112">
                  <c:v>0.55999999999999961</c:v>
                </c:pt>
                <c:pt idx="113">
                  <c:v>0.56999999999999962</c:v>
                </c:pt>
                <c:pt idx="114">
                  <c:v>0.57999999999999963</c:v>
                </c:pt>
                <c:pt idx="115">
                  <c:v>0.58999999999999964</c:v>
                </c:pt>
                <c:pt idx="116">
                  <c:v>0.59999999999999964</c:v>
                </c:pt>
                <c:pt idx="117">
                  <c:v>0.60999999999999965</c:v>
                </c:pt>
                <c:pt idx="118">
                  <c:v>0.61999999999999966</c:v>
                </c:pt>
                <c:pt idx="119">
                  <c:v>0.62999999999999967</c:v>
                </c:pt>
                <c:pt idx="120">
                  <c:v>0.63999999999999968</c:v>
                </c:pt>
                <c:pt idx="121">
                  <c:v>0.64999999999999969</c:v>
                </c:pt>
                <c:pt idx="122">
                  <c:v>0.6599999999999997</c:v>
                </c:pt>
                <c:pt idx="123">
                  <c:v>0.66999999999999971</c:v>
                </c:pt>
                <c:pt idx="124">
                  <c:v>0.67999999999999972</c:v>
                </c:pt>
                <c:pt idx="125">
                  <c:v>0.68999999999999972</c:v>
                </c:pt>
                <c:pt idx="126">
                  <c:v>0.69999999999999973</c:v>
                </c:pt>
                <c:pt idx="127">
                  <c:v>0.70999999999999974</c:v>
                </c:pt>
                <c:pt idx="128">
                  <c:v>0.71999999999999975</c:v>
                </c:pt>
                <c:pt idx="129">
                  <c:v>0.72999999999999976</c:v>
                </c:pt>
                <c:pt idx="130">
                  <c:v>0.73999999999999977</c:v>
                </c:pt>
                <c:pt idx="131">
                  <c:v>0.74999999999999978</c:v>
                </c:pt>
                <c:pt idx="132">
                  <c:v>0.75999999999999979</c:v>
                </c:pt>
                <c:pt idx="133">
                  <c:v>0.7699999999999998</c:v>
                </c:pt>
                <c:pt idx="134">
                  <c:v>0.7799999999999998</c:v>
                </c:pt>
                <c:pt idx="135">
                  <c:v>0.78999999999999981</c:v>
                </c:pt>
                <c:pt idx="136">
                  <c:v>0.79999999999999982</c:v>
                </c:pt>
                <c:pt idx="137">
                  <c:v>0.80999999999999983</c:v>
                </c:pt>
                <c:pt idx="138">
                  <c:v>0.81999999999999984</c:v>
                </c:pt>
                <c:pt idx="139">
                  <c:v>0.82999999999999985</c:v>
                </c:pt>
                <c:pt idx="140">
                  <c:v>0.83999999999999986</c:v>
                </c:pt>
                <c:pt idx="141">
                  <c:v>0.84999999999999987</c:v>
                </c:pt>
                <c:pt idx="142">
                  <c:v>0.85999999999999988</c:v>
                </c:pt>
                <c:pt idx="143">
                  <c:v>0.86999999999999988</c:v>
                </c:pt>
                <c:pt idx="144">
                  <c:v>0.87999999999999989</c:v>
                </c:pt>
                <c:pt idx="145">
                  <c:v>0.8899999999999999</c:v>
                </c:pt>
                <c:pt idx="146">
                  <c:v>0.89999999999999991</c:v>
                </c:pt>
                <c:pt idx="147">
                  <c:v>0.90999999999999992</c:v>
                </c:pt>
                <c:pt idx="148">
                  <c:v>0.91999999999999993</c:v>
                </c:pt>
                <c:pt idx="149">
                  <c:v>0.92999999999999994</c:v>
                </c:pt>
                <c:pt idx="150">
                  <c:v>0.94</c:v>
                </c:pt>
                <c:pt idx="151">
                  <c:v>0.95</c:v>
                </c:pt>
                <c:pt idx="152">
                  <c:v>0.96</c:v>
                </c:pt>
                <c:pt idx="153">
                  <c:v>0.97</c:v>
                </c:pt>
                <c:pt idx="154">
                  <c:v>0.98</c:v>
                </c:pt>
                <c:pt idx="155">
                  <c:v>0.99</c:v>
                </c:pt>
                <c:pt idx="156">
                  <c:v>1</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'ptx Diagrams'!$I$7:$I$306</c:f>
              <c:numCache>
                <c:formatCode>0.000</c:formatCode>
                <c:ptCount val="300"/>
                <c:pt idx="0">
                  <c:v>3.2851804144731753</c:v>
                </c:pt>
                <c:pt idx="1">
                  <c:v>3.2382718894930149</c:v>
                </c:pt>
                <c:pt idx="2">
                  <c:v>3.1833915104173811</c:v>
                </c:pt>
                <c:pt idx="3">
                  <c:v>3.1314502014297929</c:v>
                </c:pt>
                <c:pt idx="4">
                  <c:v>3.081993319548999</c:v>
                </c:pt>
                <c:pt idx="5">
                  <c:v>3.034669457132134</c:v>
                </c:pt>
                <c:pt idx="6">
                  <c:v>2.9891994975635163</c:v>
                </c:pt>
                <c:pt idx="7">
                  <c:v>2.9453568719118062</c:v>
                </c:pt>
                <c:pt idx="8">
                  <c:v>2.9029543725867497</c:v>
                </c:pt>
                <c:pt idx="9">
                  <c:v>2.8618350135750732</c:v>
                </c:pt>
                <c:pt idx="10">
                  <c:v>2.8218654972801254</c:v>
                </c:pt>
                <c:pt idx="11">
                  <c:v>2.7829314214888772</c:v>
                </c:pt>
                <c:pt idx="12">
                  <c:v>2.7449336840378029</c:v>
                </c:pt>
                <c:pt idx="13">
                  <c:v>2.7077857339871936</c:v>
                </c:pt>
                <c:pt idx="14">
                  <c:v>2.6714114350871427</c:v>
                </c:pt>
                <c:pt idx="15">
                  <c:v>2.6357433810907214</c:v>
                </c:pt>
                <c:pt idx="16">
                  <c:v>2.6007215503240357</c:v>
                </c:pt>
                <c:pt idx="17">
                  <c:v>2.566292218778877</c:v>
                </c:pt>
                <c:pt idx="18">
                  <c:v>2.5324070727707748</c:v>
                </c:pt>
                <c:pt idx="19">
                  <c:v>2.4990224774498992</c:v>
                </c:pt>
                <c:pt idx="20">
                  <c:v>2.4660988683553096</c:v>
                </c:pt>
                <c:pt idx="21">
                  <c:v>2.433600241113389</c:v>
                </c:pt>
                <c:pt idx="22">
                  <c:v>2.4014937202271849</c:v>
                </c:pt>
                <c:pt idx="23">
                  <c:v>2.3697491922152381</c:v>
                </c:pt>
                <c:pt idx="24">
                  <c:v>2.3383389915910624</c:v>
                </c:pt>
                <c:pt idx="25">
                  <c:v>2.307237630608113</c:v>
                </c:pt>
                <c:pt idx="26">
                  <c:v>2.2764215655252462</c:v>
                </c:pt>
                <c:pt idx="27">
                  <c:v>2.2458689935571168</c:v>
                </c:pt>
                <c:pt idx="28">
                  <c:v>2.2155596707536693</c:v>
                </c:pt>
                <c:pt idx="29">
                  <c:v>2.1854747777424355</c:v>
                </c:pt>
                <c:pt idx="30">
                  <c:v>2.15559675091834</c:v>
                </c:pt>
                <c:pt idx="31">
                  <c:v>2.1259091849914742</c:v>
                </c:pt>
                <c:pt idx="32">
                  <c:v>2.0963967207806582</c:v>
                </c:pt>
                <c:pt idx="33">
                  <c:v>2.0670449509515283</c:v>
                </c:pt>
                <c:pt idx="34">
                  <c:v>2.0378403361632236</c:v>
                </c:pt>
                <c:pt idx="35">
                  <c:v>2.0087701302334677</c:v>
                </c:pt>
                <c:pt idx="36">
                  <c:v>1.979822313252708</c:v>
                </c:pt>
                <c:pt idx="37">
                  <c:v>1.9509855315577393</c:v>
                </c:pt>
                <c:pt idx="38">
                  <c:v>1.9222490438024027</c:v>
                </c:pt>
                <c:pt idx="39">
                  <c:v>1.8936026723703538</c:v>
                </c:pt>
                <c:pt idx="40">
                  <c:v>1.8650367595082882</c:v>
                </c:pt>
                <c:pt idx="41">
                  <c:v>1.836542127637282</c:v>
                </c:pt>
                <c:pt idx="42">
                  <c:v>1.8081100433759818</c:v>
                </c:pt>
                <c:pt idx="43">
                  <c:v>1.7797321848596028</c:v>
                </c:pt>
                <c:pt idx="44">
                  <c:v>1.7514006120043069</c:v>
                </c:pt>
                <c:pt idx="45">
                  <c:v>1.7231077393960146</c:v>
                </c:pt>
                <c:pt idx="46">
                  <c:v>1.6948463115376686</c:v>
                </c:pt>
                <c:pt idx="47">
                  <c:v>1.6666093802012898</c:v>
                </c:pt>
                <c:pt idx="48">
                  <c:v>1.6383902836847473</c:v>
                </c:pt>
                <c:pt idx="49">
                  <c:v>1.6101826277683564</c:v>
                </c:pt>
                <c:pt idx="50">
                  <c:v>1.5819802682219453</c:v>
                </c:pt>
                <c:pt idx="51">
                  <c:v>1.5537772946959174</c:v>
                </c:pt>
                <c:pt idx="52">
                  <c:v>1.5255680158791662</c:v>
                </c:pt>
                <c:pt idx="53">
                  <c:v>1.4973469457969182</c:v>
                </c:pt>
                <c:pt idx="54">
                  <c:v>1.4691087911463621</c:v>
                </c:pt>
                <c:pt idx="55">
                  <c:v>1.4408484395764376</c:v>
                </c:pt>
                <c:pt idx="56">
                  <c:v>1.4125609488273601</c:v>
                </c:pt>
                <c:pt idx="57">
                  <c:v>1.3842415366531142</c:v>
                </c:pt>
                <c:pt idx="58">
                  <c:v>1.3558855714615077</c:v>
                </c:pt>
                <c:pt idx="59">
                  <c:v>1.3274885636084717</c:v>
                </c:pt>
                <c:pt idx="60">
                  <c:v>1.2990461572927852</c:v>
                </c:pt>
                <c:pt idx="61">
                  <c:v>1.2705541223869328</c:v>
                </c:pt>
                <c:pt idx="62">
                  <c:v>1.2420083466326812</c:v>
                </c:pt>
                <c:pt idx="63">
                  <c:v>1.0813426169486586</c:v>
                </c:pt>
                <c:pt idx="64">
                  <c:v>0.95564602622914974</c:v>
                </c:pt>
                <c:pt idx="65">
                  <c:v>0.85520742848645426</c:v>
                </c:pt>
                <c:pt idx="66">
                  <c:v>0.77337546370230004</c:v>
                </c:pt>
                <c:pt idx="67">
                  <c:v>0.70554977426269216</c:v>
                </c:pt>
                <c:pt idx="68">
                  <c:v>0.64848751075501088</c:v>
                </c:pt>
                <c:pt idx="69">
                  <c:v>0.59985385431580429</c:v>
                </c:pt>
                <c:pt idx="70">
                  <c:v>0.55793262744226613</c:v>
                </c:pt>
                <c:pt idx="71">
                  <c:v>0.52143784205700716</c:v>
                </c:pt>
                <c:pt idx="72">
                  <c:v>0.48938877111835966</c:v>
                </c:pt>
                <c:pt idx="73">
                  <c:v>0.46102548426306222</c:v>
                </c:pt>
                <c:pt idx="74">
                  <c:v>0.43575060946321992</c:v>
                </c:pt>
                <c:pt idx="75">
                  <c:v>0.41308841783060107</c:v>
                </c:pt>
                <c:pt idx="76">
                  <c:v>0.39265556987628569</c:v>
                </c:pt>
                <c:pt idx="77">
                  <c:v>0.37413985644584913</c:v>
                </c:pt>
                <c:pt idx="78">
                  <c:v>0.3572845156521533</c:v>
                </c:pt>
                <c:pt idx="79">
                  <c:v>0.34187650201939163</c:v>
                </c:pt>
                <c:pt idx="80">
                  <c:v>0.32773759914157868</c:v>
                </c:pt>
                <c:pt idx="81">
                  <c:v>0.31471760685850603</c:v>
                </c:pt>
                <c:pt idx="82">
                  <c:v>0.30268905854745115</c:v>
                </c:pt>
                <c:pt idx="83">
                  <c:v>0.29154310087370439</c:v>
                </c:pt>
                <c:pt idx="84">
                  <c:v>0.28118620757724538</c:v>
                </c:pt>
                <c:pt idx="85">
                  <c:v>0.27153759124789045</c:v>
                </c:pt>
                <c:pt idx="86">
                  <c:v>0.26252710771811022</c:v>
                </c:pt>
                <c:pt idx="87">
                  <c:v>0.25409356270759881</c:v>
                </c:pt>
                <c:pt idx="88">
                  <c:v>0.24618333113331392</c:v>
                </c:pt>
                <c:pt idx="89">
                  <c:v>0.23874922389550282</c:v>
                </c:pt>
                <c:pt idx="90">
                  <c:v>0.23174955196968308</c:v>
                </c:pt>
                <c:pt idx="91">
                  <c:v>0.22514734895011343</c:v>
                </c:pt>
                <c:pt idx="92">
                  <c:v>0.21890972163810518</c:v>
                </c:pt>
                <c:pt idx="93">
                  <c:v>0.2130073047804385</c:v>
                </c:pt>
                <c:pt idx="94">
                  <c:v>0.20741380099490639</c:v>
                </c:pt>
                <c:pt idx="95">
                  <c:v>0.20210559078163334</c:v>
                </c:pt>
                <c:pt idx="96">
                  <c:v>0.19706140047486553</c:v>
                </c:pt>
                <c:pt idx="97">
                  <c:v>0.19226201836003315</c:v>
                </c:pt>
                <c:pt idx="98">
                  <c:v>0.18769005099764552</c:v>
                </c:pt>
                <c:pt idx="99">
                  <c:v>0.18332971326996034</c:v>
                </c:pt>
                <c:pt idx="100">
                  <c:v>0.17916664684385394</c:v>
                </c:pt>
                <c:pt idx="101">
                  <c:v>0.17518776264993483</c:v>
                </c:pt>
                <c:pt idx="102">
                  <c:v>0.1713811037707231</c:v>
                </c:pt>
                <c:pt idx="103">
                  <c:v>0.16773572570518586</c:v>
                </c:pt>
                <c:pt idx="104">
                  <c:v>0.16424159151262838</c:v>
                </c:pt>
                <c:pt idx="105">
                  <c:v>0.160889479708554</c:v>
                </c:pt>
                <c:pt idx="106">
                  <c:v>0.15767090314695212</c:v>
                </c:pt>
                <c:pt idx="107">
                  <c:v>0.15457803739473402</c:v>
                </c:pt>
                <c:pt idx="108">
                  <c:v>0.15160365732089023</c:v>
                </c:pt>
                <c:pt idx="109">
                  <c:v>0.14874108082787593</c:v>
                </c:pt>
                <c:pt idx="110">
                  <c:v>0.14598411880204595</c:v>
                </c:pt>
                <c:pt idx="111">
                  <c:v>0.14332703049641815</c:v>
                </c:pt>
                <c:pt idx="112">
                  <c:v>0.1407644836698573</c:v>
                </c:pt>
                <c:pt idx="113">
                  <c:v>0.13829151890745706</c:v>
                </c:pt>
                <c:pt idx="114">
                  <c:v>0.13590351761073274</c:v>
                </c:pt>
                <c:pt idx="115">
                  <c:v>0.13359617322755421</c:v>
                </c:pt>
                <c:pt idx="116">
                  <c:v>0.13136546535344057</c:v>
                </c:pt>
                <c:pt idx="117">
                  <c:v>0.12920763636631577</c:v>
                </c:pt>
                <c:pt idx="118">
                  <c:v>0.12711917031145098</c:v>
                </c:pt>
                <c:pt idx="119">
                  <c:v>0.12509677379531137</c:v>
                </c:pt>
                <c:pt idx="120">
                  <c:v>0.12313735865890099</c:v>
                </c:pt>
                <c:pt idx="121">
                  <c:v>0.12123802625204698</c:v>
                </c:pt>
                <c:pt idx="122">
                  <c:v>0.11939605312132928</c:v>
                </c:pt>
                <c:pt idx="123">
                  <c:v>0.11760887798651286</c:v>
                </c:pt>
                <c:pt idx="124">
                  <c:v>0.11587408986126667</c:v>
                </c:pt>
                <c:pt idx="125">
                  <c:v>0.11418941719690175</c:v>
                </c:pt>
                <c:pt idx="126">
                  <c:v>0.11255271795848761</c:v>
                </c:pt>
                <c:pt idx="127">
                  <c:v>0.11096197054335413</c:v>
                </c:pt>
                <c:pt idx="128">
                  <c:v>0.10941526544132649</c:v>
                </c:pt>
                <c:pt idx="129">
                  <c:v>0.1079107975938252</c:v>
                </c:pt>
                <c:pt idx="130">
                  <c:v>0.10644685935647998</c:v>
                </c:pt>
                <c:pt idx="131">
                  <c:v>0.10502183403893434</c:v>
                </c:pt>
                <c:pt idx="132">
                  <c:v>0.10363418993840055</c:v>
                </c:pt>
                <c:pt idx="133">
                  <c:v>0.1022824748490249</c:v>
                </c:pt>
                <c:pt idx="134">
                  <c:v>0.10096531098719115</c:v>
                </c:pt>
                <c:pt idx="135">
                  <c:v>9.9681390304066961E-2</c:v>
                </c:pt>
                <c:pt idx="136">
                  <c:v>9.8429470143848188E-2</c:v>
                </c:pt>
                <c:pt idx="137">
                  <c:v>9.720836923099993E-2</c:v>
                </c:pt>
                <c:pt idx="138">
                  <c:v>9.6016963943023545E-2</c:v>
                </c:pt>
                <c:pt idx="139">
                  <c:v>9.4854184858555776E-2</c:v>
                </c:pt>
                <c:pt idx="140">
                  <c:v>9.371901354349968E-2</c:v>
                </c:pt>
                <c:pt idx="141">
                  <c:v>9.2610479569757681E-2</c:v>
                </c:pt>
                <c:pt idx="142">
                  <c:v>9.1527657736353754E-2</c:v>
                </c:pt>
                <c:pt idx="143">
                  <c:v>9.0469665485606685E-2</c:v>
                </c:pt>
                <c:pt idx="144">
                  <c:v>8.9435660485136667E-2</c:v>
                </c:pt>
                <c:pt idx="145">
                  <c:v>8.8424838385537954E-2</c:v>
                </c:pt>
                <c:pt idx="146">
                  <c:v>8.7436430706206034E-2</c:v>
                </c:pt>
                <c:pt idx="147">
                  <c:v>8.6469702873988682E-2</c:v>
                </c:pt>
                <c:pt idx="148">
                  <c:v>8.5523952383403268E-2</c:v>
                </c:pt>
                <c:pt idx="149">
                  <c:v>8.459850706428014E-2</c:v>
                </c:pt>
                <c:pt idx="150">
                  <c:v>8.3692723462368113E-2</c:v>
                </c:pt>
                <c:pt idx="151">
                  <c:v>8.2805985320193454E-2</c:v>
                </c:pt>
                <c:pt idx="152">
                  <c:v>8.1937702139833479E-2</c:v>
                </c:pt>
                <c:pt idx="153">
                  <c:v>8.1087307831521307E-2</c:v>
                </c:pt>
                <c:pt idx="154">
                  <c:v>8.0254259444672779E-2</c:v>
                </c:pt>
                <c:pt idx="155">
                  <c:v>7.943803595561677E-2</c:v>
                </c:pt>
                <c:pt idx="156">
                  <c:v>7.8639036976226553E-2</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03-D0C7-44DA-844B-5806CB639641}"/>
            </c:ext>
          </c:extLst>
        </c:ser>
        <c:dLbls>
          <c:showLegendKey val="0"/>
          <c:showVal val="0"/>
          <c:showCatName val="0"/>
          <c:showSerName val="0"/>
          <c:showPercent val="0"/>
          <c:showBubbleSize val="0"/>
        </c:dLbls>
        <c:axId val="436206208"/>
        <c:axId val="436339456"/>
      </c:scatterChart>
      <c:valAx>
        <c:axId val="436206208"/>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strRef>
              <c:f>'ptx Diagrams'!$O$5</c:f>
              <c:strCache>
                <c:ptCount val="1"/>
                <c:pt idx="0">
                  <c:v>x_ethane</c:v>
                </c:pt>
              </c:strCache>
            </c:strRef>
          </c:tx>
          <c:overlay val="0"/>
          <c:txPr>
            <a:bodyPr/>
            <a:lstStyle/>
            <a:p>
              <a:pPr>
                <a:defRPr i="0"/>
              </a:pPr>
              <a:endParaRPr lang="de-DE"/>
            </a:p>
          </c:txPr>
        </c:title>
        <c:numFmt formatCode="0.000" sourceLinked="0"/>
        <c:majorTickMark val="none"/>
        <c:minorTickMark val="none"/>
        <c:tickLblPos val="nextTo"/>
        <c:spPr>
          <a:noFill/>
          <a:ln w="9525" cap="flat" cmpd="sng" algn="ctr">
            <a:solidFill>
              <a:schemeClr val="tx1">
                <a:lumMod val="25000"/>
                <a:lumOff val="75000"/>
              </a:schemeClr>
            </a:solidFill>
            <a:round/>
          </a:ln>
          <a:effectLst/>
        </c:spPr>
        <c:txPr>
          <a:bodyPr rot="-60000000" vert="horz"/>
          <a:lstStyle/>
          <a:p>
            <a:pPr>
              <a:defRPr/>
            </a:pPr>
            <a:endParaRPr lang="de-DE"/>
          </a:p>
        </c:txPr>
        <c:crossAx val="436339456"/>
        <c:crosses val="autoZero"/>
        <c:crossBetween val="midCat"/>
      </c:valAx>
      <c:valAx>
        <c:axId val="436339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de-DE" i="1"/>
                  <a:t>p </a:t>
                </a:r>
                <a:r>
                  <a:rPr lang="de-DE"/>
                  <a:t>/MPa</a:t>
                </a:r>
              </a:p>
            </c:rich>
          </c:tx>
          <c:overlay val="0"/>
          <c:spPr>
            <a:noFill/>
            <a:ln>
              <a:noFill/>
            </a:ln>
            <a:effectLst/>
          </c:sp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vert="horz"/>
          <a:lstStyle/>
          <a:p>
            <a:pPr>
              <a:defRPr/>
            </a:pPr>
            <a:endParaRPr lang="de-DE"/>
          </a:p>
        </c:txPr>
        <c:crossAx val="436206208"/>
        <c:crosses val="autoZero"/>
        <c:crossBetween val="midCat"/>
      </c:valAx>
      <c:spPr>
        <a:noFill/>
        <a:ln>
          <a:noFill/>
        </a:ln>
        <a:effectLst/>
      </c:spPr>
    </c:plotArea>
    <c:legend>
      <c:legendPos val="b"/>
      <c:overlay val="0"/>
      <c:spPr>
        <a:noFill/>
        <a:ln>
          <a:noFill/>
        </a:ln>
        <a:effectLst/>
      </c:spPr>
      <c:txPr>
        <a:bodyPr rot="0" vert="horz"/>
        <a:lstStyle/>
        <a:p>
          <a:pPr>
            <a:defRPr/>
          </a:pPr>
          <a:endParaRPr lang="de-DE"/>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000"/>
      </a:pPr>
      <a:endParaRPr lang="de-DE"/>
    </a:p>
  </c:txPr>
  <c:printSettings>
    <c:headerFooter/>
    <c:pageMargins b="0.78740157499999996" l="0.70000000000000062" r="0.70000000000000062" t="0.78740157499999996"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de-DE" sz="1800" i="1"/>
              <a:t>T-x</a:t>
            </a:r>
            <a:r>
              <a:rPr lang="de-DE" sz="1800"/>
              <a:t> diagram</a:t>
            </a:r>
          </a:p>
        </c:rich>
      </c:tx>
      <c:overlay val="0"/>
      <c:spPr>
        <a:noFill/>
        <a:ln>
          <a:noFill/>
        </a:ln>
        <a:effectLst/>
      </c:spPr>
    </c:title>
    <c:autoTitleDeleted val="0"/>
    <c:plotArea>
      <c:layout>
        <c:manualLayout>
          <c:layoutTarget val="inner"/>
          <c:xMode val="edge"/>
          <c:yMode val="edge"/>
          <c:x val="8.7675132275132281E-2"/>
          <c:y val="7.2117156862745099E-2"/>
          <c:w val="0.8746910052910053"/>
          <c:h val="0.81304411764705886"/>
        </c:manualLayout>
      </c:layout>
      <c:scatterChart>
        <c:scatterStyle val="lineMarker"/>
        <c:varyColors val="0"/>
        <c:ser>
          <c:idx val="0"/>
          <c:order val="0"/>
          <c:tx>
            <c:v>Bubble line</c:v>
          </c:tx>
          <c:spPr>
            <a:ln w="19050" cap="rnd">
              <a:solidFill>
                <a:schemeClr val="accent1"/>
              </a:solidFill>
              <a:round/>
            </a:ln>
            <a:effectLst/>
          </c:spPr>
          <c:marker>
            <c:symbol val="none"/>
          </c:marker>
          <c:xVal>
            <c:numRef>
              <c:f>'ptx Diagrams'!$M$7:$M$306</c:f>
              <c:numCache>
                <c:formatCode>0.000</c:formatCode>
                <c:ptCount val="300"/>
                <c:pt idx="0">
                  <c:v>0</c:v>
                </c:pt>
                <c:pt idx="1">
                  <c:v>8.08153821229886E-3</c:v>
                </c:pt>
                <c:pt idx="2">
                  <c:v>1.808153821229886E-2</c:v>
                </c:pt>
                <c:pt idx="3">
                  <c:v>2.8081538212298862E-2</c:v>
                </c:pt>
                <c:pt idx="4">
                  <c:v>3.8081538212298864E-2</c:v>
                </c:pt>
                <c:pt idx="5">
                  <c:v>4.8081538212298866E-2</c:v>
                </c:pt>
                <c:pt idx="6">
                  <c:v>5.8081538212298868E-2</c:v>
                </c:pt>
                <c:pt idx="7">
                  <c:v>6.808153821229887E-2</c:v>
                </c:pt>
                <c:pt idx="8">
                  <c:v>7.8081538212298865E-2</c:v>
                </c:pt>
                <c:pt idx="9">
                  <c:v>8.808153821229886E-2</c:v>
                </c:pt>
                <c:pt idx="10">
                  <c:v>9.8081538212298855E-2</c:v>
                </c:pt>
                <c:pt idx="11">
                  <c:v>0.10808153821229885</c:v>
                </c:pt>
                <c:pt idx="12">
                  <c:v>0.11808153821229884</c:v>
                </c:pt>
                <c:pt idx="13">
                  <c:v>0.12808153821229884</c:v>
                </c:pt>
                <c:pt idx="14">
                  <c:v>0.13808153821229885</c:v>
                </c:pt>
                <c:pt idx="15">
                  <c:v>0.14808153821229886</c:v>
                </c:pt>
                <c:pt idx="16">
                  <c:v>0.15808153821229887</c:v>
                </c:pt>
                <c:pt idx="17">
                  <c:v>0.16808153821229888</c:v>
                </c:pt>
                <c:pt idx="18">
                  <c:v>0.17808153821229888</c:v>
                </c:pt>
                <c:pt idx="19">
                  <c:v>0.18808153821229889</c:v>
                </c:pt>
                <c:pt idx="20">
                  <c:v>0.1980815382122989</c:v>
                </c:pt>
                <c:pt idx="21">
                  <c:v>0.20808153821229891</c:v>
                </c:pt>
                <c:pt idx="22">
                  <c:v>0.21808153821229892</c:v>
                </c:pt>
                <c:pt idx="23">
                  <c:v>0.22808153821229893</c:v>
                </c:pt>
                <c:pt idx="24">
                  <c:v>0.23808153821229894</c:v>
                </c:pt>
                <c:pt idx="25">
                  <c:v>0.24808153821229895</c:v>
                </c:pt>
                <c:pt idx="26">
                  <c:v>0.25808153821229896</c:v>
                </c:pt>
                <c:pt idx="27">
                  <c:v>0.26808153821229896</c:v>
                </c:pt>
                <c:pt idx="28">
                  <c:v>0.27808153821229897</c:v>
                </c:pt>
                <c:pt idx="29">
                  <c:v>0.28808153821229898</c:v>
                </c:pt>
                <c:pt idx="30">
                  <c:v>0.29808153821229899</c:v>
                </c:pt>
                <c:pt idx="31">
                  <c:v>0.308081538212299</c:v>
                </c:pt>
                <c:pt idx="32">
                  <c:v>0.31808153821229901</c:v>
                </c:pt>
                <c:pt idx="33">
                  <c:v>0.32808153821229902</c:v>
                </c:pt>
                <c:pt idx="34">
                  <c:v>0.33808153821229903</c:v>
                </c:pt>
                <c:pt idx="35">
                  <c:v>0.34808153821229904</c:v>
                </c:pt>
                <c:pt idx="36">
                  <c:v>0.35808153821229904</c:v>
                </c:pt>
                <c:pt idx="37">
                  <c:v>0.36808153821229905</c:v>
                </c:pt>
                <c:pt idx="38">
                  <c:v>0.37808153821229906</c:v>
                </c:pt>
                <c:pt idx="39">
                  <c:v>0.38808153821229907</c:v>
                </c:pt>
                <c:pt idx="40">
                  <c:v>0.39808153821229908</c:v>
                </c:pt>
                <c:pt idx="41">
                  <c:v>0.40808153821229909</c:v>
                </c:pt>
                <c:pt idx="42">
                  <c:v>0.4180815382122991</c:v>
                </c:pt>
                <c:pt idx="43">
                  <c:v>0.42808153821229911</c:v>
                </c:pt>
                <c:pt idx="44">
                  <c:v>0.43808153821229912</c:v>
                </c:pt>
                <c:pt idx="45">
                  <c:v>0.44808153821229912</c:v>
                </c:pt>
                <c:pt idx="46">
                  <c:v>0.45808153821229913</c:v>
                </c:pt>
                <c:pt idx="47">
                  <c:v>0.46808153821229914</c:v>
                </c:pt>
                <c:pt idx="48">
                  <c:v>0.47808153821229915</c:v>
                </c:pt>
                <c:pt idx="49">
                  <c:v>0.48808153821229916</c:v>
                </c:pt>
                <c:pt idx="50">
                  <c:v>0.49808153821229917</c:v>
                </c:pt>
                <c:pt idx="51">
                  <c:v>0.50808153821229918</c:v>
                </c:pt>
                <c:pt idx="52">
                  <c:v>0.51808153821229919</c:v>
                </c:pt>
                <c:pt idx="53">
                  <c:v>0.5280815382122992</c:v>
                </c:pt>
                <c:pt idx="54">
                  <c:v>0.5380815382122992</c:v>
                </c:pt>
                <c:pt idx="55">
                  <c:v>0.54808153821229921</c:v>
                </c:pt>
                <c:pt idx="56">
                  <c:v>0.55808153821229922</c:v>
                </c:pt>
                <c:pt idx="57">
                  <c:v>0.56808153821229923</c:v>
                </c:pt>
                <c:pt idx="58">
                  <c:v>0.57808153821229924</c:v>
                </c:pt>
                <c:pt idx="59">
                  <c:v>0.58808153821229925</c:v>
                </c:pt>
                <c:pt idx="60">
                  <c:v>0.59808153821229926</c:v>
                </c:pt>
                <c:pt idx="61">
                  <c:v>0.60808153821229927</c:v>
                </c:pt>
                <c:pt idx="62">
                  <c:v>0.61808153821229928</c:v>
                </c:pt>
                <c:pt idx="63">
                  <c:v>0.67395537638712788</c:v>
                </c:pt>
                <c:pt idx="64">
                  <c:v>0.71709887335105782</c:v>
                </c:pt>
                <c:pt idx="65">
                  <c:v>0.75116060091117243</c:v>
                </c:pt>
                <c:pt idx="66">
                  <c:v>0.77862004770133042</c:v>
                </c:pt>
                <c:pt idx="67">
                  <c:v>0.80117128030086204</c:v>
                </c:pt>
                <c:pt idx="68">
                  <c:v>0.81999312561688942</c:v>
                </c:pt>
                <c:pt idx="69">
                  <c:v>0.83592389864878003</c:v>
                </c:pt>
                <c:pt idx="70">
                  <c:v>0.84957281198424239</c:v>
                </c:pt>
                <c:pt idx="71">
                  <c:v>0.86139167152128715</c:v>
                </c:pt>
                <c:pt idx="72">
                  <c:v>0.87172183277081539</c:v>
                </c:pt>
                <c:pt idx="73">
                  <c:v>0.88082558047151793</c:v>
                </c:pt>
                <c:pt idx="74">
                  <c:v>0.88890752993174593</c:v>
                </c:pt>
                <c:pt idx="75">
                  <c:v>0.89612951113204842</c:v>
                </c:pt>
                <c:pt idx="76">
                  <c:v>0.90262111182466398</c:v>
                </c:pt>
                <c:pt idx="77">
                  <c:v>0.90848727384829941</c:v>
                </c:pt>
                <c:pt idx="78">
                  <c:v>0.91381385290916983</c:v>
                </c:pt>
                <c:pt idx="79">
                  <c:v>0.91867174710482224</c:v>
                </c:pt>
                <c:pt idx="80">
                  <c:v>0.9231200037588515</c:v>
                </c:pt>
                <c:pt idx="81">
                  <c:v>0.92720818629521617</c:v>
                </c:pt>
                <c:pt idx="82">
                  <c:v>0.930978198047826</c:v>
                </c:pt>
                <c:pt idx="83">
                  <c:v>0.93446570184919675</c:v>
                </c:pt>
                <c:pt idx="84">
                  <c:v>0.93770123717369713</c:v>
                </c:pt>
                <c:pt idx="85">
                  <c:v>0.94071110540577463</c:v>
                </c:pt>
                <c:pt idx="86">
                  <c:v>0.94351807863291082</c:v>
                </c:pt>
                <c:pt idx="87">
                  <c:v>0.94614197106062115</c:v>
                </c:pt>
                <c:pt idx="88">
                  <c:v>0.94860010314716847</c:v>
                </c:pt>
                <c:pt idx="89">
                  <c:v>0.95090768118815439</c:v>
                </c:pt>
                <c:pt idx="90">
                  <c:v>0.95307810975234608</c:v>
                </c:pt>
                <c:pt idx="91">
                  <c:v>0.9551232504023508</c:v>
                </c:pt>
                <c:pt idx="92">
                  <c:v>0.95705363715444691</c:v>
                </c:pt>
                <c:pt idx="93">
                  <c:v>0.95887865687333584</c:v>
                </c:pt>
                <c:pt idx="94">
                  <c:v>0.96060670107326163</c:v>
                </c:pt>
                <c:pt idx="95">
                  <c:v>0.96224529426897309</c:v>
                </c:pt>
                <c:pt idx="96">
                  <c:v>0.96380120299098537</c:v>
                </c:pt>
                <c:pt idx="97">
                  <c:v>0.96528052877563408</c:v>
                </c:pt>
                <c:pt idx="98">
                  <c:v>0.96668878780917167</c:v>
                </c:pt>
                <c:pt idx="99">
                  <c:v>0.96803097940575145</c:v>
                </c:pt>
                <c:pt idx="100">
                  <c:v>0.96931164510187995</c:v>
                </c:pt>
                <c:pt idx="101">
                  <c:v>0.97053491983253692</c:v>
                </c:pt>
                <c:pt idx="102">
                  <c:v>0.97170457639839714</c:v>
                </c:pt>
                <c:pt idx="103">
                  <c:v>0.97282406422745193</c:v>
                </c:pt>
                <c:pt idx="104">
                  <c:v>0.97389654326633313</c:v>
                </c:pt>
                <c:pt idx="105">
                  <c:v>0.97492491370014167</c:v>
                </c:pt>
                <c:pt idx="106">
                  <c:v>0.97591184208719595</c:v>
                </c:pt>
                <c:pt idx="107">
                  <c:v>0.97685978440287669</c:v>
                </c:pt>
                <c:pt idx="108">
                  <c:v>0.97777100641052639</c:v>
                </c:pt>
                <c:pt idx="109">
                  <c:v>0.97864760171394571</c:v>
                </c:pt>
                <c:pt idx="110">
                  <c:v>0.97949150779339034</c:v>
                </c:pt>
                <c:pt idx="111">
                  <c:v>0.98030452028285064</c:v>
                </c:pt>
                <c:pt idx="112">
                  <c:v>0.98108830570946159</c:v>
                </c:pt>
                <c:pt idx="113">
                  <c:v>0.98184441288471158</c:v>
                </c:pt>
                <c:pt idx="114">
                  <c:v>0.98257428311097139</c:v>
                </c:pt>
                <c:pt idx="115">
                  <c:v>0.98327925934450233</c:v>
                </c:pt>
                <c:pt idx="116">
                  <c:v>0.98396059443720985</c:v>
                </c:pt>
                <c:pt idx="117">
                  <c:v>0.98461945856338728</c:v>
                </c:pt>
                <c:pt idx="118">
                  <c:v>0.98525694592387725</c:v>
                </c:pt>
                <c:pt idx="119">
                  <c:v>0.98587408080825933</c:v>
                </c:pt>
                <c:pt idx="120">
                  <c:v>0.98647182308565207</c:v>
                </c:pt>
                <c:pt idx="121">
                  <c:v>0.98705107318587604</c:v>
                </c:pt>
                <c:pt idx="122">
                  <c:v>0.98761267662535945</c:v>
                </c:pt>
                <c:pt idx="123">
                  <c:v>0.98815742812545915</c:v>
                </c:pt>
                <c:pt idx="124">
                  <c:v>0.98868607536540598</c:v>
                </c:pt>
                <c:pt idx="125">
                  <c:v>0.9891993224071135</c:v>
                </c:pt>
                <c:pt idx="126">
                  <c:v>0.98969783282477697</c:v>
                </c:pt>
                <c:pt idx="127">
                  <c:v>0.9901822325684897</c:v>
                </c:pt>
                <c:pt idx="128">
                  <c:v>0.99065311258792232</c:v>
                </c:pt>
                <c:pt idx="129">
                  <c:v>0.99111103123908295</c:v>
                </c:pt>
                <c:pt idx="130">
                  <c:v>0.99155651649487286</c:v>
                </c:pt>
                <c:pt idx="131">
                  <c:v>0.99199006797774825</c:v>
                </c:pt>
                <c:pt idx="132">
                  <c:v>0.99241215883104605</c:v>
                </c:pt>
                <c:pt idx="133">
                  <c:v>0.99282323744364764</c:v>
                </c:pt>
                <c:pt idx="134">
                  <c:v>0.99322372904126688</c:v>
                </c:pt>
                <c:pt idx="135">
                  <c:v>0.99361403715623786</c:v>
                </c:pt>
                <c:pt idx="136">
                  <c:v>0.99399454498652695</c:v>
                </c:pt>
                <c:pt idx="137">
                  <c:v>0.99436561665359213</c:v>
                </c:pt>
                <c:pt idx="138">
                  <c:v>0.99472759836783997</c:v>
                </c:pt>
                <c:pt idx="139">
                  <c:v>0.99508081950952731</c:v>
                </c:pt>
                <c:pt idx="140">
                  <c:v>0.99542559363227445</c:v>
                </c:pt>
                <c:pt idx="141">
                  <c:v>0.99576221939562914</c:v>
                </c:pt>
                <c:pt idx="142">
                  <c:v>0.99609098143258423</c:v>
                </c:pt>
                <c:pt idx="143">
                  <c:v>0.99641215115737791</c:v>
                </c:pt>
                <c:pt idx="144">
                  <c:v>0.99672598751847341</c:v>
                </c:pt>
                <c:pt idx="145">
                  <c:v>0.99703273770113254</c:v>
                </c:pt>
                <c:pt idx="146">
                  <c:v>0.99733263778369829</c:v>
                </c:pt>
                <c:pt idx="147">
                  <c:v>0.99762591335126816</c:v>
                </c:pt>
                <c:pt idx="148">
                  <c:v>0.99791278007021167</c:v>
                </c:pt>
                <c:pt idx="149">
                  <c:v>0.99819344422668022</c:v>
                </c:pt>
                <c:pt idx="150">
                  <c:v>0.99846810323200574</c:v>
                </c:pt>
                <c:pt idx="151">
                  <c:v>0.99873694609767794</c:v>
                </c:pt>
                <c:pt idx="152">
                  <c:v>0.99900015388240671</c:v>
                </c:pt>
                <c:pt idx="153">
                  <c:v>0.99925790011357418</c:v>
                </c:pt>
                <c:pt idx="154">
                  <c:v>0.99951035118524911</c:v>
                </c:pt>
                <c:pt idx="155">
                  <c:v>0.99975766673479871</c:v>
                </c:pt>
                <c:pt idx="156">
                  <c:v>1</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'ptx Diagrams'!$H$7:$H$306</c:f>
              <c:numCache>
                <c:formatCode>0.00</c:formatCode>
                <c:ptCount val="300"/>
                <c:pt idx="0">
                  <c:v>180</c:v>
                </c:pt>
                <c:pt idx="1">
                  <c:v>180</c:v>
                </c:pt>
                <c:pt idx="2">
                  <c:v>180</c:v>
                </c:pt>
                <c:pt idx="3">
                  <c:v>180</c:v>
                </c:pt>
                <c:pt idx="4">
                  <c:v>180</c:v>
                </c:pt>
                <c:pt idx="5">
                  <c:v>180</c:v>
                </c:pt>
                <c:pt idx="6">
                  <c:v>180</c:v>
                </c:pt>
                <c:pt idx="7">
                  <c:v>180</c:v>
                </c:pt>
                <c:pt idx="8">
                  <c:v>180</c:v>
                </c:pt>
                <c:pt idx="9">
                  <c:v>180</c:v>
                </c:pt>
                <c:pt idx="10">
                  <c:v>180</c:v>
                </c:pt>
                <c:pt idx="11">
                  <c:v>180</c:v>
                </c:pt>
                <c:pt idx="12">
                  <c:v>180</c:v>
                </c:pt>
                <c:pt idx="13">
                  <c:v>180</c:v>
                </c:pt>
                <c:pt idx="14">
                  <c:v>180</c:v>
                </c:pt>
                <c:pt idx="15">
                  <c:v>180</c:v>
                </c:pt>
                <c:pt idx="16">
                  <c:v>180</c:v>
                </c:pt>
                <c:pt idx="17">
                  <c:v>180</c:v>
                </c:pt>
                <c:pt idx="18">
                  <c:v>180</c:v>
                </c:pt>
                <c:pt idx="19">
                  <c:v>180</c:v>
                </c:pt>
                <c:pt idx="20">
                  <c:v>180</c:v>
                </c:pt>
                <c:pt idx="21">
                  <c:v>180</c:v>
                </c:pt>
                <c:pt idx="22">
                  <c:v>180</c:v>
                </c:pt>
                <c:pt idx="23">
                  <c:v>180</c:v>
                </c:pt>
                <c:pt idx="24">
                  <c:v>180</c:v>
                </c:pt>
                <c:pt idx="25">
                  <c:v>180</c:v>
                </c:pt>
                <c:pt idx="26">
                  <c:v>180</c:v>
                </c:pt>
                <c:pt idx="27">
                  <c:v>180</c:v>
                </c:pt>
                <c:pt idx="28">
                  <c:v>180</c:v>
                </c:pt>
                <c:pt idx="29">
                  <c:v>180</c:v>
                </c:pt>
                <c:pt idx="30">
                  <c:v>180</c:v>
                </c:pt>
                <c:pt idx="31">
                  <c:v>180</c:v>
                </c:pt>
                <c:pt idx="32">
                  <c:v>180</c:v>
                </c:pt>
                <c:pt idx="33">
                  <c:v>180</c:v>
                </c:pt>
                <c:pt idx="34">
                  <c:v>180</c:v>
                </c:pt>
                <c:pt idx="35">
                  <c:v>180</c:v>
                </c:pt>
                <c:pt idx="36">
                  <c:v>180</c:v>
                </c:pt>
                <c:pt idx="37">
                  <c:v>180</c:v>
                </c:pt>
                <c:pt idx="38">
                  <c:v>180</c:v>
                </c:pt>
                <c:pt idx="39">
                  <c:v>180</c:v>
                </c:pt>
                <c:pt idx="40">
                  <c:v>180</c:v>
                </c:pt>
                <c:pt idx="41">
                  <c:v>180</c:v>
                </c:pt>
                <c:pt idx="42">
                  <c:v>180</c:v>
                </c:pt>
                <c:pt idx="43">
                  <c:v>180</c:v>
                </c:pt>
                <c:pt idx="44">
                  <c:v>180</c:v>
                </c:pt>
                <c:pt idx="45">
                  <c:v>180</c:v>
                </c:pt>
                <c:pt idx="46">
                  <c:v>180</c:v>
                </c:pt>
                <c:pt idx="47">
                  <c:v>180</c:v>
                </c:pt>
                <c:pt idx="48">
                  <c:v>180</c:v>
                </c:pt>
                <c:pt idx="49">
                  <c:v>180</c:v>
                </c:pt>
                <c:pt idx="50">
                  <c:v>180</c:v>
                </c:pt>
                <c:pt idx="51">
                  <c:v>180</c:v>
                </c:pt>
                <c:pt idx="52">
                  <c:v>180</c:v>
                </c:pt>
                <c:pt idx="53">
                  <c:v>180</c:v>
                </c:pt>
                <c:pt idx="54">
                  <c:v>180</c:v>
                </c:pt>
                <c:pt idx="55">
                  <c:v>180</c:v>
                </c:pt>
                <c:pt idx="56">
                  <c:v>180</c:v>
                </c:pt>
                <c:pt idx="57">
                  <c:v>180</c:v>
                </c:pt>
                <c:pt idx="58">
                  <c:v>180</c:v>
                </c:pt>
                <c:pt idx="59">
                  <c:v>180</c:v>
                </c:pt>
                <c:pt idx="60">
                  <c:v>180</c:v>
                </c:pt>
                <c:pt idx="61">
                  <c:v>180</c:v>
                </c:pt>
                <c:pt idx="62">
                  <c:v>180</c:v>
                </c:pt>
                <c:pt idx="63">
                  <c:v>180</c:v>
                </c:pt>
                <c:pt idx="64">
                  <c:v>180</c:v>
                </c:pt>
                <c:pt idx="65">
                  <c:v>180</c:v>
                </c:pt>
                <c:pt idx="66">
                  <c:v>180</c:v>
                </c:pt>
                <c:pt idx="67">
                  <c:v>180</c:v>
                </c:pt>
                <c:pt idx="68">
                  <c:v>180</c:v>
                </c:pt>
                <c:pt idx="69">
                  <c:v>180</c:v>
                </c:pt>
                <c:pt idx="70">
                  <c:v>180</c:v>
                </c:pt>
                <c:pt idx="71">
                  <c:v>180</c:v>
                </c:pt>
                <c:pt idx="72">
                  <c:v>180</c:v>
                </c:pt>
                <c:pt idx="73">
                  <c:v>180</c:v>
                </c:pt>
                <c:pt idx="74">
                  <c:v>180</c:v>
                </c:pt>
                <c:pt idx="75">
                  <c:v>180</c:v>
                </c:pt>
                <c:pt idx="76">
                  <c:v>180</c:v>
                </c:pt>
                <c:pt idx="77">
                  <c:v>180</c:v>
                </c:pt>
                <c:pt idx="78">
                  <c:v>180</c:v>
                </c:pt>
                <c:pt idx="79">
                  <c:v>180</c:v>
                </c:pt>
                <c:pt idx="80">
                  <c:v>180</c:v>
                </c:pt>
                <c:pt idx="81">
                  <c:v>180</c:v>
                </c:pt>
                <c:pt idx="82">
                  <c:v>180</c:v>
                </c:pt>
                <c:pt idx="83">
                  <c:v>180</c:v>
                </c:pt>
                <c:pt idx="84">
                  <c:v>180</c:v>
                </c:pt>
                <c:pt idx="85">
                  <c:v>180</c:v>
                </c:pt>
                <c:pt idx="86">
                  <c:v>180</c:v>
                </c:pt>
                <c:pt idx="87">
                  <c:v>180</c:v>
                </c:pt>
                <c:pt idx="88">
                  <c:v>180</c:v>
                </c:pt>
                <c:pt idx="89">
                  <c:v>180</c:v>
                </c:pt>
                <c:pt idx="90">
                  <c:v>180</c:v>
                </c:pt>
                <c:pt idx="91">
                  <c:v>180</c:v>
                </c:pt>
                <c:pt idx="92">
                  <c:v>180</c:v>
                </c:pt>
                <c:pt idx="93">
                  <c:v>180</c:v>
                </c:pt>
                <c:pt idx="94">
                  <c:v>180</c:v>
                </c:pt>
                <c:pt idx="95">
                  <c:v>180</c:v>
                </c:pt>
                <c:pt idx="96">
                  <c:v>180</c:v>
                </c:pt>
                <c:pt idx="97">
                  <c:v>180</c:v>
                </c:pt>
                <c:pt idx="98">
                  <c:v>180</c:v>
                </c:pt>
                <c:pt idx="99">
                  <c:v>180</c:v>
                </c:pt>
                <c:pt idx="100">
                  <c:v>180</c:v>
                </c:pt>
                <c:pt idx="101">
                  <c:v>180</c:v>
                </c:pt>
                <c:pt idx="102">
                  <c:v>180</c:v>
                </c:pt>
                <c:pt idx="103">
                  <c:v>180</c:v>
                </c:pt>
                <c:pt idx="104">
                  <c:v>180</c:v>
                </c:pt>
                <c:pt idx="105">
                  <c:v>180</c:v>
                </c:pt>
                <c:pt idx="106">
                  <c:v>180</c:v>
                </c:pt>
                <c:pt idx="107">
                  <c:v>180</c:v>
                </c:pt>
                <c:pt idx="108">
                  <c:v>180</c:v>
                </c:pt>
                <c:pt idx="109">
                  <c:v>180</c:v>
                </c:pt>
                <c:pt idx="110">
                  <c:v>180</c:v>
                </c:pt>
                <c:pt idx="111">
                  <c:v>180</c:v>
                </c:pt>
                <c:pt idx="112">
                  <c:v>180</c:v>
                </c:pt>
                <c:pt idx="113">
                  <c:v>180</c:v>
                </c:pt>
                <c:pt idx="114">
                  <c:v>180</c:v>
                </c:pt>
                <c:pt idx="115">
                  <c:v>180</c:v>
                </c:pt>
                <c:pt idx="116">
                  <c:v>180</c:v>
                </c:pt>
                <c:pt idx="117">
                  <c:v>180</c:v>
                </c:pt>
                <c:pt idx="118">
                  <c:v>180</c:v>
                </c:pt>
                <c:pt idx="119">
                  <c:v>180</c:v>
                </c:pt>
                <c:pt idx="120">
                  <c:v>180</c:v>
                </c:pt>
                <c:pt idx="121">
                  <c:v>180</c:v>
                </c:pt>
                <c:pt idx="122">
                  <c:v>180</c:v>
                </c:pt>
                <c:pt idx="123">
                  <c:v>180</c:v>
                </c:pt>
                <c:pt idx="124">
                  <c:v>180</c:v>
                </c:pt>
                <c:pt idx="125">
                  <c:v>180</c:v>
                </c:pt>
                <c:pt idx="126">
                  <c:v>180</c:v>
                </c:pt>
                <c:pt idx="127">
                  <c:v>180</c:v>
                </c:pt>
                <c:pt idx="128">
                  <c:v>180</c:v>
                </c:pt>
                <c:pt idx="129">
                  <c:v>180</c:v>
                </c:pt>
                <c:pt idx="130">
                  <c:v>180</c:v>
                </c:pt>
                <c:pt idx="131">
                  <c:v>180</c:v>
                </c:pt>
                <c:pt idx="132">
                  <c:v>180</c:v>
                </c:pt>
                <c:pt idx="133">
                  <c:v>180</c:v>
                </c:pt>
                <c:pt idx="134">
                  <c:v>180</c:v>
                </c:pt>
                <c:pt idx="135">
                  <c:v>180</c:v>
                </c:pt>
                <c:pt idx="136">
                  <c:v>180</c:v>
                </c:pt>
                <c:pt idx="137">
                  <c:v>180</c:v>
                </c:pt>
                <c:pt idx="138">
                  <c:v>180</c:v>
                </c:pt>
                <c:pt idx="139">
                  <c:v>180</c:v>
                </c:pt>
                <c:pt idx="140">
                  <c:v>180</c:v>
                </c:pt>
                <c:pt idx="141">
                  <c:v>180</c:v>
                </c:pt>
                <c:pt idx="142">
                  <c:v>180</c:v>
                </c:pt>
                <c:pt idx="143">
                  <c:v>180</c:v>
                </c:pt>
                <c:pt idx="144">
                  <c:v>180</c:v>
                </c:pt>
                <c:pt idx="145">
                  <c:v>180</c:v>
                </c:pt>
                <c:pt idx="146">
                  <c:v>180</c:v>
                </c:pt>
                <c:pt idx="147">
                  <c:v>180</c:v>
                </c:pt>
                <c:pt idx="148">
                  <c:v>180</c:v>
                </c:pt>
                <c:pt idx="149">
                  <c:v>180</c:v>
                </c:pt>
                <c:pt idx="150">
                  <c:v>180</c:v>
                </c:pt>
                <c:pt idx="151">
                  <c:v>180</c:v>
                </c:pt>
                <c:pt idx="152">
                  <c:v>180</c:v>
                </c:pt>
                <c:pt idx="153">
                  <c:v>180</c:v>
                </c:pt>
                <c:pt idx="154">
                  <c:v>180</c:v>
                </c:pt>
                <c:pt idx="155">
                  <c:v>180</c:v>
                </c:pt>
                <c:pt idx="156">
                  <c:v>180</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02-1749-40CE-B057-E8EA31369D43}"/>
            </c:ext>
          </c:extLst>
        </c:ser>
        <c:ser>
          <c:idx val="1"/>
          <c:order val="1"/>
          <c:tx>
            <c:v>Dew line</c:v>
          </c:tx>
          <c:spPr>
            <a:ln w="19050"/>
          </c:spPr>
          <c:marker>
            <c:symbol val="none"/>
          </c:marker>
          <c:xVal>
            <c:numRef>
              <c:f>'ptx Diagrams'!$O$7:$O$306</c:f>
              <c:numCache>
                <c:formatCode>0.000</c:formatCode>
                <c:ptCount val="300"/>
                <c:pt idx="0">
                  <c:v>0</c:v>
                </c:pt>
                <c:pt idx="1">
                  <c:v>1.4625934018182084E-3</c:v>
                </c:pt>
                <c:pt idx="2">
                  <c:v>3.1034970964232099E-3</c:v>
                </c:pt>
                <c:pt idx="3">
                  <c:v>4.5955841630330426E-3</c:v>
                </c:pt>
                <c:pt idx="4">
                  <c:v>5.9681845549082744E-3</c:v>
                </c:pt>
                <c:pt idx="5">
                  <c:v>7.2429204605918172E-3</c:v>
                </c:pt>
                <c:pt idx="6">
                  <c:v>8.4362458456071297E-3</c:v>
                </c:pt>
                <c:pt idx="7">
                  <c:v>9.5610079500886534E-3</c:v>
                </c:pt>
                <c:pt idx="8">
                  <c:v>1.062745449986072E-2</c:v>
                </c:pt>
                <c:pt idx="9">
                  <c:v>1.164390920947767E-2</c:v>
                </c:pt>
                <c:pt idx="10">
                  <c:v>1.2617239757866916E-2</c:v>
                </c:pt>
                <c:pt idx="11">
                  <c:v>1.3553191023628617E-2</c:v>
                </c:pt>
                <c:pt idx="12">
                  <c:v>1.4456628036768787E-2</c:v>
                </c:pt>
                <c:pt idx="13">
                  <c:v>1.5331716768997708E-2</c:v>
                </c:pt>
                <c:pt idx="14">
                  <c:v>1.6182061101458412E-2</c:v>
                </c:pt>
                <c:pt idx="15">
                  <c:v>1.7010808253964897E-2</c:v>
                </c:pt>
                <c:pt idx="16">
                  <c:v>1.7820731102686335E-2</c:v>
                </c:pt>
                <c:pt idx="17">
                  <c:v>1.8614293291003805E-2</c:v>
                </c:pt>
                <c:pt idx="18">
                  <c:v>1.9393701349342259E-2</c:v>
                </c:pt>
                <c:pt idx="19">
                  <c:v>2.0160946884079219E-2</c:v>
                </c:pt>
                <c:pt idx="20">
                  <c:v>2.0917841089395244E-2</c:v>
                </c:pt>
                <c:pt idx="21">
                  <c:v>2.1666043263806022E-2</c:v>
                </c:pt>
                <c:pt idx="22">
                  <c:v>2.2407084601495531E-2</c:v>
                </c:pt>
                <c:pt idx="23">
                  <c:v>2.3142388228436235E-2</c:v>
                </c:pt>
                <c:pt idx="24">
                  <c:v>2.3873286232316104E-2</c:v>
                </c:pt>
                <c:pt idx="25">
                  <c:v>2.4601034270972533E-2</c:v>
                </c:pt>
                <c:pt idx="26">
                  <c:v>2.5326824220599689E-2</c:v>
                </c:pt>
                <c:pt idx="27">
                  <c:v>2.6051795231572198E-2</c:v>
                </c:pt>
                <c:pt idx="28">
                  <c:v>2.6777043230310771E-2</c:v>
                </c:pt>
                <c:pt idx="29">
                  <c:v>2.7503630692195444E-2</c:v>
                </c:pt>
                <c:pt idx="30">
                  <c:v>2.8232592831875007E-2</c:v>
                </c:pt>
                <c:pt idx="31">
                  <c:v>2.8964945912027959E-2</c:v>
                </c:pt>
                <c:pt idx="32">
                  <c:v>2.9701693552840157E-2</c:v>
                </c:pt>
                <c:pt idx="33">
                  <c:v>3.0443832909166225E-2</c:v>
                </c:pt>
                <c:pt idx="34">
                  <c:v>3.1192360519283202E-2</c:v>
                </c:pt>
                <c:pt idx="35">
                  <c:v>3.1948277914682563E-2</c:v>
                </c:pt>
                <c:pt idx="36">
                  <c:v>3.2712597075027147E-2</c:v>
                </c:pt>
                <c:pt idx="37">
                  <c:v>3.3486345798359213E-2</c:v>
                </c:pt>
                <c:pt idx="38">
                  <c:v>3.4270573058715788E-2</c:v>
                </c:pt>
                <c:pt idx="39">
                  <c:v>3.5066354415728994E-2</c:v>
                </c:pt>
                <c:pt idx="40">
                  <c:v>3.587479754057276E-2</c:v>
                </c:pt>
                <c:pt idx="41">
                  <c:v>3.6697047922175166E-2</c:v>
                </c:pt>
                <c:pt idx="42">
                  <c:v>3.7534294818819425E-2</c:v>
                </c:pt>
                <c:pt idx="43">
                  <c:v>3.8387777522655001E-2</c:v>
                </c:pt>
                <c:pt idx="44">
                  <c:v>3.9258792008646168E-2</c:v>
                </c:pt>
                <c:pt idx="45">
                  <c:v>4.0148698044643896E-2</c:v>
                </c:pt>
                <c:pt idx="46">
                  <c:v>4.1058926846297854E-2</c:v>
                </c:pt>
                <c:pt idx="47">
                  <c:v>4.1990989368868588E-2</c:v>
                </c:pt>
                <c:pt idx="48">
                  <c:v>4.2946485338753441E-2</c:v>
                </c:pt>
                <c:pt idx="49">
                  <c:v>4.3927113139907013E-2</c:v>
                </c:pt>
                <c:pt idx="50">
                  <c:v>4.4934680685940524E-2</c:v>
                </c:pt>
                <c:pt idx="51">
                  <c:v>4.5971117426496809E-2</c:v>
                </c:pt>
                <c:pt idx="52">
                  <c:v>4.7038487658607034E-2</c:v>
                </c:pt>
                <c:pt idx="53">
                  <c:v>4.8139005339381355E-2</c:v>
                </c:pt>
                <c:pt idx="54">
                  <c:v>4.9275050627476787E-2</c:v>
                </c:pt>
                <c:pt idx="55">
                  <c:v>5.0449188417717145E-2</c:v>
                </c:pt>
                <c:pt idx="56">
                  <c:v>5.1664189177550043E-2</c:v>
                </c:pt>
                <c:pt idx="57">
                  <c:v>5.292305244717424E-2</c:v>
                </c:pt>
                <c:pt idx="58">
                  <c:v>5.4229033429269081E-2</c:v>
                </c:pt>
                <c:pt idx="59">
                  <c:v>5.5585673171593401E-2</c:v>
                </c:pt>
                <c:pt idx="60">
                  <c:v>5.6996832939605377E-2</c:v>
                </c:pt>
                <c:pt idx="61">
                  <c:v>5.8466733412624615E-2</c:v>
                </c:pt>
                <c:pt idx="62">
                  <c:v>5.9999999999999255E-2</c:v>
                </c:pt>
                <c:pt idx="63">
                  <c:v>6.9999999999999257E-2</c:v>
                </c:pt>
                <c:pt idx="64">
                  <c:v>7.9999999999999252E-2</c:v>
                </c:pt>
                <c:pt idx="65">
                  <c:v>8.9999999999999247E-2</c:v>
                </c:pt>
                <c:pt idx="66">
                  <c:v>9.9999999999999242E-2</c:v>
                </c:pt>
                <c:pt idx="67">
                  <c:v>0.10999999999999924</c:v>
                </c:pt>
                <c:pt idx="68">
                  <c:v>0.11999999999999923</c:v>
                </c:pt>
                <c:pt idx="69">
                  <c:v>0.12999999999999923</c:v>
                </c:pt>
                <c:pt idx="70">
                  <c:v>0.13999999999999924</c:v>
                </c:pt>
                <c:pt idx="71">
                  <c:v>0.14999999999999925</c:v>
                </c:pt>
                <c:pt idx="72">
                  <c:v>0.15999999999999925</c:v>
                </c:pt>
                <c:pt idx="73">
                  <c:v>0.16999999999999926</c:v>
                </c:pt>
                <c:pt idx="74">
                  <c:v>0.17999999999999927</c:v>
                </c:pt>
                <c:pt idx="75">
                  <c:v>0.18999999999999928</c:v>
                </c:pt>
                <c:pt idx="76">
                  <c:v>0.19999999999999929</c:v>
                </c:pt>
                <c:pt idx="77">
                  <c:v>0.2099999999999993</c:v>
                </c:pt>
                <c:pt idx="78">
                  <c:v>0.21999999999999931</c:v>
                </c:pt>
                <c:pt idx="79">
                  <c:v>0.22999999999999932</c:v>
                </c:pt>
                <c:pt idx="80">
                  <c:v>0.23999999999999932</c:v>
                </c:pt>
                <c:pt idx="81">
                  <c:v>0.24999999999999933</c:v>
                </c:pt>
                <c:pt idx="82">
                  <c:v>0.25999999999999934</c:v>
                </c:pt>
                <c:pt idx="83">
                  <c:v>0.26999999999999935</c:v>
                </c:pt>
                <c:pt idx="84">
                  <c:v>0.27999999999999936</c:v>
                </c:pt>
                <c:pt idx="85">
                  <c:v>0.28999999999999937</c:v>
                </c:pt>
                <c:pt idx="86">
                  <c:v>0.29999999999999938</c:v>
                </c:pt>
                <c:pt idx="87">
                  <c:v>0.30999999999999939</c:v>
                </c:pt>
                <c:pt idx="88">
                  <c:v>0.3199999999999994</c:v>
                </c:pt>
                <c:pt idx="89">
                  <c:v>0.3299999999999994</c:v>
                </c:pt>
                <c:pt idx="90">
                  <c:v>0.33999999999999941</c:v>
                </c:pt>
                <c:pt idx="91">
                  <c:v>0.34999999999999942</c:v>
                </c:pt>
                <c:pt idx="92">
                  <c:v>0.35999999999999943</c:v>
                </c:pt>
                <c:pt idx="93">
                  <c:v>0.36999999999999944</c:v>
                </c:pt>
                <c:pt idx="94">
                  <c:v>0.37999999999999945</c:v>
                </c:pt>
                <c:pt idx="95">
                  <c:v>0.38999999999999946</c:v>
                </c:pt>
                <c:pt idx="96">
                  <c:v>0.39999999999999947</c:v>
                </c:pt>
                <c:pt idx="97">
                  <c:v>0.40999999999999948</c:v>
                </c:pt>
                <c:pt idx="98">
                  <c:v>0.41999999999999948</c:v>
                </c:pt>
                <c:pt idx="99">
                  <c:v>0.42999999999999949</c:v>
                </c:pt>
                <c:pt idx="100">
                  <c:v>0.4399999999999995</c:v>
                </c:pt>
                <c:pt idx="101">
                  <c:v>0.44999999999999951</c:v>
                </c:pt>
                <c:pt idx="102">
                  <c:v>0.45999999999999952</c:v>
                </c:pt>
                <c:pt idx="103">
                  <c:v>0.46999999999999953</c:v>
                </c:pt>
                <c:pt idx="104">
                  <c:v>0.47999999999999954</c:v>
                </c:pt>
                <c:pt idx="105">
                  <c:v>0.48999999999999955</c:v>
                </c:pt>
                <c:pt idx="106">
                  <c:v>0.49999999999999956</c:v>
                </c:pt>
                <c:pt idx="107">
                  <c:v>0.50999999999999956</c:v>
                </c:pt>
                <c:pt idx="108">
                  <c:v>0.51999999999999957</c:v>
                </c:pt>
                <c:pt idx="109">
                  <c:v>0.52999999999999958</c:v>
                </c:pt>
                <c:pt idx="110">
                  <c:v>0.53999999999999959</c:v>
                </c:pt>
                <c:pt idx="111">
                  <c:v>0.5499999999999996</c:v>
                </c:pt>
                <c:pt idx="112">
                  <c:v>0.55999999999999961</c:v>
                </c:pt>
                <c:pt idx="113">
                  <c:v>0.56999999999999962</c:v>
                </c:pt>
                <c:pt idx="114">
                  <c:v>0.57999999999999963</c:v>
                </c:pt>
                <c:pt idx="115">
                  <c:v>0.58999999999999964</c:v>
                </c:pt>
                <c:pt idx="116">
                  <c:v>0.59999999999999964</c:v>
                </c:pt>
                <c:pt idx="117">
                  <c:v>0.60999999999999965</c:v>
                </c:pt>
                <c:pt idx="118">
                  <c:v>0.61999999999999966</c:v>
                </c:pt>
                <c:pt idx="119">
                  <c:v>0.62999999999999967</c:v>
                </c:pt>
                <c:pt idx="120">
                  <c:v>0.63999999999999968</c:v>
                </c:pt>
                <c:pt idx="121">
                  <c:v>0.64999999999999969</c:v>
                </c:pt>
                <c:pt idx="122">
                  <c:v>0.6599999999999997</c:v>
                </c:pt>
                <c:pt idx="123">
                  <c:v>0.66999999999999971</c:v>
                </c:pt>
                <c:pt idx="124">
                  <c:v>0.67999999999999972</c:v>
                </c:pt>
                <c:pt idx="125">
                  <c:v>0.68999999999999972</c:v>
                </c:pt>
                <c:pt idx="126">
                  <c:v>0.69999999999999973</c:v>
                </c:pt>
                <c:pt idx="127">
                  <c:v>0.70999999999999974</c:v>
                </c:pt>
                <c:pt idx="128">
                  <c:v>0.71999999999999975</c:v>
                </c:pt>
                <c:pt idx="129">
                  <c:v>0.72999999999999976</c:v>
                </c:pt>
                <c:pt idx="130">
                  <c:v>0.73999999999999977</c:v>
                </c:pt>
                <c:pt idx="131">
                  <c:v>0.74999999999999978</c:v>
                </c:pt>
                <c:pt idx="132">
                  <c:v>0.75999999999999979</c:v>
                </c:pt>
                <c:pt idx="133">
                  <c:v>0.7699999999999998</c:v>
                </c:pt>
                <c:pt idx="134">
                  <c:v>0.7799999999999998</c:v>
                </c:pt>
                <c:pt idx="135">
                  <c:v>0.78999999999999981</c:v>
                </c:pt>
                <c:pt idx="136">
                  <c:v>0.79999999999999982</c:v>
                </c:pt>
                <c:pt idx="137">
                  <c:v>0.80999999999999983</c:v>
                </c:pt>
                <c:pt idx="138">
                  <c:v>0.81999999999999984</c:v>
                </c:pt>
                <c:pt idx="139">
                  <c:v>0.82999999999999985</c:v>
                </c:pt>
                <c:pt idx="140">
                  <c:v>0.83999999999999986</c:v>
                </c:pt>
                <c:pt idx="141">
                  <c:v>0.84999999999999987</c:v>
                </c:pt>
                <c:pt idx="142">
                  <c:v>0.85999999999999988</c:v>
                </c:pt>
                <c:pt idx="143">
                  <c:v>0.86999999999999988</c:v>
                </c:pt>
                <c:pt idx="144">
                  <c:v>0.87999999999999989</c:v>
                </c:pt>
                <c:pt idx="145">
                  <c:v>0.8899999999999999</c:v>
                </c:pt>
                <c:pt idx="146">
                  <c:v>0.89999999999999991</c:v>
                </c:pt>
                <c:pt idx="147">
                  <c:v>0.90999999999999992</c:v>
                </c:pt>
                <c:pt idx="148">
                  <c:v>0.91999999999999993</c:v>
                </c:pt>
                <c:pt idx="149">
                  <c:v>0.92999999999999994</c:v>
                </c:pt>
                <c:pt idx="150">
                  <c:v>0.94</c:v>
                </c:pt>
                <c:pt idx="151">
                  <c:v>0.95</c:v>
                </c:pt>
                <c:pt idx="152">
                  <c:v>0.96</c:v>
                </c:pt>
                <c:pt idx="153">
                  <c:v>0.97</c:v>
                </c:pt>
                <c:pt idx="154">
                  <c:v>0.98</c:v>
                </c:pt>
                <c:pt idx="155">
                  <c:v>0.99</c:v>
                </c:pt>
                <c:pt idx="156">
                  <c:v>1</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'ptx Diagrams'!$H$7:$H$306</c:f>
              <c:numCache>
                <c:formatCode>0.00</c:formatCode>
                <c:ptCount val="300"/>
                <c:pt idx="0">
                  <c:v>180</c:v>
                </c:pt>
                <c:pt idx="1">
                  <c:v>180</c:v>
                </c:pt>
                <c:pt idx="2">
                  <c:v>180</c:v>
                </c:pt>
                <c:pt idx="3">
                  <c:v>180</c:v>
                </c:pt>
                <c:pt idx="4">
                  <c:v>180</c:v>
                </c:pt>
                <c:pt idx="5">
                  <c:v>180</c:v>
                </c:pt>
                <c:pt idx="6">
                  <c:v>180</c:v>
                </c:pt>
                <c:pt idx="7">
                  <c:v>180</c:v>
                </c:pt>
                <c:pt idx="8">
                  <c:v>180</c:v>
                </c:pt>
                <c:pt idx="9">
                  <c:v>180</c:v>
                </c:pt>
                <c:pt idx="10">
                  <c:v>180</c:v>
                </c:pt>
                <c:pt idx="11">
                  <c:v>180</c:v>
                </c:pt>
                <c:pt idx="12">
                  <c:v>180</c:v>
                </c:pt>
                <c:pt idx="13">
                  <c:v>180</c:v>
                </c:pt>
                <c:pt idx="14">
                  <c:v>180</c:v>
                </c:pt>
                <c:pt idx="15">
                  <c:v>180</c:v>
                </c:pt>
                <c:pt idx="16">
                  <c:v>180</c:v>
                </c:pt>
                <c:pt idx="17">
                  <c:v>180</c:v>
                </c:pt>
                <c:pt idx="18">
                  <c:v>180</c:v>
                </c:pt>
                <c:pt idx="19">
                  <c:v>180</c:v>
                </c:pt>
                <c:pt idx="20">
                  <c:v>180</c:v>
                </c:pt>
                <c:pt idx="21">
                  <c:v>180</c:v>
                </c:pt>
                <c:pt idx="22">
                  <c:v>180</c:v>
                </c:pt>
                <c:pt idx="23">
                  <c:v>180</c:v>
                </c:pt>
                <c:pt idx="24">
                  <c:v>180</c:v>
                </c:pt>
                <c:pt idx="25">
                  <c:v>180</c:v>
                </c:pt>
                <c:pt idx="26">
                  <c:v>180</c:v>
                </c:pt>
                <c:pt idx="27">
                  <c:v>180</c:v>
                </c:pt>
                <c:pt idx="28">
                  <c:v>180</c:v>
                </c:pt>
                <c:pt idx="29">
                  <c:v>180</c:v>
                </c:pt>
                <c:pt idx="30">
                  <c:v>180</c:v>
                </c:pt>
                <c:pt idx="31">
                  <c:v>180</c:v>
                </c:pt>
                <c:pt idx="32">
                  <c:v>180</c:v>
                </c:pt>
                <c:pt idx="33">
                  <c:v>180</c:v>
                </c:pt>
                <c:pt idx="34">
                  <c:v>180</c:v>
                </c:pt>
                <c:pt idx="35">
                  <c:v>180</c:v>
                </c:pt>
                <c:pt idx="36">
                  <c:v>180</c:v>
                </c:pt>
                <c:pt idx="37">
                  <c:v>180</c:v>
                </c:pt>
                <c:pt idx="38">
                  <c:v>180</c:v>
                </c:pt>
                <c:pt idx="39">
                  <c:v>180</c:v>
                </c:pt>
                <c:pt idx="40">
                  <c:v>180</c:v>
                </c:pt>
                <c:pt idx="41">
                  <c:v>180</c:v>
                </c:pt>
                <c:pt idx="42">
                  <c:v>180</c:v>
                </c:pt>
                <c:pt idx="43">
                  <c:v>180</c:v>
                </c:pt>
                <c:pt idx="44">
                  <c:v>180</c:v>
                </c:pt>
                <c:pt idx="45">
                  <c:v>180</c:v>
                </c:pt>
                <c:pt idx="46">
                  <c:v>180</c:v>
                </c:pt>
                <c:pt idx="47">
                  <c:v>180</c:v>
                </c:pt>
                <c:pt idx="48">
                  <c:v>180</c:v>
                </c:pt>
                <c:pt idx="49">
                  <c:v>180</c:v>
                </c:pt>
                <c:pt idx="50">
                  <c:v>180</c:v>
                </c:pt>
                <c:pt idx="51">
                  <c:v>180</c:v>
                </c:pt>
                <c:pt idx="52">
                  <c:v>180</c:v>
                </c:pt>
                <c:pt idx="53">
                  <c:v>180</c:v>
                </c:pt>
                <c:pt idx="54">
                  <c:v>180</c:v>
                </c:pt>
                <c:pt idx="55">
                  <c:v>180</c:v>
                </c:pt>
                <c:pt idx="56">
                  <c:v>180</c:v>
                </c:pt>
                <c:pt idx="57">
                  <c:v>180</c:v>
                </c:pt>
                <c:pt idx="58">
                  <c:v>180</c:v>
                </c:pt>
                <c:pt idx="59">
                  <c:v>180</c:v>
                </c:pt>
                <c:pt idx="60">
                  <c:v>180</c:v>
                </c:pt>
                <c:pt idx="61">
                  <c:v>180</c:v>
                </c:pt>
                <c:pt idx="62">
                  <c:v>180</c:v>
                </c:pt>
                <c:pt idx="63">
                  <c:v>180</c:v>
                </c:pt>
                <c:pt idx="64">
                  <c:v>180</c:v>
                </c:pt>
                <c:pt idx="65">
                  <c:v>180</c:v>
                </c:pt>
                <c:pt idx="66">
                  <c:v>180</c:v>
                </c:pt>
                <c:pt idx="67">
                  <c:v>180</c:v>
                </c:pt>
                <c:pt idx="68">
                  <c:v>180</c:v>
                </c:pt>
                <c:pt idx="69">
                  <c:v>180</c:v>
                </c:pt>
                <c:pt idx="70">
                  <c:v>180</c:v>
                </c:pt>
                <c:pt idx="71">
                  <c:v>180</c:v>
                </c:pt>
                <c:pt idx="72">
                  <c:v>180</c:v>
                </c:pt>
                <c:pt idx="73">
                  <c:v>180</c:v>
                </c:pt>
                <c:pt idx="74">
                  <c:v>180</c:v>
                </c:pt>
                <c:pt idx="75">
                  <c:v>180</c:v>
                </c:pt>
                <c:pt idx="76">
                  <c:v>180</c:v>
                </c:pt>
                <c:pt idx="77">
                  <c:v>180</c:v>
                </c:pt>
                <c:pt idx="78">
                  <c:v>180</c:v>
                </c:pt>
                <c:pt idx="79">
                  <c:v>180</c:v>
                </c:pt>
                <c:pt idx="80">
                  <c:v>180</c:v>
                </c:pt>
                <c:pt idx="81">
                  <c:v>180</c:v>
                </c:pt>
                <c:pt idx="82">
                  <c:v>180</c:v>
                </c:pt>
                <c:pt idx="83">
                  <c:v>180</c:v>
                </c:pt>
                <c:pt idx="84">
                  <c:v>180</c:v>
                </c:pt>
                <c:pt idx="85">
                  <c:v>180</c:v>
                </c:pt>
                <c:pt idx="86">
                  <c:v>180</c:v>
                </c:pt>
                <c:pt idx="87">
                  <c:v>180</c:v>
                </c:pt>
                <c:pt idx="88">
                  <c:v>180</c:v>
                </c:pt>
                <c:pt idx="89">
                  <c:v>180</c:v>
                </c:pt>
                <c:pt idx="90">
                  <c:v>180</c:v>
                </c:pt>
                <c:pt idx="91">
                  <c:v>180</c:v>
                </c:pt>
                <c:pt idx="92">
                  <c:v>180</c:v>
                </c:pt>
                <c:pt idx="93">
                  <c:v>180</c:v>
                </c:pt>
                <c:pt idx="94">
                  <c:v>180</c:v>
                </c:pt>
                <c:pt idx="95">
                  <c:v>180</c:v>
                </c:pt>
                <c:pt idx="96">
                  <c:v>180</c:v>
                </c:pt>
                <c:pt idx="97">
                  <c:v>180</c:v>
                </c:pt>
                <c:pt idx="98">
                  <c:v>180</c:v>
                </c:pt>
                <c:pt idx="99">
                  <c:v>180</c:v>
                </c:pt>
                <c:pt idx="100">
                  <c:v>180</c:v>
                </c:pt>
                <c:pt idx="101">
                  <c:v>180</c:v>
                </c:pt>
                <c:pt idx="102">
                  <c:v>180</c:v>
                </c:pt>
                <c:pt idx="103">
                  <c:v>180</c:v>
                </c:pt>
                <c:pt idx="104">
                  <c:v>180</c:v>
                </c:pt>
                <c:pt idx="105">
                  <c:v>180</c:v>
                </c:pt>
                <c:pt idx="106">
                  <c:v>180</c:v>
                </c:pt>
                <c:pt idx="107">
                  <c:v>180</c:v>
                </c:pt>
                <c:pt idx="108">
                  <c:v>180</c:v>
                </c:pt>
                <c:pt idx="109">
                  <c:v>180</c:v>
                </c:pt>
                <c:pt idx="110">
                  <c:v>180</c:v>
                </c:pt>
                <c:pt idx="111">
                  <c:v>180</c:v>
                </c:pt>
                <c:pt idx="112">
                  <c:v>180</c:v>
                </c:pt>
                <c:pt idx="113">
                  <c:v>180</c:v>
                </c:pt>
                <c:pt idx="114">
                  <c:v>180</c:v>
                </c:pt>
                <c:pt idx="115">
                  <c:v>180</c:v>
                </c:pt>
                <c:pt idx="116">
                  <c:v>180</c:v>
                </c:pt>
                <c:pt idx="117">
                  <c:v>180</c:v>
                </c:pt>
                <c:pt idx="118">
                  <c:v>180</c:v>
                </c:pt>
                <c:pt idx="119">
                  <c:v>180</c:v>
                </c:pt>
                <c:pt idx="120">
                  <c:v>180</c:v>
                </c:pt>
                <c:pt idx="121">
                  <c:v>180</c:v>
                </c:pt>
                <c:pt idx="122">
                  <c:v>180</c:v>
                </c:pt>
                <c:pt idx="123">
                  <c:v>180</c:v>
                </c:pt>
                <c:pt idx="124">
                  <c:v>180</c:v>
                </c:pt>
                <c:pt idx="125">
                  <c:v>180</c:v>
                </c:pt>
                <c:pt idx="126">
                  <c:v>180</c:v>
                </c:pt>
                <c:pt idx="127">
                  <c:v>180</c:v>
                </c:pt>
                <c:pt idx="128">
                  <c:v>180</c:v>
                </c:pt>
                <c:pt idx="129">
                  <c:v>180</c:v>
                </c:pt>
                <c:pt idx="130">
                  <c:v>180</c:v>
                </c:pt>
                <c:pt idx="131">
                  <c:v>180</c:v>
                </c:pt>
                <c:pt idx="132">
                  <c:v>180</c:v>
                </c:pt>
                <c:pt idx="133">
                  <c:v>180</c:v>
                </c:pt>
                <c:pt idx="134">
                  <c:v>180</c:v>
                </c:pt>
                <c:pt idx="135">
                  <c:v>180</c:v>
                </c:pt>
                <c:pt idx="136">
                  <c:v>180</c:v>
                </c:pt>
                <c:pt idx="137">
                  <c:v>180</c:v>
                </c:pt>
                <c:pt idx="138">
                  <c:v>180</c:v>
                </c:pt>
                <c:pt idx="139">
                  <c:v>180</c:v>
                </c:pt>
                <c:pt idx="140">
                  <c:v>180</c:v>
                </c:pt>
                <c:pt idx="141">
                  <c:v>180</c:v>
                </c:pt>
                <c:pt idx="142">
                  <c:v>180</c:v>
                </c:pt>
                <c:pt idx="143">
                  <c:v>180</c:v>
                </c:pt>
                <c:pt idx="144">
                  <c:v>180</c:v>
                </c:pt>
                <c:pt idx="145">
                  <c:v>180</c:v>
                </c:pt>
                <c:pt idx="146">
                  <c:v>180</c:v>
                </c:pt>
                <c:pt idx="147">
                  <c:v>180</c:v>
                </c:pt>
                <c:pt idx="148">
                  <c:v>180</c:v>
                </c:pt>
                <c:pt idx="149">
                  <c:v>180</c:v>
                </c:pt>
                <c:pt idx="150">
                  <c:v>180</c:v>
                </c:pt>
                <c:pt idx="151">
                  <c:v>180</c:v>
                </c:pt>
                <c:pt idx="152">
                  <c:v>180</c:v>
                </c:pt>
                <c:pt idx="153">
                  <c:v>180</c:v>
                </c:pt>
                <c:pt idx="154">
                  <c:v>180</c:v>
                </c:pt>
                <c:pt idx="155">
                  <c:v>180</c:v>
                </c:pt>
                <c:pt idx="156">
                  <c:v>180</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00-C282-4C85-8211-F87814C0717E}"/>
            </c:ext>
          </c:extLst>
        </c:ser>
        <c:dLbls>
          <c:showLegendKey val="0"/>
          <c:showVal val="0"/>
          <c:showCatName val="0"/>
          <c:showSerName val="0"/>
          <c:showPercent val="0"/>
          <c:showBubbleSize val="0"/>
        </c:dLbls>
        <c:axId val="436394624"/>
        <c:axId val="436400896"/>
      </c:scatterChart>
      <c:valAx>
        <c:axId val="436394624"/>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strRef>
              <c:f>'ptx Diagrams'!$O$5</c:f>
              <c:strCache>
                <c:ptCount val="1"/>
                <c:pt idx="0">
                  <c:v>x_ethane</c:v>
                </c:pt>
              </c:strCache>
            </c:strRef>
          </c:tx>
          <c:overlay val="0"/>
        </c:title>
        <c:numFmt formatCode="0.000" sourceLinked="0"/>
        <c:majorTickMark val="none"/>
        <c:minorTickMark val="none"/>
        <c:tickLblPos val="nextTo"/>
        <c:spPr>
          <a:noFill/>
          <a:ln w="9525" cap="flat" cmpd="sng" algn="ctr">
            <a:solidFill>
              <a:schemeClr val="tx1">
                <a:lumMod val="25000"/>
                <a:lumOff val="75000"/>
              </a:schemeClr>
            </a:solidFill>
            <a:round/>
          </a:ln>
          <a:effectLst/>
        </c:spPr>
        <c:txPr>
          <a:bodyPr rot="-60000000" vert="horz"/>
          <a:lstStyle/>
          <a:p>
            <a:pPr>
              <a:defRPr/>
            </a:pPr>
            <a:endParaRPr lang="de-DE"/>
          </a:p>
        </c:txPr>
        <c:crossAx val="436400896"/>
        <c:crosses val="autoZero"/>
        <c:crossBetween val="midCat"/>
      </c:valAx>
      <c:valAx>
        <c:axId val="436400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de-DE" i="1"/>
                  <a:t>T </a:t>
                </a:r>
                <a:r>
                  <a:rPr lang="de-DE"/>
                  <a:t>/ K</a:t>
                </a: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vert="horz"/>
          <a:lstStyle/>
          <a:p>
            <a:pPr>
              <a:defRPr/>
            </a:pPr>
            <a:endParaRPr lang="de-DE"/>
          </a:p>
        </c:txPr>
        <c:crossAx val="436394624"/>
        <c:crosses val="autoZero"/>
        <c:crossBetween val="midCat"/>
      </c:valAx>
      <c:spPr>
        <a:noFill/>
        <a:ln>
          <a:noFill/>
        </a:ln>
        <a:effectLst/>
      </c:spPr>
    </c:plotArea>
    <c:legend>
      <c:legendPos val="b"/>
      <c:overlay val="0"/>
      <c:spPr>
        <a:noFill/>
        <a:ln>
          <a:noFill/>
        </a:ln>
        <a:effectLst/>
      </c:spPr>
      <c:txPr>
        <a:bodyPr rot="0" vert="horz"/>
        <a:lstStyle/>
        <a:p>
          <a:pPr>
            <a:defRPr/>
          </a:pPr>
          <a:endParaRPr lang="de-DE"/>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000"/>
      </a:pPr>
      <a:endParaRPr lang="de-DE"/>
    </a:p>
  </c:txPr>
  <c:printSettings>
    <c:headerFooter/>
    <c:pageMargins b="0.78740157499999996" l="0.70000000000000062" r="0.70000000000000062" t="0.78740157499999996"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1"/>
          <c:order val="0"/>
          <c:tx>
            <c:strRef>
              <c:f>HelpTernaryPlot!$G$2</c:f>
              <c:strCache>
                <c:ptCount val="1"/>
                <c:pt idx="0">
                  <c:v>Grid</c:v>
                </c:pt>
              </c:strCache>
            </c:strRef>
          </c:tx>
          <c:spPr>
            <a:ln w="12700">
              <a:solidFill>
                <a:schemeClr val="bg1">
                  <a:lumMod val="75000"/>
                </a:schemeClr>
              </a:solidFill>
            </a:ln>
          </c:spPr>
          <c:marker>
            <c:symbol val="none"/>
          </c:marker>
          <c:xVal>
            <c:numRef>
              <c:f>HelpTernaryPlot!$J$9:$J$52</c:f>
              <c:numCache>
                <c:formatCode>0.00</c:formatCode>
                <c:ptCount val="44"/>
                <c:pt idx="0">
                  <c:v>0.1</c:v>
                </c:pt>
                <c:pt idx="1">
                  <c:v>0.55000000000000004</c:v>
                </c:pt>
                <c:pt idx="2">
                  <c:v>0.45</c:v>
                </c:pt>
                <c:pt idx="3">
                  <c:v>0.9</c:v>
                </c:pt>
                <c:pt idx="4">
                  <c:v>0.95000000000000007</c:v>
                </c:pt>
                <c:pt idx="5">
                  <c:v>0.95000000000000007</c:v>
                </c:pt>
                <c:pt idx="6">
                  <c:v>0.05</c:v>
                </c:pt>
                <c:pt idx="7">
                  <c:v>0.1</c:v>
                </c:pt>
                <c:pt idx="9">
                  <c:v>0.2</c:v>
                </c:pt>
                <c:pt idx="10">
                  <c:v>0.60000000000000009</c:v>
                </c:pt>
                <c:pt idx="11">
                  <c:v>0.4</c:v>
                </c:pt>
                <c:pt idx="12">
                  <c:v>0.8</c:v>
                </c:pt>
                <c:pt idx="13">
                  <c:v>0.9</c:v>
                </c:pt>
                <c:pt idx="14">
                  <c:v>0.9</c:v>
                </c:pt>
                <c:pt idx="15">
                  <c:v>0.1</c:v>
                </c:pt>
                <c:pt idx="16">
                  <c:v>0.2</c:v>
                </c:pt>
                <c:pt idx="18">
                  <c:v>0.30000000000000004</c:v>
                </c:pt>
                <c:pt idx="19">
                  <c:v>0.65</c:v>
                </c:pt>
                <c:pt idx="20">
                  <c:v>0.35</c:v>
                </c:pt>
                <c:pt idx="21">
                  <c:v>0.7</c:v>
                </c:pt>
                <c:pt idx="22">
                  <c:v>0.85</c:v>
                </c:pt>
                <c:pt idx="23">
                  <c:v>0.85</c:v>
                </c:pt>
                <c:pt idx="24">
                  <c:v>0.15000000000000002</c:v>
                </c:pt>
                <c:pt idx="25">
                  <c:v>0.30000000000000004</c:v>
                </c:pt>
                <c:pt idx="27">
                  <c:v>0.4</c:v>
                </c:pt>
                <c:pt idx="28">
                  <c:v>0.7</c:v>
                </c:pt>
                <c:pt idx="29">
                  <c:v>0.3</c:v>
                </c:pt>
                <c:pt idx="30">
                  <c:v>0.6</c:v>
                </c:pt>
                <c:pt idx="31">
                  <c:v>0.8</c:v>
                </c:pt>
                <c:pt idx="32">
                  <c:v>0.8</c:v>
                </c:pt>
                <c:pt idx="33">
                  <c:v>0.2</c:v>
                </c:pt>
                <c:pt idx="34">
                  <c:v>0.4</c:v>
                </c:pt>
                <c:pt idx="36">
                  <c:v>0.5</c:v>
                </c:pt>
                <c:pt idx="37">
                  <c:v>0.75</c:v>
                </c:pt>
                <c:pt idx="38">
                  <c:v>0.25</c:v>
                </c:pt>
                <c:pt idx="39">
                  <c:v>0.5</c:v>
                </c:pt>
                <c:pt idx="40">
                  <c:v>0.75</c:v>
                </c:pt>
                <c:pt idx="41">
                  <c:v>0.75</c:v>
                </c:pt>
                <c:pt idx="42">
                  <c:v>0.25</c:v>
                </c:pt>
                <c:pt idx="43">
                  <c:v>0.5</c:v>
                </c:pt>
              </c:numCache>
            </c:numRef>
          </c:xVal>
          <c:yVal>
            <c:numRef>
              <c:f>HelpTernaryPlot!$K$9:$K$52</c:f>
              <c:numCache>
                <c:formatCode>0.00</c:formatCode>
                <c:ptCount val="44"/>
                <c:pt idx="0">
                  <c:v>0</c:v>
                </c:pt>
                <c:pt idx="1">
                  <c:v>0.77942286340599476</c:v>
                </c:pt>
                <c:pt idx="2">
                  <c:v>0.77942286340599476</c:v>
                </c:pt>
                <c:pt idx="3">
                  <c:v>0</c:v>
                </c:pt>
                <c:pt idx="4">
                  <c:v>8.6602540378443865E-2</c:v>
                </c:pt>
                <c:pt idx="5">
                  <c:v>8.6602540378443865E-2</c:v>
                </c:pt>
                <c:pt idx="6">
                  <c:v>8.6602540378443865E-2</c:v>
                </c:pt>
                <c:pt idx="7">
                  <c:v>0</c:v>
                </c:pt>
                <c:pt idx="9">
                  <c:v>0</c:v>
                </c:pt>
                <c:pt idx="10">
                  <c:v>0.69282032302755092</c:v>
                </c:pt>
                <c:pt idx="11">
                  <c:v>0.69282032302755092</c:v>
                </c:pt>
                <c:pt idx="12">
                  <c:v>0</c:v>
                </c:pt>
                <c:pt idx="13">
                  <c:v>0.17320508075688773</c:v>
                </c:pt>
                <c:pt idx="14">
                  <c:v>0.17320508075688773</c:v>
                </c:pt>
                <c:pt idx="15">
                  <c:v>0.17320508075688773</c:v>
                </c:pt>
                <c:pt idx="16">
                  <c:v>0</c:v>
                </c:pt>
                <c:pt idx="18">
                  <c:v>0</c:v>
                </c:pt>
                <c:pt idx="19">
                  <c:v>0.60621778264910697</c:v>
                </c:pt>
                <c:pt idx="20">
                  <c:v>0.60621778264910697</c:v>
                </c:pt>
                <c:pt idx="21">
                  <c:v>0</c:v>
                </c:pt>
                <c:pt idx="22">
                  <c:v>0.25980762113533162</c:v>
                </c:pt>
                <c:pt idx="23">
                  <c:v>0.25980762113533162</c:v>
                </c:pt>
                <c:pt idx="24">
                  <c:v>0.25980762113533162</c:v>
                </c:pt>
                <c:pt idx="25">
                  <c:v>0</c:v>
                </c:pt>
                <c:pt idx="27">
                  <c:v>0</c:v>
                </c:pt>
                <c:pt idx="28">
                  <c:v>0.51961524227066314</c:v>
                </c:pt>
                <c:pt idx="29">
                  <c:v>0.51961524227066314</c:v>
                </c:pt>
                <c:pt idx="30">
                  <c:v>0</c:v>
                </c:pt>
                <c:pt idx="31">
                  <c:v>0.34641016151377546</c:v>
                </c:pt>
                <c:pt idx="32">
                  <c:v>0.34641016151377546</c:v>
                </c:pt>
                <c:pt idx="33">
                  <c:v>0.34641016151377546</c:v>
                </c:pt>
                <c:pt idx="34">
                  <c:v>0</c:v>
                </c:pt>
                <c:pt idx="36">
                  <c:v>0</c:v>
                </c:pt>
                <c:pt idx="37">
                  <c:v>0.4330127018922193</c:v>
                </c:pt>
                <c:pt idx="38">
                  <c:v>0.4330127018922193</c:v>
                </c:pt>
                <c:pt idx="39">
                  <c:v>0</c:v>
                </c:pt>
                <c:pt idx="40">
                  <c:v>0.4330127018922193</c:v>
                </c:pt>
                <c:pt idx="41">
                  <c:v>0.4330127018922193</c:v>
                </c:pt>
                <c:pt idx="42">
                  <c:v>0.4330127018922193</c:v>
                </c:pt>
                <c:pt idx="43">
                  <c:v>0</c:v>
                </c:pt>
              </c:numCache>
            </c:numRef>
          </c:yVal>
          <c:smooth val="0"/>
          <c:extLst>
            <c:ext xmlns:c16="http://schemas.microsoft.com/office/drawing/2014/chart" uri="{C3380CC4-5D6E-409C-BE32-E72D297353CC}">
              <c16:uniqueId val="{00000000-787E-4DF2-8D14-D8E3050DD1A8}"/>
            </c:ext>
          </c:extLst>
        </c:ser>
        <c:ser>
          <c:idx val="2"/>
          <c:order val="1"/>
          <c:tx>
            <c:strRef>
              <c:f>HelpTernaryPlot!$N$3</c:f>
              <c:strCache>
                <c:ptCount val="1"/>
                <c:pt idx="0">
                  <c:v>A axis ticks</c:v>
                </c:pt>
              </c:strCache>
            </c:strRef>
          </c:tx>
          <c:spPr>
            <a:ln w="12700">
              <a:solidFill>
                <a:schemeClr val="bg1">
                  <a:lumMod val="75000"/>
                </a:schemeClr>
              </a:solidFill>
            </a:ln>
          </c:spPr>
          <c:marker>
            <c:symbol val="none"/>
          </c:marker>
          <c:xVal>
            <c:numRef>
              <c:f>HelpTernaryPlot!$N$9:$N$40</c:f>
              <c:numCache>
                <c:formatCode>General</c:formatCode>
                <c:ptCount val="32"/>
                <c:pt idx="0" formatCode="0.00">
                  <c:v>0</c:v>
                </c:pt>
                <c:pt idx="1">
                  <c:v>-1.2500000000000001E-2</c:v>
                </c:pt>
                <c:pt idx="3" formatCode="0.00">
                  <c:v>0.2</c:v>
                </c:pt>
                <c:pt idx="4">
                  <c:v>0.1875</c:v>
                </c:pt>
                <c:pt idx="6" formatCode="0.00">
                  <c:v>0.4</c:v>
                </c:pt>
                <c:pt idx="7">
                  <c:v>0.38750000000000001</c:v>
                </c:pt>
                <c:pt idx="9" formatCode="0.00">
                  <c:v>0.60000000000000009</c:v>
                </c:pt>
                <c:pt idx="10">
                  <c:v>0.58750000000000013</c:v>
                </c:pt>
                <c:pt idx="12" formatCode="0.00">
                  <c:v>0.8</c:v>
                </c:pt>
                <c:pt idx="13">
                  <c:v>0.78750000000000009</c:v>
                </c:pt>
                <c:pt idx="15" formatCode="0.00">
                  <c:v>1</c:v>
                </c:pt>
                <c:pt idx="16">
                  <c:v>0.98750000000000004</c:v>
                </c:pt>
                <c:pt idx="18" formatCode="0.00">
                  <c:v>#N/A</c:v>
                </c:pt>
                <c:pt idx="19">
                  <c:v>#N/A</c:v>
                </c:pt>
                <c:pt idx="21" formatCode="0.00">
                  <c:v>#N/A</c:v>
                </c:pt>
                <c:pt idx="22">
                  <c:v>#N/A</c:v>
                </c:pt>
                <c:pt idx="24" formatCode="0.00">
                  <c:v>#N/A</c:v>
                </c:pt>
                <c:pt idx="25">
                  <c:v>#N/A</c:v>
                </c:pt>
                <c:pt idx="27" formatCode="0.00">
                  <c:v>#N/A</c:v>
                </c:pt>
                <c:pt idx="28">
                  <c:v>#N/A</c:v>
                </c:pt>
                <c:pt idx="30" formatCode="0.00">
                  <c:v>#N/A</c:v>
                </c:pt>
                <c:pt idx="31">
                  <c:v>#N/A</c:v>
                </c:pt>
              </c:numCache>
            </c:numRef>
          </c:xVal>
          <c:yVal>
            <c:numRef>
              <c:f>HelpTernaryPlot!$O$9:$O$40</c:f>
              <c:numCache>
                <c:formatCode>General</c:formatCode>
                <c:ptCount val="32"/>
                <c:pt idx="0" formatCode="0.00">
                  <c:v>0</c:v>
                </c:pt>
                <c:pt idx="1">
                  <c:v>-2.1650635094610966E-2</c:v>
                </c:pt>
                <c:pt idx="3" formatCode="0.00">
                  <c:v>0</c:v>
                </c:pt>
                <c:pt idx="4">
                  <c:v>-2.1650635094610966E-2</c:v>
                </c:pt>
                <c:pt idx="6" formatCode="0.00">
                  <c:v>0</c:v>
                </c:pt>
                <c:pt idx="7">
                  <c:v>-2.1650635094610966E-2</c:v>
                </c:pt>
                <c:pt idx="9" formatCode="0.00">
                  <c:v>0</c:v>
                </c:pt>
                <c:pt idx="10">
                  <c:v>-2.1650635094610966E-2</c:v>
                </c:pt>
                <c:pt idx="12" formatCode="0.00">
                  <c:v>0</c:v>
                </c:pt>
                <c:pt idx="13">
                  <c:v>-2.1650635094610966E-2</c:v>
                </c:pt>
                <c:pt idx="15" formatCode="0.00">
                  <c:v>0</c:v>
                </c:pt>
                <c:pt idx="16">
                  <c:v>-2.1650635094610966E-2</c:v>
                </c:pt>
                <c:pt idx="18" formatCode="0.00">
                  <c:v>#N/A</c:v>
                </c:pt>
                <c:pt idx="19">
                  <c:v>#N/A</c:v>
                </c:pt>
                <c:pt idx="21" formatCode="0.00">
                  <c:v>#N/A</c:v>
                </c:pt>
                <c:pt idx="22">
                  <c:v>#N/A</c:v>
                </c:pt>
                <c:pt idx="24" formatCode="0.00">
                  <c:v>#N/A</c:v>
                </c:pt>
                <c:pt idx="25">
                  <c:v>#N/A</c:v>
                </c:pt>
                <c:pt idx="27" formatCode="0.00">
                  <c:v>#N/A</c:v>
                </c:pt>
                <c:pt idx="28">
                  <c:v>#N/A</c:v>
                </c:pt>
                <c:pt idx="30" formatCode="0.00">
                  <c:v>#N/A</c:v>
                </c:pt>
                <c:pt idx="31">
                  <c:v>#N/A</c:v>
                </c:pt>
              </c:numCache>
            </c:numRef>
          </c:yVal>
          <c:smooth val="0"/>
          <c:extLst>
            <c:ext xmlns:c16="http://schemas.microsoft.com/office/drawing/2014/chart" uri="{C3380CC4-5D6E-409C-BE32-E72D297353CC}">
              <c16:uniqueId val="{00000001-787E-4DF2-8D14-D8E3050DD1A8}"/>
            </c:ext>
          </c:extLst>
        </c:ser>
        <c:ser>
          <c:idx val="3"/>
          <c:order val="2"/>
          <c:tx>
            <c:strRef>
              <c:f>HelpTernaryPlot!$Q$3</c:f>
              <c:strCache>
                <c:ptCount val="1"/>
                <c:pt idx="0">
                  <c:v>B axis ticks</c:v>
                </c:pt>
              </c:strCache>
            </c:strRef>
          </c:tx>
          <c:spPr>
            <a:ln w="12700">
              <a:solidFill>
                <a:schemeClr val="bg1">
                  <a:lumMod val="75000"/>
                </a:schemeClr>
              </a:solidFill>
            </a:ln>
          </c:spPr>
          <c:marker>
            <c:symbol val="none"/>
          </c:marker>
          <c:xVal>
            <c:numRef>
              <c:f>HelpTernaryPlot!$Q$9:$Q$40</c:f>
              <c:numCache>
                <c:formatCode>General</c:formatCode>
                <c:ptCount val="32"/>
                <c:pt idx="0">
                  <c:v>1</c:v>
                </c:pt>
                <c:pt idx="1">
                  <c:v>1.0249999999999999</c:v>
                </c:pt>
                <c:pt idx="3">
                  <c:v>0.9</c:v>
                </c:pt>
                <c:pt idx="4">
                  <c:v>0.92500000000000004</c:v>
                </c:pt>
                <c:pt idx="6">
                  <c:v>0.8</c:v>
                </c:pt>
                <c:pt idx="7">
                  <c:v>0.82500000000000007</c:v>
                </c:pt>
                <c:pt idx="9">
                  <c:v>0.7</c:v>
                </c:pt>
                <c:pt idx="10">
                  <c:v>0.72499999999999998</c:v>
                </c:pt>
                <c:pt idx="12">
                  <c:v>0.6</c:v>
                </c:pt>
                <c:pt idx="13">
                  <c:v>0.625</c:v>
                </c:pt>
                <c:pt idx="15">
                  <c:v>0.5</c:v>
                </c:pt>
                <c:pt idx="16">
                  <c:v>0.52500000000000002</c:v>
                </c:pt>
                <c:pt idx="18">
                  <c:v>#N/A</c:v>
                </c:pt>
                <c:pt idx="19">
                  <c:v>#N/A</c:v>
                </c:pt>
                <c:pt idx="21">
                  <c:v>#N/A</c:v>
                </c:pt>
                <c:pt idx="22">
                  <c:v>#N/A</c:v>
                </c:pt>
                <c:pt idx="24">
                  <c:v>#N/A</c:v>
                </c:pt>
                <c:pt idx="25">
                  <c:v>#N/A</c:v>
                </c:pt>
                <c:pt idx="27">
                  <c:v>#N/A</c:v>
                </c:pt>
                <c:pt idx="28">
                  <c:v>#N/A</c:v>
                </c:pt>
                <c:pt idx="30">
                  <c:v>#N/A</c:v>
                </c:pt>
                <c:pt idx="31">
                  <c:v>#N/A</c:v>
                </c:pt>
              </c:numCache>
            </c:numRef>
          </c:xVal>
          <c:yVal>
            <c:numRef>
              <c:f>HelpTernaryPlot!$R$9:$R$40</c:f>
              <c:numCache>
                <c:formatCode>General</c:formatCode>
                <c:ptCount val="32"/>
                <c:pt idx="0">
                  <c:v>0</c:v>
                </c:pt>
                <c:pt idx="1">
                  <c:v>0</c:v>
                </c:pt>
                <c:pt idx="3">
                  <c:v>0.17320508075688773</c:v>
                </c:pt>
                <c:pt idx="4">
                  <c:v>0.17320508075688773</c:v>
                </c:pt>
                <c:pt idx="6">
                  <c:v>0.34641016151377546</c:v>
                </c:pt>
                <c:pt idx="7">
                  <c:v>0.34641016151377546</c:v>
                </c:pt>
                <c:pt idx="9">
                  <c:v>0.51961524227066325</c:v>
                </c:pt>
                <c:pt idx="10">
                  <c:v>0.51961524227066325</c:v>
                </c:pt>
                <c:pt idx="12">
                  <c:v>0.69282032302755092</c:v>
                </c:pt>
                <c:pt idx="13">
                  <c:v>0.69282032302755092</c:v>
                </c:pt>
                <c:pt idx="15">
                  <c:v>0.8660254037844386</c:v>
                </c:pt>
                <c:pt idx="16">
                  <c:v>0.8660254037844386</c:v>
                </c:pt>
                <c:pt idx="18">
                  <c:v>#N/A</c:v>
                </c:pt>
                <c:pt idx="19">
                  <c:v>#N/A</c:v>
                </c:pt>
                <c:pt idx="21">
                  <c:v>#N/A</c:v>
                </c:pt>
                <c:pt idx="22">
                  <c:v>#N/A</c:v>
                </c:pt>
                <c:pt idx="24">
                  <c:v>#N/A</c:v>
                </c:pt>
                <c:pt idx="25">
                  <c:v>#N/A</c:v>
                </c:pt>
                <c:pt idx="27">
                  <c:v>#N/A</c:v>
                </c:pt>
                <c:pt idx="28">
                  <c:v>#N/A</c:v>
                </c:pt>
                <c:pt idx="30">
                  <c:v>#N/A</c:v>
                </c:pt>
                <c:pt idx="31">
                  <c:v>#N/A</c:v>
                </c:pt>
              </c:numCache>
            </c:numRef>
          </c:yVal>
          <c:smooth val="0"/>
          <c:extLst>
            <c:ext xmlns:c16="http://schemas.microsoft.com/office/drawing/2014/chart" uri="{C3380CC4-5D6E-409C-BE32-E72D297353CC}">
              <c16:uniqueId val="{00000002-787E-4DF2-8D14-D8E3050DD1A8}"/>
            </c:ext>
          </c:extLst>
        </c:ser>
        <c:ser>
          <c:idx val="4"/>
          <c:order val="3"/>
          <c:tx>
            <c:strRef>
              <c:f>HelpTernaryPlot!$T$3</c:f>
              <c:strCache>
                <c:ptCount val="1"/>
                <c:pt idx="0">
                  <c:v>C axis ticks</c:v>
                </c:pt>
              </c:strCache>
            </c:strRef>
          </c:tx>
          <c:spPr>
            <a:ln w="12700">
              <a:solidFill>
                <a:schemeClr val="bg1">
                  <a:lumMod val="75000"/>
                </a:schemeClr>
              </a:solidFill>
            </a:ln>
          </c:spPr>
          <c:marker>
            <c:symbol val="none"/>
          </c:marker>
          <c:xVal>
            <c:numRef>
              <c:f>HelpTernaryPlot!$T$9:$T$40</c:f>
              <c:numCache>
                <c:formatCode>General</c:formatCode>
                <c:ptCount val="32"/>
                <c:pt idx="0">
                  <c:v>0.5</c:v>
                </c:pt>
                <c:pt idx="1">
                  <c:v>0.48749999999999999</c:v>
                </c:pt>
                <c:pt idx="3">
                  <c:v>0.4</c:v>
                </c:pt>
                <c:pt idx="4">
                  <c:v>0.38750000000000001</c:v>
                </c:pt>
                <c:pt idx="6">
                  <c:v>0.3</c:v>
                </c:pt>
                <c:pt idx="7">
                  <c:v>0.28749999999999998</c:v>
                </c:pt>
                <c:pt idx="9">
                  <c:v>0.19999999999999996</c:v>
                </c:pt>
                <c:pt idx="10">
                  <c:v>0.18749999999999994</c:v>
                </c:pt>
                <c:pt idx="12">
                  <c:v>9.9999999999999978E-2</c:v>
                </c:pt>
                <c:pt idx="13">
                  <c:v>8.7499999999999981E-2</c:v>
                </c:pt>
                <c:pt idx="15">
                  <c:v>0</c:v>
                </c:pt>
                <c:pt idx="16">
                  <c:v>-1.2500000000000001E-2</c:v>
                </c:pt>
                <c:pt idx="18">
                  <c:v>#N/A</c:v>
                </c:pt>
                <c:pt idx="19">
                  <c:v>#N/A</c:v>
                </c:pt>
                <c:pt idx="21">
                  <c:v>#N/A</c:v>
                </c:pt>
                <c:pt idx="22">
                  <c:v>#N/A</c:v>
                </c:pt>
                <c:pt idx="24">
                  <c:v>#N/A</c:v>
                </c:pt>
                <c:pt idx="25">
                  <c:v>#N/A</c:v>
                </c:pt>
                <c:pt idx="27">
                  <c:v>#N/A</c:v>
                </c:pt>
                <c:pt idx="28">
                  <c:v>#N/A</c:v>
                </c:pt>
                <c:pt idx="30">
                  <c:v>#N/A</c:v>
                </c:pt>
                <c:pt idx="31">
                  <c:v>#N/A</c:v>
                </c:pt>
              </c:numCache>
            </c:numRef>
          </c:xVal>
          <c:yVal>
            <c:numRef>
              <c:f>HelpTernaryPlot!$U$9:$U$40</c:f>
              <c:numCache>
                <c:formatCode>General</c:formatCode>
                <c:ptCount val="32"/>
                <c:pt idx="0">
                  <c:v>0.8660254037844386</c:v>
                </c:pt>
                <c:pt idx="1">
                  <c:v>0.88767603887904956</c:v>
                </c:pt>
                <c:pt idx="3">
                  <c:v>0.69282032302755092</c:v>
                </c:pt>
                <c:pt idx="4">
                  <c:v>0.71447095812216188</c:v>
                </c:pt>
                <c:pt idx="6">
                  <c:v>0.51961524227066314</c:v>
                </c:pt>
                <c:pt idx="7">
                  <c:v>0.5412658773652741</c:v>
                </c:pt>
                <c:pt idx="9">
                  <c:v>0.34641016151377535</c:v>
                </c:pt>
                <c:pt idx="10">
                  <c:v>0.36806079660838631</c:v>
                </c:pt>
                <c:pt idx="12">
                  <c:v>0.17320508075688767</c:v>
                </c:pt>
                <c:pt idx="13">
                  <c:v>0.19485571585149863</c:v>
                </c:pt>
                <c:pt idx="15">
                  <c:v>0</c:v>
                </c:pt>
                <c:pt idx="16">
                  <c:v>2.1650635094610966E-2</c:v>
                </c:pt>
                <c:pt idx="18">
                  <c:v>#N/A</c:v>
                </c:pt>
                <c:pt idx="19">
                  <c:v>#N/A</c:v>
                </c:pt>
                <c:pt idx="21">
                  <c:v>#N/A</c:v>
                </c:pt>
                <c:pt idx="22">
                  <c:v>#N/A</c:v>
                </c:pt>
                <c:pt idx="24">
                  <c:v>#N/A</c:v>
                </c:pt>
                <c:pt idx="25">
                  <c:v>#N/A</c:v>
                </c:pt>
                <c:pt idx="27">
                  <c:v>#N/A</c:v>
                </c:pt>
                <c:pt idx="28">
                  <c:v>#N/A</c:v>
                </c:pt>
                <c:pt idx="30">
                  <c:v>#N/A</c:v>
                </c:pt>
                <c:pt idx="31">
                  <c:v>#N/A</c:v>
                </c:pt>
              </c:numCache>
            </c:numRef>
          </c:yVal>
          <c:smooth val="0"/>
          <c:extLst>
            <c:ext xmlns:c16="http://schemas.microsoft.com/office/drawing/2014/chart" uri="{C3380CC4-5D6E-409C-BE32-E72D297353CC}">
              <c16:uniqueId val="{00000003-787E-4DF2-8D14-D8E3050DD1A8}"/>
            </c:ext>
          </c:extLst>
        </c:ser>
        <c:ser>
          <c:idx val="5"/>
          <c:order val="4"/>
          <c:tx>
            <c:strRef>
              <c:f>HelpTernaryPlot!$X$3</c:f>
              <c:strCache>
                <c:ptCount val="1"/>
                <c:pt idx="0">
                  <c:v>A axis tick labels</c:v>
                </c:pt>
              </c:strCache>
            </c:strRef>
          </c:tx>
          <c:spPr>
            <a:ln>
              <a:noFill/>
            </a:ln>
          </c:spPr>
          <c:marker>
            <c:symbol val="none"/>
          </c:marker>
          <c:dLbls>
            <c:dLbl>
              <c:idx val="0"/>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87E-4DF2-8D14-D8E3050DD1A8}"/>
                </c:ext>
              </c:extLst>
            </c:dLbl>
            <c:dLbl>
              <c:idx val="1"/>
              <c:tx>
                <c:rich>
                  <a:bodyPr/>
                  <a:lstStyle/>
                  <a:p>
                    <a:fld id="{24905C36-26D7-4EE3-91AC-9BCE0307BD85}" type="CELLRANGE">
                      <a:rPr lang="en-US"/>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787E-4DF2-8D14-D8E3050DD1A8}"/>
                </c:ext>
              </c:extLst>
            </c:dLbl>
            <c:dLbl>
              <c:idx val="2"/>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87E-4DF2-8D14-D8E3050DD1A8}"/>
                </c:ext>
              </c:extLst>
            </c:dLbl>
            <c:dLbl>
              <c:idx val="3"/>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87E-4DF2-8D14-D8E3050DD1A8}"/>
                </c:ext>
              </c:extLst>
            </c:dLbl>
            <c:dLbl>
              <c:idx val="4"/>
              <c:tx>
                <c:rich>
                  <a:bodyPr/>
                  <a:lstStyle/>
                  <a:p>
                    <a:fld id="{AC2BC58A-863D-4324-802B-1D8ECE74012A}"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87E-4DF2-8D14-D8E3050DD1A8}"/>
                </c:ext>
              </c:extLst>
            </c:dLbl>
            <c:dLbl>
              <c:idx val="5"/>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87E-4DF2-8D14-D8E3050DD1A8}"/>
                </c:ext>
              </c:extLst>
            </c:dLbl>
            <c:dLbl>
              <c:idx val="6"/>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87E-4DF2-8D14-D8E3050DD1A8}"/>
                </c:ext>
              </c:extLst>
            </c:dLbl>
            <c:dLbl>
              <c:idx val="7"/>
              <c:tx>
                <c:rich>
                  <a:bodyPr/>
                  <a:lstStyle/>
                  <a:p>
                    <a:fld id="{A466C6BA-FAB6-4437-A0E0-00B3F3C1264D}"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87E-4DF2-8D14-D8E3050DD1A8}"/>
                </c:ext>
              </c:extLst>
            </c:dLbl>
            <c:dLbl>
              <c:idx val="8"/>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787E-4DF2-8D14-D8E3050DD1A8}"/>
                </c:ext>
              </c:extLst>
            </c:dLbl>
            <c:dLbl>
              <c:idx val="9"/>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87E-4DF2-8D14-D8E3050DD1A8}"/>
                </c:ext>
              </c:extLst>
            </c:dLbl>
            <c:dLbl>
              <c:idx val="10"/>
              <c:tx>
                <c:rich>
                  <a:bodyPr/>
                  <a:lstStyle/>
                  <a:p>
                    <a:fld id="{97FE09C5-380B-4E34-989F-635EB8FAF57F}"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87E-4DF2-8D14-D8E3050DD1A8}"/>
                </c:ext>
              </c:extLst>
            </c:dLbl>
            <c:dLbl>
              <c:idx val="11"/>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787E-4DF2-8D14-D8E3050DD1A8}"/>
                </c:ext>
              </c:extLst>
            </c:dLbl>
            <c:dLbl>
              <c:idx val="12"/>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787E-4DF2-8D14-D8E3050DD1A8}"/>
                </c:ext>
              </c:extLst>
            </c:dLbl>
            <c:dLbl>
              <c:idx val="13"/>
              <c:tx>
                <c:rich>
                  <a:bodyPr/>
                  <a:lstStyle/>
                  <a:p>
                    <a:fld id="{E84E36D7-C853-41A1-B633-E10AB5FB21B7}"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87E-4DF2-8D14-D8E3050DD1A8}"/>
                </c:ext>
              </c:extLst>
            </c:dLbl>
            <c:dLbl>
              <c:idx val="14"/>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787E-4DF2-8D14-D8E3050DD1A8}"/>
                </c:ext>
              </c:extLst>
            </c:dLbl>
            <c:dLbl>
              <c:idx val="15"/>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787E-4DF2-8D14-D8E3050DD1A8}"/>
                </c:ext>
              </c:extLst>
            </c:dLbl>
            <c:dLbl>
              <c:idx val="16"/>
              <c:tx>
                <c:rich>
                  <a:bodyPr/>
                  <a:lstStyle/>
                  <a:p>
                    <a:fld id="{1AD3AA43-D06E-4CBC-8260-D12873228EBB}"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87E-4DF2-8D14-D8E3050DD1A8}"/>
                </c:ext>
              </c:extLst>
            </c:dLbl>
            <c:dLbl>
              <c:idx val="17"/>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787E-4DF2-8D14-D8E3050DD1A8}"/>
                </c:ext>
              </c:extLst>
            </c:dLbl>
            <c:dLbl>
              <c:idx val="18"/>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787E-4DF2-8D14-D8E3050DD1A8}"/>
                </c:ext>
              </c:extLst>
            </c:dLbl>
            <c:dLbl>
              <c:idx val="19"/>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787E-4DF2-8D14-D8E3050DD1A8}"/>
                </c:ext>
              </c:extLst>
            </c:dLbl>
            <c:dLbl>
              <c:idx val="20"/>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787E-4DF2-8D14-D8E3050DD1A8}"/>
                </c:ext>
              </c:extLst>
            </c:dLbl>
            <c:dLbl>
              <c:idx val="21"/>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787E-4DF2-8D14-D8E3050DD1A8}"/>
                </c:ext>
              </c:extLst>
            </c:dLbl>
            <c:dLbl>
              <c:idx val="22"/>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787E-4DF2-8D14-D8E3050DD1A8}"/>
                </c:ext>
              </c:extLst>
            </c:dLbl>
            <c:dLbl>
              <c:idx val="23"/>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787E-4DF2-8D14-D8E3050DD1A8}"/>
                </c:ext>
              </c:extLst>
            </c:dLbl>
            <c:dLbl>
              <c:idx val="24"/>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787E-4DF2-8D14-D8E3050DD1A8}"/>
                </c:ext>
              </c:extLst>
            </c:dLbl>
            <c:dLbl>
              <c:idx val="25"/>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787E-4DF2-8D14-D8E3050DD1A8}"/>
                </c:ext>
              </c:extLst>
            </c:dLbl>
            <c:dLbl>
              <c:idx val="26"/>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787E-4DF2-8D14-D8E3050DD1A8}"/>
                </c:ext>
              </c:extLst>
            </c:dLbl>
            <c:dLbl>
              <c:idx val="27"/>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787E-4DF2-8D14-D8E3050DD1A8}"/>
                </c:ext>
              </c:extLst>
            </c:dLbl>
            <c:dLbl>
              <c:idx val="28"/>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787E-4DF2-8D14-D8E3050DD1A8}"/>
                </c:ext>
              </c:extLst>
            </c:dLbl>
            <c:dLbl>
              <c:idx val="29"/>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787E-4DF2-8D14-D8E3050DD1A8}"/>
                </c:ext>
              </c:extLst>
            </c:dLbl>
            <c:dLbl>
              <c:idx val="30"/>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787E-4DF2-8D14-D8E3050DD1A8}"/>
                </c:ext>
              </c:extLst>
            </c:dLbl>
            <c:dLbl>
              <c:idx val="31"/>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787E-4DF2-8D14-D8E3050DD1A8}"/>
                </c:ext>
              </c:extLst>
            </c:dLbl>
            <c:spPr>
              <a:noFill/>
              <a:ln>
                <a:noFill/>
              </a:ln>
              <a:effectLst/>
            </c:spPr>
            <c:txPr>
              <a:bodyPr rot="-3600000" wrap="square" lIns="0" tIns="0" rIns="0" bIns="0" anchor="ctr">
                <a:spAutoFit/>
              </a:bodyPr>
              <a:lstStyle/>
              <a:p>
                <a:pPr>
                  <a:defRPr/>
                </a:pPr>
                <a:endParaRPr lang="de-DE"/>
              </a:p>
            </c:txPr>
            <c:dLblPos val="b"/>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HelpTernaryPlot!$X$9:$X$40</c:f>
              <c:numCache>
                <c:formatCode>General</c:formatCode>
                <c:ptCount val="32"/>
                <c:pt idx="1">
                  <c:v>-3.7500000000000006E-2</c:v>
                </c:pt>
                <c:pt idx="4">
                  <c:v>0.16250000000000001</c:v>
                </c:pt>
                <c:pt idx="7">
                  <c:v>0.36249999999999999</c:v>
                </c:pt>
                <c:pt idx="10">
                  <c:v>0.56250000000000011</c:v>
                </c:pt>
                <c:pt idx="13">
                  <c:v>0.76250000000000007</c:v>
                </c:pt>
                <c:pt idx="16">
                  <c:v>0.96250000000000002</c:v>
                </c:pt>
                <c:pt idx="19">
                  <c:v>#N/A</c:v>
                </c:pt>
                <c:pt idx="22">
                  <c:v>#N/A</c:v>
                </c:pt>
                <c:pt idx="25">
                  <c:v>#N/A</c:v>
                </c:pt>
                <c:pt idx="28">
                  <c:v>#N/A</c:v>
                </c:pt>
                <c:pt idx="31">
                  <c:v>#N/A</c:v>
                </c:pt>
              </c:numCache>
            </c:numRef>
          </c:xVal>
          <c:yVal>
            <c:numRef>
              <c:f>HelpTernaryPlot!$Y$9:$Y$40</c:f>
              <c:numCache>
                <c:formatCode>General</c:formatCode>
                <c:ptCount val="32"/>
                <c:pt idx="1">
                  <c:v>0</c:v>
                </c:pt>
                <c:pt idx="4">
                  <c:v>0</c:v>
                </c:pt>
                <c:pt idx="7">
                  <c:v>0</c:v>
                </c:pt>
                <c:pt idx="10">
                  <c:v>0</c:v>
                </c:pt>
                <c:pt idx="13">
                  <c:v>0</c:v>
                </c:pt>
                <c:pt idx="16">
                  <c:v>0</c:v>
                </c:pt>
                <c:pt idx="19">
                  <c:v>#N/A</c:v>
                </c:pt>
                <c:pt idx="22">
                  <c:v>#N/A</c:v>
                </c:pt>
                <c:pt idx="25">
                  <c:v>#N/A</c:v>
                </c:pt>
                <c:pt idx="28">
                  <c:v>#N/A</c:v>
                </c:pt>
                <c:pt idx="31">
                  <c:v>#N/A</c:v>
                </c:pt>
              </c:numCache>
            </c:numRef>
          </c:yVal>
          <c:smooth val="0"/>
          <c:extLst>
            <c:ext xmlns:c15="http://schemas.microsoft.com/office/drawing/2012/chart" uri="{02D57815-91ED-43cb-92C2-25804820EDAC}">
              <c15:datalabelsRange>
                <c15:f>HelpTernaryPlot!$W$9:$W$40</c15:f>
                <c15:dlblRangeCache>
                  <c:ptCount val="32"/>
                  <c:pt idx="1">
                    <c:v>0.00</c:v>
                  </c:pt>
                  <c:pt idx="4">
                    <c:v>0.20</c:v>
                  </c:pt>
                  <c:pt idx="7">
                    <c:v>0.40</c:v>
                  </c:pt>
                  <c:pt idx="10">
                    <c:v>0.60</c:v>
                  </c:pt>
                  <c:pt idx="13">
                    <c:v>0.80</c:v>
                  </c:pt>
                  <c:pt idx="16">
                    <c:v>1.00</c:v>
                  </c:pt>
                  <c:pt idx="19">
                    <c:v>#NV</c:v>
                  </c:pt>
                  <c:pt idx="22">
                    <c:v>#NV</c:v>
                  </c:pt>
                  <c:pt idx="25">
                    <c:v>#NV</c:v>
                  </c:pt>
                  <c:pt idx="28">
                    <c:v>#NV</c:v>
                  </c:pt>
                  <c:pt idx="31">
                    <c:v>#NV</c:v>
                  </c:pt>
                </c15:dlblRangeCache>
              </c15:datalabelsRange>
            </c:ext>
            <c:ext xmlns:c16="http://schemas.microsoft.com/office/drawing/2014/chart" uri="{C3380CC4-5D6E-409C-BE32-E72D297353CC}">
              <c16:uniqueId val="{00000024-787E-4DF2-8D14-D8E3050DD1A8}"/>
            </c:ext>
          </c:extLst>
        </c:ser>
        <c:ser>
          <c:idx val="6"/>
          <c:order val="5"/>
          <c:tx>
            <c:strRef>
              <c:f>HelpTernaryPlot!$AA$3</c:f>
              <c:strCache>
                <c:ptCount val="1"/>
                <c:pt idx="0">
                  <c:v>B axis tick labels</c:v>
                </c:pt>
              </c:strCache>
            </c:strRef>
          </c:tx>
          <c:spPr>
            <a:ln>
              <a:noFill/>
            </a:ln>
          </c:spPr>
          <c:marker>
            <c:symbol val="none"/>
          </c:marker>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787E-4DF2-8D14-D8E3050DD1A8}"/>
                </c:ext>
              </c:extLst>
            </c:dLbl>
            <c:dLbl>
              <c:idx val="1"/>
              <c:tx>
                <c:rich>
                  <a:bodyPr/>
                  <a:lstStyle/>
                  <a:p>
                    <a:fld id="{9A8AA623-5D3C-49FE-A28F-C1760B3BAEF8}" type="CELLRANGE">
                      <a:rPr lang="en-US"/>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787E-4DF2-8D14-D8E3050DD1A8}"/>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787E-4DF2-8D14-D8E3050DD1A8}"/>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787E-4DF2-8D14-D8E3050DD1A8}"/>
                </c:ext>
              </c:extLst>
            </c:dLbl>
            <c:dLbl>
              <c:idx val="4"/>
              <c:tx>
                <c:rich>
                  <a:bodyPr/>
                  <a:lstStyle/>
                  <a:p>
                    <a:fld id="{EE9BAA5B-50F0-49D8-A4D3-BC3941875910}"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787E-4DF2-8D14-D8E3050DD1A8}"/>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787E-4DF2-8D14-D8E3050DD1A8}"/>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787E-4DF2-8D14-D8E3050DD1A8}"/>
                </c:ext>
              </c:extLst>
            </c:dLbl>
            <c:dLbl>
              <c:idx val="7"/>
              <c:tx>
                <c:rich>
                  <a:bodyPr/>
                  <a:lstStyle/>
                  <a:p>
                    <a:fld id="{AF5DD02B-0E15-429F-9F1D-3BB274500C93}"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787E-4DF2-8D14-D8E3050DD1A8}"/>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787E-4DF2-8D14-D8E3050DD1A8}"/>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787E-4DF2-8D14-D8E3050DD1A8}"/>
                </c:ext>
              </c:extLst>
            </c:dLbl>
            <c:dLbl>
              <c:idx val="10"/>
              <c:tx>
                <c:rich>
                  <a:bodyPr/>
                  <a:lstStyle/>
                  <a:p>
                    <a:fld id="{18C270DB-78A1-4058-9F3C-F974A547E70D}"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787E-4DF2-8D14-D8E3050DD1A8}"/>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787E-4DF2-8D14-D8E3050DD1A8}"/>
                </c:ext>
              </c:extLst>
            </c:dLbl>
            <c:dLbl>
              <c:idx val="1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787E-4DF2-8D14-D8E3050DD1A8}"/>
                </c:ext>
              </c:extLst>
            </c:dLbl>
            <c:dLbl>
              <c:idx val="13"/>
              <c:tx>
                <c:rich>
                  <a:bodyPr/>
                  <a:lstStyle/>
                  <a:p>
                    <a:fld id="{A0408A28-2D23-49D4-961F-02F91F63A731}"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787E-4DF2-8D14-D8E3050DD1A8}"/>
                </c:ext>
              </c:extLst>
            </c:dLbl>
            <c:dLbl>
              <c:idx val="1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787E-4DF2-8D14-D8E3050DD1A8}"/>
                </c:ext>
              </c:extLst>
            </c:dLbl>
            <c:dLbl>
              <c:idx val="1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787E-4DF2-8D14-D8E3050DD1A8}"/>
                </c:ext>
              </c:extLst>
            </c:dLbl>
            <c:dLbl>
              <c:idx val="16"/>
              <c:tx>
                <c:rich>
                  <a:bodyPr/>
                  <a:lstStyle/>
                  <a:p>
                    <a:fld id="{BB260339-734A-4B2A-A8C3-46F74E21D652}"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787E-4DF2-8D14-D8E3050DD1A8}"/>
                </c:ext>
              </c:extLst>
            </c:dLbl>
            <c:dLbl>
              <c:idx val="1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787E-4DF2-8D14-D8E3050DD1A8}"/>
                </c:ext>
              </c:extLst>
            </c:dLbl>
            <c:dLbl>
              <c:idx val="1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787E-4DF2-8D14-D8E3050DD1A8}"/>
                </c:ext>
              </c:extLst>
            </c:dLbl>
            <c:dLbl>
              <c:idx val="1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787E-4DF2-8D14-D8E3050DD1A8}"/>
                </c:ext>
              </c:extLst>
            </c:dLbl>
            <c:dLbl>
              <c:idx val="2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787E-4DF2-8D14-D8E3050DD1A8}"/>
                </c:ext>
              </c:extLst>
            </c:dLbl>
            <c:dLbl>
              <c:idx val="2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787E-4DF2-8D14-D8E3050DD1A8}"/>
                </c:ext>
              </c:extLst>
            </c:dLbl>
            <c:dLbl>
              <c:idx val="2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787E-4DF2-8D14-D8E3050DD1A8}"/>
                </c:ext>
              </c:extLst>
            </c:dLbl>
            <c:dLbl>
              <c:idx val="2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787E-4DF2-8D14-D8E3050DD1A8}"/>
                </c:ext>
              </c:extLst>
            </c:dLbl>
            <c:dLbl>
              <c:idx val="2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787E-4DF2-8D14-D8E3050DD1A8}"/>
                </c:ext>
              </c:extLst>
            </c:dLbl>
            <c:dLbl>
              <c:idx val="2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787E-4DF2-8D14-D8E3050DD1A8}"/>
                </c:ext>
              </c:extLst>
            </c:dLbl>
            <c:dLbl>
              <c:idx val="2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787E-4DF2-8D14-D8E3050DD1A8}"/>
                </c:ext>
              </c:extLst>
            </c:dLbl>
            <c:dLbl>
              <c:idx val="2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787E-4DF2-8D14-D8E3050DD1A8}"/>
                </c:ext>
              </c:extLst>
            </c:dLbl>
            <c:dLbl>
              <c:idx val="2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787E-4DF2-8D14-D8E3050DD1A8}"/>
                </c:ext>
              </c:extLst>
            </c:dLbl>
            <c:dLbl>
              <c:idx val="2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787E-4DF2-8D14-D8E3050DD1A8}"/>
                </c:ext>
              </c:extLst>
            </c:dLbl>
            <c:dLbl>
              <c:idx val="3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787E-4DF2-8D14-D8E3050DD1A8}"/>
                </c:ext>
              </c:extLst>
            </c:dLbl>
            <c:dLbl>
              <c:idx val="3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4-787E-4DF2-8D14-D8E3050DD1A8}"/>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HelpTernaryPlot!$AA$9:$AA$40</c:f>
              <c:numCache>
                <c:formatCode>General</c:formatCode>
                <c:ptCount val="32"/>
                <c:pt idx="1">
                  <c:v>1.0149999999999999</c:v>
                </c:pt>
                <c:pt idx="4">
                  <c:v>0.91500000000000004</c:v>
                </c:pt>
                <c:pt idx="7">
                  <c:v>0.81500000000000006</c:v>
                </c:pt>
                <c:pt idx="10">
                  <c:v>0.71499999999999997</c:v>
                </c:pt>
                <c:pt idx="13">
                  <c:v>0.61499999999999999</c:v>
                </c:pt>
                <c:pt idx="16">
                  <c:v>0.51500000000000001</c:v>
                </c:pt>
                <c:pt idx="19">
                  <c:v>#N/A</c:v>
                </c:pt>
                <c:pt idx="22">
                  <c:v>#N/A</c:v>
                </c:pt>
                <c:pt idx="25">
                  <c:v>#N/A</c:v>
                </c:pt>
                <c:pt idx="28">
                  <c:v>#N/A</c:v>
                </c:pt>
                <c:pt idx="31">
                  <c:v>#N/A</c:v>
                </c:pt>
              </c:numCache>
            </c:numRef>
          </c:xVal>
          <c:yVal>
            <c:numRef>
              <c:f>HelpTernaryPlot!$AB$9:$AB$40</c:f>
              <c:numCache>
                <c:formatCode>General</c:formatCode>
                <c:ptCount val="32"/>
                <c:pt idx="1">
                  <c:v>4.3301270189221933E-3</c:v>
                </c:pt>
                <c:pt idx="4">
                  <c:v>0.17753520777580992</c:v>
                </c:pt>
                <c:pt idx="7">
                  <c:v>0.35074028853269767</c:v>
                </c:pt>
                <c:pt idx="10">
                  <c:v>0.52394536928958546</c:v>
                </c:pt>
                <c:pt idx="13">
                  <c:v>0.69715045004647314</c:v>
                </c:pt>
                <c:pt idx="16">
                  <c:v>0.87035553080336081</c:v>
                </c:pt>
                <c:pt idx="19">
                  <c:v>#N/A</c:v>
                </c:pt>
                <c:pt idx="22">
                  <c:v>#N/A</c:v>
                </c:pt>
                <c:pt idx="25">
                  <c:v>#N/A</c:v>
                </c:pt>
                <c:pt idx="28">
                  <c:v>#N/A</c:v>
                </c:pt>
                <c:pt idx="31">
                  <c:v>#N/A</c:v>
                </c:pt>
              </c:numCache>
            </c:numRef>
          </c:yVal>
          <c:smooth val="0"/>
          <c:extLst>
            <c:ext xmlns:c15="http://schemas.microsoft.com/office/drawing/2012/chart" uri="{02D57815-91ED-43cb-92C2-25804820EDAC}">
              <c15:datalabelsRange>
                <c15:f>HelpTernaryPlot!$W$9:$W$40</c15:f>
                <c15:dlblRangeCache>
                  <c:ptCount val="32"/>
                  <c:pt idx="1">
                    <c:v>0.00</c:v>
                  </c:pt>
                  <c:pt idx="4">
                    <c:v>0.20</c:v>
                  </c:pt>
                  <c:pt idx="7">
                    <c:v>0.40</c:v>
                  </c:pt>
                  <c:pt idx="10">
                    <c:v>0.60</c:v>
                  </c:pt>
                  <c:pt idx="13">
                    <c:v>0.80</c:v>
                  </c:pt>
                  <c:pt idx="16">
                    <c:v>1.00</c:v>
                  </c:pt>
                  <c:pt idx="19">
                    <c:v>#NV</c:v>
                  </c:pt>
                  <c:pt idx="22">
                    <c:v>#NV</c:v>
                  </c:pt>
                  <c:pt idx="25">
                    <c:v>#NV</c:v>
                  </c:pt>
                  <c:pt idx="28">
                    <c:v>#NV</c:v>
                  </c:pt>
                  <c:pt idx="31">
                    <c:v>#NV</c:v>
                  </c:pt>
                </c15:dlblRangeCache>
              </c15:datalabelsRange>
            </c:ext>
            <c:ext xmlns:c16="http://schemas.microsoft.com/office/drawing/2014/chart" uri="{C3380CC4-5D6E-409C-BE32-E72D297353CC}">
              <c16:uniqueId val="{00000045-787E-4DF2-8D14-D8E3050DD1A8}"/>
            </c:ext>
          </c:extLst>
        </c:ser>
        <c:ser>
          <c:idx val="7"/>
          <c:order val="6"/>
          <c:tx>
            <c:strRef>
              <c:f>HelpTernaryPlot!$AD$3</c:f>
              <c:strCache>
                <c:ptCount val="1"/>
                <c:pt idx="0">
                  <c:v>C axis tick labels</c:v>
                </c:pt>
              </c:strCache>
            </c:strRef>
          </c:tx>
          <c:spPr>
            <a:ln>
              <a:noFill/>
            </a:ln>
          </c:spPr>
          <c:marker>
            <c:symbol val="none"/>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6-787E-4DF2-8D14-D8E3050DD1A8}"/>
                </c:ext>
              </c:extLst>
            </c:dLbl>
            <c:dLbl>
              <c:idx val="1"/>
              <c:tx>
                <c:rich>
                  <a:bodyPr/>
                  <a:lstStyle/>
                  <a:p>
                    <a:fld id="{8BB9F612-976B-4C9C-8BE2-EAC2B10EEEC0}"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7-787E-4DF2-8D14-D8E3050DD1A8}"/>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8-787E-4DF2-8D14-D8E3050DD1A8}"/>
                </c:ext>
              </c:extLst>
            </c:dLbl>
            <c:dLbl>
              <c:idx val="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9-787E-4DF2-8D14-D8E3050DD1A8}"/>
                </c:ext>
              </c:extLst>
            </c:dLbl>
            <c:dLbl>
              <c:idx val="4"/>
              <c:tx>
                <c:rich>
                  <a:bodyPr/>
                  <a:lstStyle/>
                  <a:p>
                    <a:fld id="{DF1269CB-447B-41FA-92E6-5C2ADF413D54}"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787E-4DF2-8D14-D8E3050DD1A8}"/>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B-787E-4DF2-8D14-D8E3050DD1A8}"/>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C-787E-4DF2-8D14-D8E3050DD1A8}"/>
                </c:ext>
              </c:extLst>
            </c:dLbl>
            <c:dLbl>
              <c:idx val="7"/>
              <c:tx>
                <c:rich>
                  <a:bodyPr/>
                  <a:lstStyle/>
                  <a:p>
                    <a:fld id="{83C8EE7B-791A-4DCD-8625-4EE773F8AD12}"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787E-4DF2-8D14-D8E3050DD1A8}"/>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E-787E-4DF2-8D14-D8E3050DD1A8}"/>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F-787E-4DF2-8D14-D8E3050DD1A8}"/>
                </c:ext>
              </c:extLst>
            </c:dLbl>
            <c:dLbl>
              <c:idx val="10"/>
              <c:tx>
                <c:rich>
                  <a:bodyPr/>
                  <a:lstStyle/>
                  <a:p>
                    <a:fld id="{2ADB20A3-4C58-47D6-96DA-40D7462350DD}"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787E-4DF2-8D14-D8E3050DD1A8}"/>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1-787E-4DF2-8D14-D8E3050DD1A8}"/>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2-787E-4DF2-8D14-D8E3050DD1A8}"/>
                </c:ext>
              </c:extLst>
            </c:dLbl>
            <c:dLbl>
              <c:idx val="13"/>
              <c:tx>
                <c:rich>
                  <a:bodyPr/>
                  <a:lstStyle/>
                  <a:p>
                    <a:fld id="{201441C1-E604-4B64-BBB1-E4EC3993DDFD}"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787E-4DF2-8D14-D8E3050DD1A8}"/>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4-787E-4DF2-8D14-D8E3050DD1A8}"/>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5-787E-4DF2-8D14-D8E3050DD1A8}"/>
                </c:ext>
              </c:extLst>
            </c:dLbl>
            <c:dLbl>
              <c:idx val="16"/>
              <c:tx>
                <c:rich>
                  <a:bodyPr/>
                  <a:lstStyle/>
                  <a:p>
                    <a:fld id="{DE99FE8E-EB54-4ABF-B390-96DF6901988C}"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787E-4DF2-8D14-D8E3050DD1A8}"/>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7-787E-4DF2-8D14-D8E3050DD1A8}"/>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8-787E-4DF2-8D14-D8E3050DD1A8}"/>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9-787E-4DF2-8D14-D8E3050DD1A8}"/>
                </c:ext>
              </c:extLst>
            </c:dLbl>
            <c:dLbl>
              <c:idx val="2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A-787E-4DF2-8D14-D8E3050DD1A8}"/>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B-787E-4DF2-8D14-D8E3050DD1A8}"/>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C-787E-4DF2-8D14-D8E3050DD1A8}"/>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D-787E-4DF2-8D14-D8E3050DD1A8}"/>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E-787E-4DF2-8D14-D8E3050DD1A8}"/>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F-787E-4DF2-8D14-D8E3050DD1A8}"/>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0-787E-4DF2-8D14-D8E3050DD1A8}"/>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1-787E-4DF2-8D14-D8E3050DD1A8}"/>
                </c:ext>
              </c:extLst>
            </c:dLbl>
            <c:dLbl>
              <c:idx val="2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2-787E-4DF2-8D14-D8E3050DD1A8}"/>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3-787E-4DF2-8D14-D8E3050DD1A8}"/>
                </c:ext>
              </c:extLst>
            </c:dLbl>
            <c:dLbl>
              <c:idx val="3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4-787E-4DF2-8D14-D8E3050DD1A8}"/>
                </c:ext>
              </c:extLst>
            </c:dLbl>
            <c:dLbl>
              <c:idx val="3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5-787E-4DF2-8D14-D8E3050DD1A8}"/>
                </c:ext>
              </c:extLst>
            </c:dLbl>
            <c:spPr>
              <a:noFill/>
              <a:ln>
                <a:noFill/>
              </a:ln>
              <a:effectLst/>
            </c:spPr>
            <c:txPr>
              <a:bodyPr rot="3600000" wrap="square" lIns="0" tIns="0" rIns="0" bIns="0" anchor="ctr">
                <a:spAutoFit/>
              </a:bodyPr>
              <a:lstStyle/>
              <a:p>
                <a:pPr>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HelpTernaryPlot!$AD$9:$AD$40</c:f>
              <c:numCache>
                <c:formatCode>General</c:formatCode>
                <c:ptCount val="32"/>
                <c:pt idx="1">
                  <c:v>0.46249999999999997</c:v>
                </c:pt>
                <c:pt idx="4">
                  <c:v>0.36249999999999999</c:v>
                </c:pt>
                <c:pt idx="7">
                  <c:v>0.26249999999999996</c:v>
                </c:pt>
                <c:pt idx="10">
                  <c:v>0.16249999999999995</c:v>
                </c:pt>
                <c:pt idx="13">
                  <c:v>6.2499999999999979E-2</c:v>
                </c:pt>
                <c:pt idx="16">
                  <c:v>-3.7500000000000006E-2</c:v>
                </c:pt>
                <c:pt idx="19">
                  <c:v>#N/A</c:v>
                </c:pt>
                <c:pt idx="22">
                  <c:v>#N/A</c:v>
                </c:pt>
                <c:pt idx="25">
                  <c:v>#N/A</c:v>
                </c:pt>
                <c:pt idx="28">
                  <c:v>#N/A</c:v>
                </c:pt>
                <c:pt idx="31">
                  <c:v>#N/A</c:v>
                </c:pt>
              </c:numCache>
            </c:numRef>
          </c:xVal>
          <c:yVal>
            <c:numRef>
              <c:f>HelpTernaryPlot!$AE$9:$AE$40</c:f>
              <c:numCache>
                <c:formatCode>General</c:formatCode>
                <c:ptCount val="32"/>
                <c:pt idx="1">
                  <c:v>0.8660254037844386</c:v>
                </c:pt>
                <c:pt idx="4">
                  <c:v>0.69282032302755092</c:v>
                </c:pt>
                <c:pt idx="7">
                  <c:v>0.51961524227066314</c:v>
                </c:pt>
                <c:pt idx="10">
                  <c:v>0.34641016151377535</c:v>
                </c:pt>
                <c:pt idx="13">
                  <c:v>0.17320508075688767</c:v>
                </c:pt>
                <c:pt idx="16">
                  <c:v>0</c:v>
                </c:pt>
                <c:pt idx="19">
                  <c:v>#N/A</c:v>
                </c:pt>
                <c:pt idx="22">
                  <c:v>#N/A</c:v>
                </c:pt>
                <c:pt idx="25">
                  <c:v>#N/A</c:v>
                </c:pt>
                <c:pt idx="28">
                  <c:v>#N/A</c:v>
                </c:pt>
                <c:pt idx="31">
                  <c:v>#N/A</c:v>
                </c:pt>
              </c:numCache>
            </c:numRef>
          </c:yVal>
          <c:smooth val="0"/>
          <c:extLst>
            <c:ext xmlns:c15="http://schemas.microsoft.com/office/drawing/2012/chart" uri="{02D57815-91ED-43cb-92C2-25804820EDAC}">
              <c15:datalabelsRange>
                <c15:f>HelpTernaryPlot!$W$9:$W$40</c15:f>
                <c15:dlblRangeCache>
                  <c:ptCount val="32"/>
                  <c:pt idx="1">
                    <c:v>0.00</c:v>
                  </c:pt>
                  <c:pt idx="4">
                    <c:v>0.20</c:v>
                  </c:pt>
                  <c:pt idx="7">
                    <c:v>0.40</c:v>
                  </c:pt>
                  <c:pt idx="10">
                    <c:v>0.60</c:v>
                  </c:pt>
                  <c:pt idx="13">
                    <c:v>0.80</c:v>
                  </c:pt>
                  <c:pt idx="16">
                    <c:v>1.00</c:v>
                  </c:pt>
                  <c:pt idx="19">
                    <c:v>#NV</c:v>
                  </c:pt>
                  <c:pt idx="22">
                    <c:v>#NV</c:v>
                  </c:pt>
                  <c:pt idx="25">
                    <c:v>#NV</c:v>
                  </c:pt>
                  <c:pt idx="28">
                    <c:v>#NV</c:v>
                  </c:pt>
                  <c:pt idx="31">
                    <c:v>#NV</c:v>
                  </c:pt>
                </c15:dlblRangeCache>
              </c15:datalabelsRange>
            </c:ext>
            <c:ext xmlns:c16="http://schemas.microsoft.com/office/drawing/2014/chart" uri="{C3380CC4-5D6E-409C-BE32-E72D297353CC}">
              <c16:uniqueId val="{00000066-787E-4DF2-8D14-D8E3050DD1A8}"/>
            </c:ext>
          </c:extLst>
        </c:ser>
        <c:ser>
          <c:idx val="8"/>
          <c:order val="7"/>
          <c:tx>
            <c:strRef>
              <c:f>HelpTernaryPlot!$AH$3</c:f>
              <c:strCache>
                <c:ptCount val="1"/>
                <c:pt idx="0">
                  <c:v>A axis label</c:v>
                </c:pt>
              </c:strCache>
            </c:strRef>
          </c:tx>
          <c:spPr>
            <a:ln>
              <a:noFill/>
            </a:ln>
          </c:spPr>
          <c:marker>
            <c:symbol val="none"/>
          </c:marker>
          <c:dLbls>
            <c:dLbl>
              <c:idx val="0"/>
              <c:tx>
                <c:rich>
                  <a:bodyPr/>
                  <a:lstStyle/>
                  <a:p>
                    <a:fld id="{B0A0D115-1D11-4E68-8B4D-4A412C5E65B4}" type="CELLRANGE">
                      <a:rPr lang="en-US"/>
                      <a:pPr/>
                      <a:t>[ZELLBEREICH]</a:t>
                    </a:fld>
                    <a:endParaRPr lang="de-DE"/>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7-787E-4DF2-8D14-D8E3050DD1A8}"/>
                </c:ext>
              </c:extLst>
            </c:dLbl>
            <c:spPr>
              <a:noFill/>
              <a:ln>
                <a:noFill/>
              </a:ln>
              <a:effectLst/>
            </c:sp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HelpTernaryPlot!$AH$10</c:f>
              <c:numCache>
                <c:formatCode>General</c:formatCode>
                <c:ptCount val="1"/>
                <c:pt idx="0">
                  <c:v>0.5</c:v>
                </c:pt>
              </c:numCache>
            </c:numRef>
          </c:xVal>
          <c:yVal>
            <c:numRef>
              <c:f>HelpTernaryPlot!$AI$10</c:f>
              <c:numCache>
                <c:formatCode>General</c:formatCode>
                <c:ptCount val="1"/>
                <c:pt idx="0">
                  <c:v>-0.12990381056766578</c:v>
                </c:pt>
              </c:numCache>
            </c:numRef>
          </c:yVal>
          <c:smooth val="0"/>
          <c:extLst>
            <c:ext xmlns:c15="http://schemas.microsoft.com/office/drawing/2012/chart" uri="{02D57815-91ED-43cb-92C2-25804820EDAC}">
              <c15:datalabelsRange>
                <c15:f>HelpTernaryPlot!$AG$10</c15:f>
                <c15:dlblRangeCache>
                  <c:ptCount val="1"/>
                  <c:pt idx="0">
                    <c:v>x_ethane</c:v>
                  </c:pt>
                </c15:dlblRangeCache>
              </c15:datalabelsRange>
            </c:ext>
            <c:ext xmlns:c16="http://schemas.microsoft.com/office/drawing/2014/chart" uri="{C3380CC4-5D6E-409C-BE32-E72D297353CC}">
              <c16:uniqueId val="{00000068-787E-4DF2-8D14-D8E3050DD1A8}"/>
            </c:ext>
          </c:extLst>
        </c:ser>
        <c:ser>
          <c:idx val="9"/>
          <c:order val="8"/>
          <c:tx>
            <c:strRef>
              <c:f>HelpTernaryPlot!$AK$3</c:f>
              <c:strCache>
                <c:ptCount val="1"/>
                <c:pt idx="0">
                  <c:v>B axis label</c:v>
                </c:pt>
              </c:strCache>
            </c:strRef>
          </c:tx>
          <c:spPr>
            <a:ln>
              <a:noFill/>
            </a:ln>
          </c:spPr>
          <c:marker>
            <c:symbol val="none"/>
          </c:marker>
          <c:dLbls>
            <c:dLbl>
              <c:idx val="0"/>
              <c:tx>
                <c:rich>
                  <a:bodyPr/>
                  <a:lstStyle/>
                  <a:p>
                    <a:fld id="{1BCF15BC-6ABB-42E9-B675-D59C4ABE3CB6}" type="CELLRANGE">
                      <a:rPr lang="en-US"/>
                      <a:pPr/>
                      <a:t>[ZELLBEREICH]</a:t>
                    </a:fld>
                    <a:endParaRPr lang="de-DE"/>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9-787E-4DF2-8D14-D8E3050DD1A8}"/>
                </c:ext>
              </c:extLst>
            </c:dLbl>
            <c:spPr>
              <a:noFill/>
              <a:ln>
                <a:noFill/>
              </a:ln>
              <a:effectLst/>
            </c:spPr>
            <c:txPr>
              <a:bodyPr rot="3600000" wrap="square" lIns="0" tIns="0" rIns="0" bIns="0" anchor="ctr">
                <a:spAutoFit/>
              </a:bodyPr>
              <a:lstStyle/>
              <a:p>
                <a:pPr>
                  <a:defRPr/>
                </a:pPr>
                <a:endParaRPr lang="de-DE"/>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HelpTernaryPlot!$AK$11</c:f>
              <c:numCache>
                <c:formatCode>General</c:formatCode>
                <c:ptCount val="1"/>
                <c:pt idx="0">
                  <c:v>0.9</c:v>
                </c:pt>
              </c:numCache>
            </c:numRef>
          </c:xVal>
          <c:yVal>
            <c:numRef>
              <c:f>HelpTernaryPlot!$AL$11</c:f>
              <c:numCache>
                <c:formatCode>General</c:formatCode>
                <c:ptCount val="1"/>
                <c:pt idx="0">
                  <c:v>0.5</c:v>
                </c:pt>
              </c:numCache>
            </c:numRef>
          </c:yVal>
          <c:smooth val="0"/>
          <c:extLst>
            <c:ext xmlns:c15="http://schemas.microsoft.com/office/drawing/2012/chart" uri="{02D57815-91ED-43cb-92C2-25804820EDAC}">
              <c15:datalabelsRange>
                <c15:f>HelpTernaryPlot!$AG$11</c15:f>
                <c15:dlblRangeCache>
                  <c:ptCount val="1"/>
                  <c:pt idx="0">
                    <c:v>x_methane</c:v>
                  </c:pt>
                </c15:dlblRangeCache>
              </c15:datalabelsRange>
            </c:ext>
            <c:ext xmlns:c16="http://schemas.microsoft.com/office/drawing/2014/chart" uri="{C3380CC4-5D6E-409C-BE32-E72D297353CC}">
              <c16:uniqueId val="{0000006A-787E-4DF2-8D14-D8E3050DD1A8}"/>
            </c:ext>
          </c:extLst>
        </c:ser>
        <c:ser>
          <c:idx val="10"/>
          <c:order val="9"/>
          <c:tx>
            <c:strRef>
              <c:f>HelpTernaryPlot!$AN$3</c:f>
              <c:strCache>
                <c:ptCount val="1"/>
                <c:pt idx="0">
                  <c:v>C axis label</c:v>
                </c:pt>
              </c:strCache>
            </c:strRef>
          </c:tx>
          <c:spPr>
            <a:ln>
              <a:noFill/>
            </a:ln>
          </c:spPr>
          <c:marker>
            <c:symbol val="none"/>
          </c:marker>
          <c:dLbls>
            <c:dLbl>
              <c:idx val="0"/>
              <c:tx>
                <c:rich>
                  <a:bodyPr/>
                  <a:lstStyle/>
                  <a:p>
                    <a:fld id="{C5FE6254-C92F-49F6-9C73-565E85C12F90}" type="CELLRANGE">
                      <a:rPr lang="en-US"/>
                      <a:pPr/>
                      <a:t>[ZELLBEREICH]</a:t>
                    </a:fld>
                    <a:endParaRPr lang="de-DE"/>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B-787E-4DF2-8D14-D8E3050DD1A8}"/>
                </c:ext>
              </c:extLst>
            </c:dLbl>
            <c:spPr>
              <a:noFill/>
              <a:ln>
                <a:noFill/>
              </a:ln>
              <a:effectLst/>
            </c:spPr>
            <c:txPr>
              <a:bodyPr rot="-3600000" wrap="square" lIns="0" tIns="0" rIns="0" bIns="0" anchor="ctr">
                <a:spAutoFit/>
              </a:bodyPr>
              <a:lstStyle/>
              <a:p>
                <a:pPr>
                  <a:defRPr/>
                </a:pPr>
                <a:endParaRPr lang="de-DE"/>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HelpTernaryPlot!$AN$12</c:f>
              <c:numCache>
                <c:formatCode>General</c:formatCode>
                <c:ptCount val="1"/>
                <c:pt idx="0">
                  <c:v>0.1</c:v>
                </c:pt>
              </c:numCache>
            </c:numRef>
          </c:xVal>
          <c:yVal>
            <c:numRef>
              <c:f>HelpTernaryPlot!$AO$12</c:f>
              <c:numCache>
                <c:formatCode>General</c:formatCode>
                <c:ptCount val="1"/>
                <c:pt idx="0">
                  <c:v>0.5</c:v>
                </c:pt>
              </c:numCache>
            </c:numRef>
          </c:yVal>
          <c:smooth val="0"/>
          <c:extLst>
            <c:ext xmlns:c15="http://schemas.microsoft.com/office/drawing/2012/chart" uri="{02D57815-91ED-43cb-92C2-25804820EDAC}">
              <c15:datalabelsRange>
                <c15:f>HelpTernaryPlot!$AG$12</c15:f>
                <c15:dlblRangeCache>
                  <c:ptCount val="1"/>
                  <c:pt idx="0">
                    <c:v>x_nitrogen</c:v>
                  </c:pt>
                </c15:dlblRangeCache>
              </c15:datalabelsRange>
            </c:ext>
            <c:ext xmlns:c16="http://schemas.microsoft.com/office/drawing/2014/chart" uri="{C3380CC4-5D6E-409C-BE32-E72D297353CC}">
              <c16:uniqueId val="{0000006C-787E-4DF2-8D14-D8E3050DD1A8}"/>
            </c:ext>
          </c:extLst>
        </c:ser>
        <c:ser>
          <c:idx val="0"/>
          <c:order val="10"/>
          <c:tx>
            <c:strRef>
              <c:f>HelpTernaryPlot!$A$2</c:f>
              <c:strCache>
                <c:ptCount val="1"/>
                <c:pt idx="0">
                  <c:v>Outline</c:v>
                </c:pt>
              </c:strCache>
            </c:strRef>
          </c:tx>
          <c:spPr>
            <a:ln w="12700">
              <a:solidFill>
                <a:srgbClr xmlns:mc="http://schemas.openxmlformats.org/markup-compatibility/2006" xmlns:a14="http://schemas.microsoft.com/office/drawing/2010/main" val="000000" mc:Ignorable="a14" a14:legacySpreadsheetColorIndex="64"/>
              </a:solidFill>
            </a:ln>
          </c:spPr>
          <c:marker>
            <c:symbol val="none"/>
          </c:marker>
          <c:xVal>
            <c:numRef>
              <c:f>HelpTernaryPlot!$D$9:$D$12</c:f>
              <c:numCache>
                <c:formatCode>General</c:formatCode>
                <c:ptCount val="4"/>
                <c:pt idx="0">
                  <c:v>0</c:v>
                </c:pt>
                <c:pt idx="1">
                  <c:v>1</c:v>
                </c:pt>
                <c:pt idx="2">
                  <c:v>0.5</c:v>
                </c:pt>
                <c:pt idx="3">
                  <c:v>0</c:v>
                </c:pt>
              </c:numCache>
            </c:numRef>
          </c:xVal>
          <c:yVal>
            <c:numRef>
              <c:f>HelpTernaryPlot!$E$9:$E$12</c:f>
              <c:numCache>
                <c:formatCode>General</c:formatCode>
                <c:ptCount val="4"/>
                <c:pt idx="0">
                  <c:v>0</c:v>
                </c:pt>
                <c:pt idx="1">
                  <c:v>0</c:v>
                </c:pt>
                <c:pt idx="2">
                  <c:v>0.8660254037844386</c:v>
                </c:pt>
                <c:pt idx="3">
                  <c:v>0</c:v>
                </c:pt>
              </c:numCache>
            </c:numRef>
          </c:yVal>
          <c:smooth val="0"/>
          <c:extLst>
            <c:ext xmlns:c16="http://schemas.microsoft.com/office/drawing/2014/chart" uri="{C3380CC4-5D6E-409C-BE32-E72D297353CC}">
              <c16:uniqueId val="{0000006D-787E-4DF2-8D14-D8E3050DD1A8}"/>
            </c:ext>
          </c:extLst>
        </c:ser>
        <c:ser>
          <c:idx val="11"/>
          <c:order val="11"/>
          <c:tx>
            <c:v>Bubble line 1</c:v>
          </c:tx>
          <c:spPr>
            <a:ln>
              <a:solidFill>
                <a:schemeClr val="accent1"/>
              </a:solidFill>
            </a:ln>
          </c:spPr>
          <c:marker>
            <c:symbol val="none"/>
          </c:marker>
          <c:xVal>
            <c:numRef>
              <c:f>TernaryDiagEos!$AH$8:$AH$307</c:f>
              <c:numCache>
                <c:formatCode>0.000</c:formatCode>
                <c:ptCount val="300"/>
                <c:pt idx="0">
                  <c:v>0.61726343209453804</c:v>
                </c:pt>
                <c:pt idx="1">
                  <c:v>0.61928944199482439</c:v>
                </c:pt>
                <c:pt idx="2">
                  <c:v>0.62077674737105981</c:v>
                </c:pt>
                <c:pt idx="3">
                  <c:v>0.62227974625787852</c:v>
                </c:pt>
                <c:pt idx="4">
                  <c:v>0.62379820341191183</c:v>
                </c:pt>
                <c:pt idx="5">
                  <c:v>0.62533175561680698</c:v>
                </c:pt>
                <c:pt idx="6">
                  <c:v>0.62688005094440769</c:v>
                </c:pt>
                <c:pt idx="7">
                  <c:v>0.62844274718245963</c:v>
                </c:pt>
                <c:pt idx="8">
                  <c:v>0.63001951072785389</c:v>
                </c:pt>
                <c:pt idx="9">
                  <c:v>0.63161001579345188</c:v>
                </c:pt>
                <c:pt idx="10">
                  <c:v>0.63321394381702678</c:v>
                </c:pt>
                <c:pt idx="11">
                  <c:v>0.63483098300405372</c:v>
                </c:pt>
                <c:pt idx="12">
                  <c:v>0.63646082796151293</c:v>
                </c:pt>
                <c:pt idx="13">
                  <c:v>0.63810317939524119</c:v>
                </c:pt>
                <c:pt idx="14">
                  <c:v>0.63975774385310846</c:v>
                </c:pt>
                <c:pt idx="15">
                  <c:v>0.6414242335015613</c:v>
                </c:pt>
                <c:pt idx="16">
                  <c:v>0.64310236592752279</c:v>
                </c:pt>
                <c:pt idx="17">
                  <c:v>0.64479186395940014</c:v>
                </c:pt>
                <c:pt idx="18">
                  <c:v>0.64649245550393553</c:v>
                </c:pt>
                <c:pt idx="19">
                  <c:v>0.64820387339396524</c:v>
                </c:pt>
                <c:pt idx="20">
                  <c:v>0.64992585524723245</c:v>
                </c:pt>
                <c:pt idx="21">
                  <c:v>0.65165814333256011</c:v>
                </c:pt>
                <c:pt idx="22">
                  <c:v>0.65340048444317378</c:v>
                </c:pt>
                <c:pt idx="23">
                  <c:v>0.65515262977560851</c:v>
                </c:pt>
                <c:pt idx="24">
                  <c:v>0.65691433481368877</c:v>
                </c:pt>
                <c:pt idx="25">
                  <c:v>0.65868535921686266</c:v>
                </c:pt>
                <c:pt idx="26">
                  <c:v>0.66046546671235262</c:v>
                </c:pt>
                <c:pt idx="27">
                  <c:v>0.66225442499065035</c:v>
                </c:pt>
                <c:pt idx="28">
                  <c:v>0.66405200560427557</c:v>
                </c:pt>
                <c:pt idx="29">
                  <c:v>0.66585798386922646</c:v>
                </c:pt>
                <c:pt idx="30">
                  <c:v>0.66767213876911669</c:v>
                </c:pt>
                <c:pt idx="31">
                  <c:v>0.66949425286156627</c:v>
                </c:pt>
                <c:pt idx="32">
                  <c:v>0.6713241128717522</c:v>
                </c:pt>
                <c:pt idx="33">
                  <c:v>0.67316150675653841</c:v>
                </c:pt>
                <c:pt idx="34">
                  <c:v>0.67500622812045608</c:v>
                </c:pt>
                <c:pt idx="35">
                  <c:v>0.67685807285795341</c:v>
                </c:pt>
                <c:pt idx="36">
                  <c:v>0.67871684007048794</c:v>
                </c:pt>
                <c:pt idx="37">
                  <c:v>0.68058233191700768</c:v>
                </c:pt>
                <c:pt idx="38">
                  <c:v>0.68245435353438832</c:v>
                </c:pt>
                <c:pt idx="39">
                  <c:v>0.68433271295993559</c:v>
                </c:pt>
                <c:pt idx="40">
                  <c:v>0.68621722105547245</c:v>
                </c:pt>
                <c:pt idx="41">
                  <c:v>0.68810769143342432</c:v>
                </c:pt>
                <c:pt idx="42">
                  <c:v>0.69000394038445179</c:v>
                </c:pt>
                <c:pt idx="43">
                  <c:v>0.69190578680703374</c:v>
                </c:pt>
                <c:pt idx="44">
                  <c:v>0.69381305213860611</c:v>
                </c:pt>
                <c:pt idx="45">
                  <c:v>0.69572556028866028</c:v>
                </c:pt>
                <c:pt idx="46">
                  <c:v>0.69764313757340901</c:v>
                </c:pt>
                <c:pt idx="47">
                  <c:v>0.69956561265234507</c:v>
                </c:pt>
                <c:pt idx="48">
                  <c:v>0.7014928164663955</c:v>
                </c:pt>
                <c:pt idx="49">
                  <c:v>0.70342458217786075</c:v>
                </c:pt>
                <c:pt idx="50">
                  <c:v>0.70536074511210156</c:v>
                </c:pt>
                <c:pt idx="51">
                  <c:v>0.70730114270088007</c:v>
                </c:pt>
                <c:pt idx="52">
                  <c:v>0.70924561442743839</c:v>
                </c:pt>
                <c:pt idx="53">
                  <c:v>0.71119400177301784</c:v>
                </c:pt>
                <c:pt idx="54">
                  <c:v>0.7131461481654584</c:v>
                </c:pt>
                <c:pt idx="55">
                  <c:v>0.71510189892893516</c:v>
                </c:pt>
                <c:pt idx="56">
                  <c:v>0.71706110123555045</c:v>
                </c:pt>
                <c:pt idx="57">
                  <c:v>0.71902360405844279</c:v>
                </c:pt>
                <c:pt idx="58">
                  <c:v>0.72098925812631265</c:v>
                </c:pt>
                <c:pt idx="59">
                  <c:v>0.72295791587957381</c:v>
                </c:pt>
                <c:pt idx="60">
                  <c:v>0.72492943142835276</c:v>
                </c:pt>
                <c:pt idx="61">
                  <c:v>0.72690366050910715</c:v>
                </c:pt>
                <c:pt idx="62">
                  <c:v>0.72888046044858612</c:v>
                </c:pt>
                <c:pt idx="63">
                  <c:v>0.73085969012262197</c:v>
                </c:pt>
                <c:pt idx="64">
                  <c:v>0.73284120991987944</c:v>
                </c:pt>
                <c:pt idx="65">
                  <c:v>0.73482488170575833</c:v>
                </c:pt>
                <c:pt idx="66">
                  <c:v>0.73681056878762363</c:v>
                </c:pt>
                <c:pt idx="67">
                  <c:v>0.73879813588108512</c:v>
                </c:pt>
                <c:pt idx="68">
                  <c:v>0.74078744907734417</c:v>
                </c:pt>
                <c:pt idx="69">
                  <c:v>0.74277837581154726</c:v>
                </c:pt>
                <c:pt idx="70">
                  <c:v>0.74477078483206349</c:v>
                </c:pt>
                <c:pt idx="71">
                  <c:v>0.74676454617072985</c:v>
                </c:pt>
                <c:pt idx="72">
                  <c:v>0.74875953111375204</c:v>
                </c:pt>
                <c:pt idx="73">
                  <c:v>0.75075561217358999</c:v>
                </c:pt>
                <c:pt idx="74">
                  <c:v>0.75275266306143673</c:v>
                </c:pt>
                <c:pt idx="75">
                  <c:v>0.75475055866039087</c:v>
                </c:pt>
                <c:pt idx="76">
                  <c:v>0.75674917499912975</c:v>
                </c:pt>
                <c:pt idx="77">
                  <c:v>0.75874838922634669</c:v>
                </c:pt>
                <c:pt idx="78">
                  <c:v>0.76074807958548107</c:v>
                </c:pt>
                <c:pt idx="79">
                  <c:v>0.76274812538986392</c:v>
                </c:pt>
                <c:pt idx="80">
                  <c:v>0.76474840699835678</c:v>
                </c:pt>
                <c:pt idx="81">
                  <c:v>0.76674880579113824</c:v>
                </c:pt>
                <c:pt idx="82">
                  <c:v>0.76874920414577019</c:v>
                </c:pt>
                <c:pt idx="83">
                  <c:v>0.77074948541352883</c:v>
                </c:pt>
                <c:pt idx="84">
                  <c:v>0.77274953389564449</c:v>
                </c:pt>
                <c:pt idx="85">
                  <c:v>0.77474923481974001</c:v>
                </c:pt>
                <c:pt idx="86">
                  <c:v>0.7767484743161247</c:v>
                </c:pt>
                <c:pt idx="87">
                  <c:v>0.77874713939412243</c:v>
                </c:pt>
                <c:pt idx="88">
                  <c:v>0.78074511791801471</c:v>
                </c:pt>
                <c:pt idx="89">
                  <c:v>0.78274229858298683</c:v>
                </c:pt>
                <c:pt idx="90">
                  <c:v>0.78473857089056731</c:v>
                </c:pt>
                <c:pt idx="91">
                  <c:v>0.78673382512378709</c:v>
                </c:pt>
                <c:pt idx="92">
                  <c:v>0.78872795232182424</c:v>
                </c:pt>
                <c:pt idx="93">
                  <c:v>0.79072084425411071</c:v>
                </c:pt>
                <c:pt idx="94">
                  <c:v>0.79271239339385169</c:v>
                </c:pt>
                <c:pt idx="95">
                  <c:v>0.79470249289080375</c:v>
                </c:pt>
                <c:pt idx="96">
                  <c:v>0.79669103654331375</c:v>
                </c:pt>
                <c:pt idx="97">
                  <c:v>0.79867791876945526</c:v>
                </c:pt>
                <c:pt idx="98">
                  <c:v>0.80066303457722721</c:v>
                </c:pt>
                <c:pt idx="99">
                  <c:v>0.80264627953375611</c:v>
                </c:pt>
                <c:pt idx="100">
                  <c:v>0.80462754973332107</c:v>
                </c:pt>
                <c:pt idx="101">
                  <c:v>0.8066067417642252</c:v>
                </c:pt>
                <c:pt idx="102">
                  <c:v>0.80858375267435079</c:v>
                </c:pt>
                <c:pt idx="103">
                  <c:v>0.81055847993542274</c:v>
                </c:pt>
                <c:pt idx="104">
                  <c:v>0.81253082140573063</c:v>
                </c:pt>
                <c:pt idx="105">
                  <c:v>0.81450067529142267</c:v>
                </c:pt>
                <c:pt idx="106">
                  <c:v>0.81646794010623691</c:v>
                </c:pt>
                <c:pt idx="107">
                  <c:v>0.81843251462958144</c:v>
                </c:pt>
                <c:pt idx="108">
                  <c:v>0.82039429786303042</c:v>
                </c:pt>
                <c:pt idx="109">
                  <c:v>0.82235318898512144</c:v>
                </c:pt>
                <c:pt idx="110">
                  <c:v>0.82430908730467256</c:v>
                </c:pt>
                <c:pt idx="111">
                  <c:v>0.82626189221240076</c:v>
                </c:pt>
                <c:pt idx="112">
                  <c:v>0.8282115031312941</c:v>
                </c:pt>
                <c:pt idx="113">
                  <c:v>0.83015781946557254</c:v>
                </c:pt>
                <c:pt idx="114">
                  <c:v>0.8321007405489601</c:v>
                </c:pt>
                <c:pt idx="115">
                  <c:v>0.83404016559223448</c:v>
                </c:pt>
                <c:pt idx="116">
                  <c:v>0.83597599363092934</c:v>
                </c:pt>
                <c:pt idx="117">
                  <c:v>0.83790812347366939</c:v>
                </c:pt>
                <c:pt idx="118">
                  <c:v>0.83983645365246107</c:v>
                </c:pt>
                <c:pt idx="119">
                  <c:v>0.84176088237590596</c:v>
                </c:pt>
                <c:pt idx="120">
                  <c:v>0.84368130748737657</c:v>
                </c:pt>
                <c:pt idx="121">
                  <c:v>0.84559762644601599</c:v>
                </c:pt>
                <c:pt idx="122">
                  <c:v>0.8475097362387034</c:v>
                </c:pt>
                <c:pt idx="123">
                  <c:v>0.84941753346400473</c:v>
                </c:pt>
                <c:pt idx="124">
                  <c:v>0.85132091427836198</c:v>
                </c:pt>
                <c:pt idx="125">
                  <c:v>0.8532197744448663</c:v>
                </c:pt>
                <c:pt idx="126">
                  <c:v>0.85511400940246529</c:v>
                </c:pt>
                <c:pt idx="127">
                  <c:v>0.85700351438077493</c:v>
                </c:pt>
                <c:pt idx="128">
                  <c:v>0.85888818457677796</c:v>
                </c:pt>
                <c:pt idx="129">
                  <c:v>0.86076791541353403</c:v>
                </c:pt>
                <c:pt idx="130">
                  <c:v>0.86264260290863881</c:v>
                </c:pt>
                <c:pt idx="131">
                  <c:v>0.86451214419036393</c:v>
                </c:pt>
                <c:pt idx="132">
                  <c:v>0.86637643821208177</c:v>
                </c:pt>
                <c:pt idx="133">
                  <c:v>0.86823538673700829</c:v>
                </c:pt>
                <c:pt idx="134">
                  <c:v>0.87008889569251768</c:v>
                </c:pt>
                <c:pt idx="135">
                  <c:v>0.87193687703738509</c:v>
                </c:pt>
                <c:pt idx="136">
                  <c:v>0.87377925134867107</c:v>
                </c:pt>
                <c:pt idx="137">
                  <c:v>0.87561595143665349</c:v>
                </c:pt>
                <c:pt idx="138">
                  <c:v>0.8774469274551211</c:v>
                </c:pt>
                <c:pt idx="139">
                  <c:v>0.87927215423850213</c:v>
                </c:pt>
                <c:pt idx="140">
                  <c:v>0.88109164204540691</c:v>
                </c:pt>
                <c:pt idx="141">
                  <c:v>0.88149766090677339</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TernaryDiagEos!$AI$8:$AI$307</c:f>
              <c:numCache>
                <c:formatCode>0.000</c:formatCode>
                <c:ptCount val="300"/>
                <c:pt idx="0">
                  <c:v>0.66291918152679574</c:v>
                </c:pt>
                <c:pt idx="1">
                  <c:v>0.65551339321802649</c:v>
                </c:pt>
                <c:pt idx="2">
                  <c:v>0.65015949507734927</c:v>
                </c:pt>
                <c:pt idx="3">
                  <c:v>0.6448160181653434</c:v>
                </c:pt>
                <c:pt idx="4">
                  <c:v>0.63948237746809522</c:v>
                </c:pt>
                <c:pt idx="5">
                  <c:v>0.6341585053837121</c:v>
                </c:pt>
                <c:pt idx="6">
                  <c:v>0.62884434003049017</c:v>
                </c:pt>
                <c:pt idx="7">
                  <c:v>0.62353982551124854</c:v>
                </c:pt>
                <c:pt idx="8">
                  <c:v>0.61824491173304985</c:v>
                </c:pt>
                <c:pt idx="9">
                  <c:v>0.61295955398069091</c:v>
                </c:pt>
                <c:pt idx="10">
                  <c:v>0.60768371240389163</c:v>
                </c:pt>
                <c:pt idx="11">
                  <c:v>0.60241735149607656</c:v>
                </c:pt>
                <c:pt idx="12">
                  <c:v>0.59716043960070075</c:v>
                </c:pt>
                <c:pt idx="13">
                  <c:v>0.59191294845969356</c:v>
                </c:pt>
                <c:pt idx="14">
                  <c:v>0.58667485280763831</c:v>
                </c:pt>
                <c:pt idx="15">
                  <c:v>0.58144613001131584</c:v>
                </c:pt>
                <c:pt idx="16">
                  <c:v>0.57622675975091664</c:v>
                </c:pt>
                <c:pt idx="17">
                  <c:v>0.5710167237396172</c:v>
                </c:pt>
                <c:pt idx="18">
                  <c:v>0.56581600547611599</c:v>
                </c:pt>
                <c:pt idx="19">
                  <c:v>0.56062459002915499</c:v>
                </c:pt>
                <c:pt idx="20">
                  <c:v>0.55544246384670604</c:v>
                </c:pt>
                <c:pt idx="21">
                  <c:v>0.55026961459010459</c:v>
                </c:pt>
                <c:pt idx="22">
                  <c:v>0.54510603098840105</c:v>
                </c:pt>
                <c:pt idx="23">
                  <c:v>0.53995170271151871</c:v>
                </c:pt>
                <c:pt idx="24">
                  <c:v>0.53480662025960823</c:v>
                </c:pt>
                <c:pt idx="25">
                  <c:v>0.52967077486692882</c:v>
                </c:pt>
                <c:pt idx="26">
                  <c:v>0.52454415841865742</c:v>
                </c:pt>
                <c:pt idx="27">
                  <c:v>0.5194267633792401</c:v>
                </c:pt>
                <c:pt idx="28">
                  <c:v>0.51431858273069997</c:v>
                </c:pt>
                <c:pt idx="29">
                  <c:v>0.50921960992019066</c:v>
                </c:pt>
                <c:pt idx="30">
                  <c:v>0.50412983881546092</c:v>
                </c:pt>
                <c:pt idx="31">
                  <c:v>0.49904926366767072</c:v>
                </c:pt>
                <c:pt idx="32">
                  <c:v>0.4939778787211454</c:v>
                </c:pt>
                <c:pt idx="33">
                  <c:v>0.48891567979111822</c:v>
                </c:pt>
                <c:pt idx="34">
                  <c:v>0.48386266140196471</c:v>
                </c:pt>
                <c:pt idx="35">
                  <c:v>0.47881881926955494</c:v>
                </c:pt>
                <c:pt idx="36">
                  <c:v>0.47378414919852019</c:v>
                </c:pt>
                <c:pt idx="37">
                  <c:v>0.46875864726224248</c:v>
                </c:pt>
                <c:pt idx="38">
                  <c:v>0.46374230979689979</c:v>
                </c:pt>
                <c:pt idx="39">
                  <c:v>0.45873513339761468</c:v>
                </c:pt>
                <c:pt idx="40">
                  <c:v>0.45373711491695801</c:v>
                </c:pt>
                <c:pt idx="41">
                  <c:v>0.44874825146493558</c:v>
                </c:pt>
                <c:pt idx="42">
                  <c:v>0.44376854041070585</c:v>
                </c:pt>
                <c:pt idx="43">
                  <c:v>0.43879797938523324</c:v>
                </c:pt>
                <c:pt idx="44">
                  <c:v>0.43383656628512846</c:v>
                </c:pt>
                <c:pt idx="45">
                  <c:v>0.42888429927694</c:v>
                </c:pt>
                <c:pt idx="46">
                  <c:v>0.42394117680218785</c:v>
                </c:pt>
                <c:pt idx="47">
                  <c:v>0.41900719758254579</c:v>
                </c:pt>
                <c:pt idx="48">
                  <c:v>0.41408236062537163</c:v>
                </c:pt>
                <c:pt idx="49">
                  <c:v>0.40916666522919004</c:v>
                </c:pt>
                <c:pt idx="50">
                  <c:v>0.404260110989071</c:v>
                </c:pt>
                <c:pt idx="51">
                  <c:v>0.39936269780186823</c:v>
                </c:pt>
                <c:pt idx="52">
                  <c:v>0.39447442587111331</c:v>
                </c:pt>
                <c:pt idx="53">
                  <c:v>0.38959529571178192</c:v>
                </c:pt>
                <c:pt idx="54">
                  <c:v>0.38472530815415823</c:v>
                </c:pt>
                <c:pt idx="55">
                  <c:v>0.37986446434775623</c:v>
                </c:pt>
                <c:pt idx="56">
                  <c:v>0.3750127657643767</c:v>
                </c:pt>
                <c:pt idx="57">
                  <c:v>0.37017021420067592</c:v>
                </c:pt>
                <c:pt idx="58">
                  <c:v>0.36533681178024002</c:v>
                </c:pt>
                <c:pt idx="59">
                  <c:v>0.36051256095489592</c:v>
                </c:pt>
                <c:pt idx="60">
                  <c:v>0.35569746450497186</c:v>
                </c:pt>
                <c:pt idx="61">
                  <c:v>0.35089152554198128</c:v>
                </c:pt>
                <c:pt idx="62">
                  <c:v>0.34609474750387842</c:v>
                </c:pt>
                <c:pt idx="63">
                  <c:v>0.34130713415742797</c:v>
                </c:pt>
                <c:pt idx="64">
                  <c:v>0.3365286895952056</c:v>
                </c:pt>
                <c:pt idx="65">
                  <c:v>0.33175941823353916</c:v>
                </c:pt>
                <c:pt idx="66">
                  <c:v>0.3269993248096203</c:v>
                </c:pt>
                <c:pt idx="67">
                  <c:v>0.32224841437811819</c:v>
                </c:pt>
                <c:pt idx="68">
                  <c:v>0.3175066923072532</c:v>
                </c:pt>
                <c:pt idx="69">
                  <c:v>0.31277416427436255</c:v>
                </c:pt>
                <c:pt idx="70">
                  <c:v>0.30805083626101121</c:v>
                </c:pt>
                <c:pt idx="71">
                  <c:v>0.30333671454759231</c:v>
                </c:pt>
                <c:pt idx="72">
                  <c:v>0.29863180570767672</c:v>
                </c:pt>
                <c:pt idx="73">
                  <c:v>0.29393611660179386</c:v>
                </c:pt>
                <c:pt idx="74">
                  <c:v>0.2892496543709947</c:v>
                </c:pt>
                <c:pt idx="75">
                  <c:v>0.28457242643007769</c:v>
                </c:pt>
                <c:pt idx="76">
                  <c:v>0.27990444046062157</c:v>
                </c:pt>
                <c:pt idx="77">
                  <c:v>0.27524570440361729</c:v>
                </c:pt>
                <c:pt idx="78">
                  <c:v>0.27059622645207282</c:v>
                </c:pt>
                <c:pt idx="79">
                  <c:v>0.26595601504346089</c:v>
                </c:pt>
                <c:pt idx="80">
                  <c:v>0.2613250788519596</c:v>
                </c:pt>
                <c:pt idx="81">
                  <c:v>0.25670342678075359</c:v>
                </c:pt>
                <c:pt idx="82">
                  <c:v>0.25209106795427377</c:v>
                </c:pt>
                <c:pt idx="83">
                  <c:v>0.24748801171039098</c:v>
                </c:pt>
                <c:pt idx="84">
                  <c:v>0.24289426759284316</c:v>
                </c:pt>
                <c:pt idx="85">
                  <c:v>0.23830984534364574</c:v>
                </c:pt>
                <c:pt idx="86">
                  <c:v>0.23373475489577339</c:v>
                </c:pt>
                <c:pt idx="87">
                  <c:v>0.22916900636596088</c:v>
                </c:pt>
                <c:pt idx="88">
                  <c:v>0.22461261004794553</c:v>
                </c:pt>
                <c:pt idx="89">
                  <c:v>0.22006557640586188</c:v>
                </c:pt>
                <c:pt idx="90">
                  <c:v>0.21552791606818172</c:v>
                </c:pt>
                <c:pt idx="91">
                  <c:v>0.21099963982202435</c:v>
                </c:pt>
                <c:pt idx="92">
                  <c:v>0.20648075860804133</c:v>
                </c:pt>
                <c:pt idx="93">
                  <c:v>0.20197128351589011</c:v>
                </c:pt>
                <c:pt idx="94">
                  <c:v>0.19747122578036796</c:v>
                </c:pt>
                <c:pt idx="95">
                  <c:v>0.19298059677832921</c:v>
                </c:pt>
                <c:pt idx="96">
                  <c:v>0.18849940802643483</c:v>
                </c:pt>
                <c:pt idx="97">
                  <c:v>0.18402767117987243</c:v>
                </c:pt>
                <c:pt idx="98">
                  <c:v>0.17956539803213525</c:v>
                </c:pt>
                <c:pt idx="99">
                  <c:v>0.17511260051596061</c:v>
                </c:pt>
                <c:pt idx="100">
                  <c:v>0.17066929070562478</c:v>
                </c:pt>
                <c:pt idx="101">
                  <c:v>0.16623548082067219</c:v>
                </c:pt>
                <c:pt idx="102">
                  <c:v>0.16181118323130619</c:v>
                </c:pt>
                <c:pt idx="103">
                  <c:v>0.15739641046555133</c:v>
                </c:pt>
                <c:pt idx="104">
                  <c:v>0.15299117521851796</c:v>
                </c:pt>
                <c:pt idx="105">
                  <c:v>0.1485954903638827</c:v>
                </c:pt>
                <c:pt idx="106">
                  <c:v>0.14420936896792036</c:v>
                </c:pt>
                <c:pt idx="107">
                  <c:v>0.13983282430639274</c:v>
                </c:pt>
                <c:pt idx="108">
                  <c:v>0.13546586988460799</c:v>
                </c:pt>
                <c:pt idx="109">
                  <c:v>0.13110851946109267</c:v>
                </c:pt>
                <c:pt idx="110">
                  <c:v>0.12676078707523578</c:v>
                </c:pt>
                <c:pt idx="111">
                  <c:v>0.12242268707955281</c:v>
                </c:pt>
                <c:pt idx="112">
                  <c:v>0.11809423417700809</c:v>
                </c:pt>
                <c:pt idx="113">
                  <c:v>0.11377544346421915</c:v>
                </c:pt>
                <c:pt idx="114">
                  <c:v>0.10946633048111253</c:v>
                </c:pt>
                <c:pt idx="115">
                  <c:v>0.10516691126810225</c:v>
                </c:pt>
                <c:pt idx="116">
                  <c:v>0.10087720243163735</c:v>
                </c:pt>
                <c:pt idx="117">
                  <c:v>9.6597221219361207E-2</c:v>
                </c:pt>
                <c:pt idx="118">
                  <c:v>9.2326985606046713E-2</c:v>
                </c:pt>
                <c:pt idx="119">
                  <c:v>8.8066514391883205E-2</c:v>
                </c:pt>
                <c:pt idx="120">
                  <c:v>8.3815827314648789E-2</c:v>
                </c:pt>
                <c:pt idx="121">
                  <c:v>7.9574945172751058E-2</c:v>
                </c:pt>
                <c:pt idx="122">
                  <c:v>7.5343889989984134E-2</c:v>
                </c:pt>
                <c:pt idx="123">
                  <c:v>7.1122685154293347E-2</c:v>
                </c:pt>
                <c:pt idx="124">
                  <c:v>6.6911355620724602E-2</c:v>
                </c:pt>
                <c:pt idx="125">
                  <c:v>6.270992812208051E-2</c:v>
                </c:pt>
                <c:pt idx="126">
                  <c:v>5.8518431406767164E-2</c:v>
                </c:pt>
                <c:pt idx="127">
                  <c:v>5.4336896505766549E-2</c:v>
                </c:pt>
                <c:pt idx="128">
                  <c:v>5.0165357028315254E-2</c:v>
                </c:pt>
                <c:pt idx="129">
                  <c:v>4.6003849485108876E-2</c:v>
                </c:pt>
                <c:pt idx="130">
                  <c:v>4.1852413634516514E-2</c:v>
                </c:pt>
                <c:pt idx="131">
                  <c:v>3.7711092841673996E-2</c:v>
                </c:pt>
                <c:pt idx="132">
                  <c:v>3.3579934431289725E-2</c:v>
                </c:pt>
                <c:pt idx="133">
                  <c:v>2.9458989999423202E-2</c:v>
                </c:pt>
                <c:pt idx="134">
                  <c:v>2.5348315624159765E-2</c:v>
                </c:pt>
                <c:pt idx="135">
                  <c:v>2.1247971872399164E-2</c:v>
                </c:pt>
                <c:pt idx="136">
                  <c:v>1.7158023428270937E-2</c:v>
                </c:pt>
                <c:pt idx="137">
                  <c:v>1.3078538046058966E-2</c:v>
                </c:pt>
                <c:pt idx="138">
                  <c:v>9.0095843176365761E-3</c:v>
                </c:pt>
                <c:pt idx="139">
                  <c:v>4.9512273668171338E-3</c:v>
                </c:pt>
                <c:pt idx="140">
                  <c:v>9.0352089606933223E-4</c:v>
                </c:pt>
                <c:pt idx="141">
                  <c:v>0</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6E-787E-4DF2-8D14-D8E3050DD1A8}"/>
            </c:ext>
          </c:extLst>
        </c:ser>
        <c:ser>
          <c:idx val="12"/>
          <c:order val="12"/>
          <c:tx>
            <c:v>Dew line 1</c:v>
          </c:tx>
          <c:spPr>
            <a:ln>
              <a:solidFill>
                <a:schemeClr val="accent2"/>
              </a:solidFill>
            </a:ln>
          </c:spPr>
          <c:marker>
            <c:symbol val="none"/>
          </c:marker>
          <c:xVal>
            <c:numRef>
              <c:f>TernaryDiagEos!$AJ$8:$AJ$307</c:f>
              <c:numCache>
                <c:formatCode>0.000</c:formatCode>
                <c:ptCount val="300"/>
                <c:pt idx="0">
                  <c:v>0.52726099283959249</c:v>
                </c:pt>
                <c:pt idx="1">
                  <c:v>0.52385565173685933</c:v>
                </c:pt>
                <c:pt idx="2">
                  <c:v>0.52137382148339528</c:v>
                </c:pt>
                <c:pt idx="3">
                  <c:v>0.51888028594682012</c:v>
                </c:pt>
                <c:pt idx="4">
                  <c:v>0.51637499533781928</c:v>
                </c:pt>
                <c:pt idx="5">
                  <c:v>0.51385811282261673</c:v>
                </c:pt>
                <c:pt idx="6">
                  <c:v>0.51132978579312205</c:v>
                </c:pt>
                <c:pt idx="7">
                  <c:v>0.5087901508244177</c:v>
                </c:pt>
                <c:pt idx="8">
                  <c:v>0.50623933672270649</c:v>
                </c:pt>
                <c:pt idx="9">
                  <c:v>0.50367746641829791</c:v>
                </c:pt>
                <c:pt idx="10">
                  <c:v>0.50110465817045924</c:v>
                </c:pt>
                <c:pt idx="11">
                  <c:v>0.49852102635585593</c:v>
                </c:pt>
                <c:pt idx="12">
                  <c:v>0.49592668200072582</c:v>
                </c:pt>
                <c:pt idx="13">
                  <c:v>0.49332173315246503</c:v>
                </c:pt>
                <c:pt idx="14">
                  <c:v>0.49070628514874909</c:v>
                </c:pt>
                <c:pt idx="15">
                  <c:v>0.48808044081984653</c:v>
                </c:pt>
                <c:pt idx="16">
                  <c:v>0.48544430064636623</c:v>
                </c:pt>
                <c:pt idx="17">
                  <c:v>0.48279796288644061</c:v>
                </c:pt>
                <c:pt idx="18">
                  <c:v>0.48014152368158192</c:v>
                </c:pt>
                <c:pt idx="19">
                  <c:v>0.47747507714664578</c:v>
                </c:pt>
                <c:pt idx="20">
                  <c:v>0.47479871544811147</c:v>
                </c:pt>
                <c:pt idx="21">
                  <c:v>0.47211252887328015</c:v>
                </c:pt>
                <c:pt idx="22">
                  <c:v>0.46941660589205703</c:v>
                </c:pt>
                <c:pt idx="23">
                  <c:v>0.46671103321266727</c:v>
                </c:pt>
                <c:pt idx="24">
                  <c:v>0.46399589583222445</c:v>
                </c:pt>
                <c:pt idx="25">
                  <c:v>0.46127127708290161</c:v>
                </c:pt>
                <c:pt idx="26">
                  <c:v>0.45853725867422757</c:v>
                </c:pt>
                <c:pt idx="27">
                  <c:v>0.45579392073192698</c:v>
                </c:pt>
                <c:pt idx="28">
                  <c:v>0.45304134183376055</c:v>
                </c:pt>
                <c:pt idx="29">
                  <c:v>0.45027959904265163</c:v>
                </c:pt>
                <c:pt idx="30">
                  <c:v>0.44750876793738265</c:v>
                </c:pt>
                <c:pt idx="31">
                  <c:v>0.44472892264106589</c:v>
                </c:pt>
                <c:pt idx="32">
                  <c:v>0.44194013580750025</c:v>
                </c:pt>
                <c:pt idx="33">
                  <c:v>0.43914247888166513</c:v>
                </c:pt>
                <c:pt idx="34">
                  <c:v>0.43633602155603324</c:v>
                </c:pt>
                <c:pt idx="35">
                  <c:v>0.43352083248492695</c:v>
                </c:pt>
                <c:pt idx="36">
                  <c:v>0.43069697888017727</c:v>
                </c:pt>
                <c:pt idx="37">
                  <c:v>0.42786452663538749</c:v>
                </c:pt>
                <c:pt idx="38">
                  <c:v>0.4250235403448549</c:v>
                </c:pt>
                <c:pt idx="39">
                  <c:v>0.42217408332179612</c:v>
                </c:pt>
                <c:pt idx="40">
                  <c:v>0.41931621761591981</c:v>
                </c:pt>
                <c:pt idx="41">
                  <c:v>0.41645000403057431</c:v>
                </c:pt>
                <c:pt idx="42">
                  <c:v>0.41357550213944394</c:v>
                </c:pt>
                <c:pt idx="43">
                  <c:v>0.41069277030300577</c:v>
                </c:pt>
                <c:pt idx="44">
                  <c:v>0.40780186568471188</c:v>
                </c:pt>
                <c:pt idx="45">
                  <c:v>0.40490284426711087</c:v>
                </c:pt>
                <c:pt idx="46">
                  <c:v>0.40199576086785893</c:v>
                </c:pt>
                <c:pt idx="47">
                  <c:v>0.39908066915577589</c:v>
                </c:pt>
                <c:pt idx="48">
                  <c:v>0.39615762166690721</c:v>
                </c:pt>
                <c:pt idx="49">
                  <c:v>0.3932266698206951</c:v>
                </c:pt>
                <c:pt idx="50">
                  <c:v>0.3902878639363111</c:v>
                </c:pt>
                <c:pt idx="51">
                  <c:v>0.38734125324914948</c:v>
                </c:pt>
                <c:pt idx="52">
                  <c:v>0.38438688592754056</c:v>
                </c:pt>
                <c:pt idx="53">
                  <c:v>0.38142480908956289</c:v>
                </c:pt>
                <c:pt idx="54">
                  <c:v>0.37845506882030683</c:v>
                </c:pt>
                <c:pt idx="55">
                  <c:v>0.37547771018919063</c:v>
                </c:pt>
                <c:pt idx="56">
                  <c:v>0.37249277726760865</c:v>
                </c:pt>
                <c:pt idx="57">
                  <c:v>0.36950031314685711</c:v>
                </c:pt>
                <c:pt idx="58">
                  <c:v>0.36650035995625996</c:v>
                </c:pt>
                <c:pt idx="59">
                  <c:v>0.36349295888161948</c:v>
                </c:pt>
                <c:pt idx="60">
                  <c:v>0.36047815018447626</c:v>
                </c:pt>
                <c:pt idx="61">
                  <c:v>0.35745597321854727</c:v>
                </c:pt>
                <c:pt idx="62">
                  <c:v>0.35442646645244091</c:v>
                </c:pt>
                <c:pt idx="63">
                  <c:v>0.35138966748683376</c:v>
                </c:pt>
                <c:pt idx="64">
                  <c:v>0.34834561307437917</c:v>
                </c:pt>
                <c:pt idx="65">
                  <c:v>0.34529433913952257</c:v>
                </c:pt>
                <c:pt idx="66">
                  <c:v>0.34223588079842243</c:v>
                </c:pt>
                <c:pt idx="67">
                  <c:v>0.33917027237902198</c:v>
                </c:pt>
                <c:pt idx="68">
                  <c:v>0.33609754744125298</c:v>
                </c:pt>
                <c:pt idx="69">
                  <c:v>0.33301773879736607</c:v>
                </c:pt>
                <c:pt idx="70">
                  <c:v>0.32993087853235203</c:v>
                </c:pt>
                <c:pt idx="71">
                  <c:v>0.32683699802449573</c:v>
                </c:pt>
                <c:pt idx="72">
                  <c:v>0.32373612796589185</c:v>
                </c:pt>
                <c:pt idx="73">
                  <c:v>0.32062829838311635</c:v>
                </c:pt>
                <c:pt idx="74">
                  <c:v>0.31751353865788068</c:v>
                </c:pt>
                <c:pt idx="75">
                  <c:v>0.31439187754769782</c:v>
                </c:pt>
                <c:pt idx="76">
                  <c:v>0.31126334320649007</c:v>
                </c:pt>
                <c:pt idx="77">
                  <c:v>0.30812796320530228</c:v>
                </c:pt>
                <c:pt idx="78">
                  <c:v>0.30498576455288706</c:v>
                </c:pt>
                <c:pt idx="79">
                  <c:v>0.30183677371621109</c:v>
                </c:pt>
                <c:pt idx="80">
                  <c:v>0.29868101664098917</c:v>
                </c:pt>
                <c:pt idx="81">
                  <c:v>0.29551851877204793</c:v>
                </c:pt>
                <c:pt idx="82">
                  <c:v>0.29234930507362106</c:v>
                </c:pt>
                <c:pt idx="83">
                  <c:v>0.2891734000496074</c:v>
                </c:pt>
                <c:pt idx="84">
                  <c:v>0.28599082776359286</c:v>
                </c:pt>
                <c:pt idx="85">
                  <c:v>0.28280161185884378</c:v>
                </c:pt>
                <c:pt idx="86">
                  <c:v>0.27960577557810307</c:v>
                </c:pt>
                <c:pt idx="87">
                  <c:v>0.27640334178332959</c:v>
                </c:pt>
                <c:pt idx="88">
                  <c:v>0.27319433297515316</c:v>
                </c:pt>
                <c:pt idx="89">
                  <c:v>0.26997877131233339</c:v>
                </c:pt>
                <c:pt idx="90">
                  <c:v>0.26675667863094149</c:v>
                </c:pt>
                <c:pt idx="91">
                  <c:v>0.26352807646346105</c:v>
                </c:pt>
                <c:pt idx="92">
                  <c:v>0.26029298605768403</c:v>
                </c:pt>
                <c:pt idx="93">
                  <c:v>0.25705142839546102</c:v>
                </c:pt>
                <c:pt idx="94">
                  <c:v>0.25380342421131491</c:v>
                </c:pt>
                <c:pt idx="95">
                  <c:v>0.25054899401087827</c:v>
                </c:pt>
                <c:pt idx="96">
                  <c:v>0.24728815808920185</c:v>
                </c:pt>
                <c:pt idx="97">
                  <c:v>0.24402093654891271</c:v>
                </c:pt>
                <c:pt idx="98">
                  <c:v>0.24074734931822861</c:v>
                </c:pt>
                <c:pt idx="99">
                  <c:v>0.23746741616889039</c:v>
                </c:pt>
                <c:pt idx="100">
                  <c:v>0.23418115673393264</c:v>
                </c:pt>
                <c:pt idx="101">
                  <c:v>0.23088859052538968</c:v>
                </c:pt>
                <c:pt idx="102">
                  <c:v>0.22758973695188861</c:v>
                </c:pt>
                <c:pt idx="103">
                  <c:v>0.22428461533623581</c:v>
                </c:pt>
                <c:pt idx="104">
                  <c:v>0.22097324493285569</c:v>
                </c:pt>
                <c:pt idx="105">
                  <c:v>0.21765564494526618</c:v>
                </c:pt>
                <c:pt idx="106">
                  <c:v>0.21433183454352145</c:v>
                </c:pt>
                <c:pt idx="107">
                  <c:v>0.21100183288162794</c:v>
                </c:pt>
                <c:pt idx="108">
                  <c:v>0.20766565911500878</c:v>
                </c:pt>
                <c:pt idx="109">
                  <c:v>0.20432333241795392</c:v>
                </c:pt>
                <c:pt idx="110">
                  <c:v>0.20097487200119735</c:v>
                </c:pt>
                <c:pt idx="111">
                  <c:v>0.19762029712942797</c:v>
                </c:pt>
                <c:pt idx="112">
                  <c:v>0.19425962713895956</c:v>
                </c:pt>
                <c:pt idx="113">
                  <c:v>0.19089288145528593</c:v>
                </c:pt>
                <c:pt idx="114">
                  <c:v>0.18752007961081665</c:v>
                </c:pt>
                <c:pt idx="115">
                  <c:v>0.18414124126239179</c:v>
                </c:pt>
                <c:pt idx="116">
                  <c:v>0.18075638620875464</c:v>
                </c:pt>
                <c:pt idx="117">
                  <c:v>0.17736553440762043</c:v>
                </c:pt>
                <c:pt idx="118">
                  <c:v>0.17396870599237363</c:v>
                </c:pt>
                <c:pt idx="119">
                  <c:v>0.17056592128783005</c:v>
                </c:pt>
                <c:pt idx="120">
                  <c:v>0.16715720082483732</c:v>
                </c:pt>
                <c:pt idx="121">
                  <c:v>0.1637425653640949</c:v>
                </c:pt>
                <c:pt idx="122">
                  <c:v>0.16032203586004204</c:v>
                </c:pt>
                <c:pt idx="123">
                  <c:v>0.15689563353776631</c:v>
                </c:pt>
                <c:pt idx="124">
                  <c:v>0.15346337984222888</c:v>
                </c:pt>
                <c:pt idx="125">
                  <c:v>0.1500252964435182</c:v>
                </c:pt>
                <c:pt idx="126">
                  <c:v>0.14658140521400645</c:v>
                </c:pt>
                <c:pt idx="127">
                  <c:v>0.14313172818742145</c:v>
                </c:pt>
                <c:pt idx="128">
                  <c:v>0.13967628749076577</c:v>
                </c:pt>
                <c:pt idx="129">
                  <c:v>0.13621510523596125</c:v>
                </c:pt>
                <c:pt idx="130">
                  <c:v>0.13274820335203943</c:v>
                </c:pt>
                <c:pt idx="131">
                  <c:v>0.1292756033290044</c:v>
                </c:pt>
                <c:pt idx="132">
                  <c:v>0.12579732582794884</c:v>
                </c:pt>
                <c:pt idx="133">
                  <c:v>0.12231339008824078</c:v>
                </c:pt>
                <c:pt idx="134">
                  <c:v>0.11882381302074368</c:v>
                </c:pt>
                <c:pt idx="135">
                  <c:v>0.11532860781016892</c:v>
                </c:pt>
                <c:pt idx="136">
                  <c:v>0.11182778173563444</c:v>
                </c:pt>
                <c:pt idx="137">
                  <c:v>0.10832133272522389</c:v>
                </c:pt>
                <c:pt idx="138">
                  <c:v>0.10480924381679917</c:v>
                </c:pt>
                <c:pt idx="139">
                  <c:v>0.10129147407794575</c:v>
                </c:pt>
                <c:pt idx="140">
                  <c:v>9.7767943381526112E-2</c:v>
                </c:pt>
                <c:pt idx="141">
                  <c:v>9.6979355675667109E-2</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TernaryDiagEos!$AK$8:$AK$307</c:f>
              <c:numCache>
                <c:formatCode>0.000</c:formatCode>
                <c:ptCount val="300"/>
                <c:pt idx="0">
                  <c:v>0.81880797912149317</c:v>
                </c:pt>
                <c:pt idx="1">
                  <c:v>0.8116305734999455</c:v>
                </c:pt>
                <c:pt idx="2">
                  <c:v>0.8064183507408188</c:v>
                </c:pt>
                <c:pt idx="3">
                  <c:v>0.80119674945689967</c:v>
                </c:pt>
                <c:pt idx="4">
                  <c:v>0.7959653595905819</c:v>
                </c:pt>
                <c:pt idx="5">
                  <c:v>0.79072425534075907</c:v>
                </c:pt>
                <c:pt idx="6">
                  <c:v>0.78547350032844754</c:v>
                </c:pt>
                <c:pt idx="7">
                  <c:v>0.78021315000798463</c:v>
                </c:pt>
                <c:pt idx="8">
                  <c:v>0.77494325337750025</c:v>
                </c:pt>
                <c:pt idx="9">
                  <c:v>0.76966385418955663</c:v>
                </c:pt>
                <c:pt idx="10">
                  <c:v>0.76437499184604363</c:v>
                </c:pt>
                <c:pt idx="11">
                  <c:v>0.75907670208576417</c:v>
                </c:pt>
                <c:pt idx="12">
                  <c:v>0.75376901753008629</c:v>
                </c:pt>
                <c:pt idx="13">
                  <c:v>0.74845196812719816</c:v>
                </c:pt>
                <c:pt idx="14">
                  <c:v>0.74312558152096997</c:v>
                </c:pt>
                <c:pt idx="15">
                  <c:v>0.7377898833620129</c:v>
                </c:pt>
                <c:pt idx="16">
                  <c:v>0.73244489757269493</c:v>
                </c:pt>
                <c:pt idx="17">
                  <c:v>0.72709064657487854</c:v>
                </c:pt>
                <c:pt idx="18">
                  <c:v>0.7217271514865039</c:v>
                </c:pt>
                <c:pt idx="19">
                  <c:v>0.71635443229237006</c:v>
                </c:pt>
                <c:pt idx="20">
                  <c:v>0.71097250799189515</c:v>
                </c:pt>
                <c:pt idx="21">
                  <c:v>0.70558139672813913</c:v>
                </c:pt>
                <c:pt idx="22">
                  <c:v>0.70018111589966092</c:v>
                </c:pt>
                <c:pt idx="23">
                  <c:v>0.69477168225774677</c:v>
                </c:pt>
                <c:pt idx="24">
                  <c:v>0.68935311199056293</c:v>
                </c:pt>
                <c:pt idx="25">
                  <c:v>0.68392542079586405</c:v>
                </c:pt>
                <c:pt idx="26">
                  <c:v>0.67848862394354337</c:v>
                </c:pt>
                <c:pt idx="27">
                  <c:v>0.67304273632913181</c:v>
                </c:pt>
                <c:pt idx="28">
                  <c:v>0.66758777251927304</c:v>
                </c:pt>
                <c:pt idx="29">
                  <c:v>0.6621237467901353</c:v>
                </c:pt>
                <c:pt idx="30">
                  <c:v>0.65665067315947778</c:v>
                </c:pt>
                <c:pt idx="31">
                  <c:v>0.65116856541312196</c:v>
                </c:pt>
                <c:pt idx="32">
                  <c:v>0.6456774369696221</c:v>
                </c:pt>
                <c:pt idx="33">
                  <c:v>0.64017730168033404</c:v>
                </c:pt>
                <c:pt idx="34">
                  <c:v>0.63466817223460958</c:v>
                </c:pt>
                <c:pt idx="35">
                  <c:v>0.62915006186961031</c:v>
                </c:pt>
                <c:pt idx="36">
                  <c:v>0.62362298345418965</c:v>
                </c:pt>
                <c:pt idx="37">
                  <c:v>0.61808694969875788</c:v>
                </c:pt>
                <c:pt idx="38">
                  <c:v>0.61254197315769676</c:v>
                </c:pt>
                <c:pt idx="39">
                  <c:v>0.60698806622986035</c:v>
                </c:pt>
                <c:pt idx="40">
                  <c:v>0.60142524115759233</c:v>
                </c:pt>
                <c:pt idx="41">
                  <c:v>0.59585351002446862</c:v>
                </c:pt>
                <c:pt idx="42">
                  <c:v>0.59027288475206785</c:v>
                </c:pt>
                <c:pt idx="43">
                  <c:v>0.58468337709592921</c:v>
                </c:pt>
                <c:pt idx="44">
                  <c:v>0.57908499864095275</c:v>
                </c:pt>
                <c:pt idx="45">
                  <c:v>0.57347776079639101</c:v>
                </c:pt>
                <c:pt idx="46">
                  <c:v>0.56786167479063698</c:v>
                </c:pt>
                <c:pt idx="47">
                  <c:v>0.56223675166590936</c:v>
                </c:pt>
                <c:pt idx="48">
                  <c:v>0.5566030022729952</c:v>
                </c:pt>
                <c:pt idx="49">
                  <c:v>0.55096043726612387</c:v>
                </c:pt>
                <c:pt idx="50">
                  <c:v>0.54530906709812477</c:v>
                </c:pt>
                <c:pt idx="51">
                  <c:v>0.53964890201592453</c:v>
                </c:pt>
                <c:pt idx="52">
                  <c:v>0.53397995205646664</c:v>
                </c:pt>
                <c:pt idx="53">
                  <c:v>0.52830222704304719</c:v>
                </c:pt>
                <c:pt idx="54">
                  <c:v>0.52261573658225158</c:v>
                </c:pt>
                <c:pt idx="55">
                  <c:v>0.51692049006143204</c:v>
                </c:pt>
                <c:pt idx="56">
                  <c:v>0.5112164966467343</c:v>
                </c:pt>
                <c:pt idx="57">
                  <c:v>0.5055037652818053</c:v>
                </c:pt>
                <c:pt idx="58">
                  <c:v>0.49978230468709184</c:v>
                </c:pt>
                <c:pt idx="59">
                  <c:v>0.49405212335980775</c:v>
                </c:pt>
                <c:pt idx="60">
                  <c:v>0.48831322957469275</c:v>
                </c:pt>
                <c:pt idx="61">
                  <c:v>0.48256563138474151</c:v>
                </c:pt>
                <c:pt idx="62">
                  <c:v>0.4768093366234451</c:v>
                </c:pt>
                <c:pt idx="63">
                  <c:v>0.47104435290758984</c:v>
                </c:pt>
                <c:pt idx="64">
                  <c:v>0.46527068763984913</c:v>
                </c:pt>
                <c:pt idx="65">
                  <c:v>0.45948834801263921</c:v>
                </c:pt>
                <c:pt idx="66">
                  <c:v>0.45369734101236348</c:v>
                </c:pt>
                <c:pt idx="67">
                  <c:v>0.44789767342419673</c:v>
                </c:pt>
                <c:pt idx="68">
                  <c:v>0.44208935183737147</c:v>
                </c:pt>
                <c:pt idx="69">
                  <c:v>0.43627238265095081</c:v>
                </c:pt>
                <c:pt idx="70">
                  <c:v>0.43044677208004467</c:v>
                </c:pt>
                <c:pt idx="71">
                  <c:v>0.42461252616246942</c:v>
                </c:pt>
                <c:pt idx="72">
                  <c:v>0.41876965076573952</c:v>
                </c:pt>
                <c:pt idx="73">
                  <c:v>0.41291815159445477</c:v>
                </c:pt>
                <c:pt idx="74">
                  <c:v>0.40705803419799308</c:v>
                </c:pt>
                <c:pt idx="75">
                  <c:v>0.40118930397847002</c:v>
                </c:pt>
                <c:pt idx="76">
                  <c:v>0.39531196619891501</c:v>
                </c:pt>
                <c:pt idx="77">
                  <c:v>0.38942602599171022</c:v>
                </c:pt>
                <c:pt idx="78">
                  <c:v>0.3835314883671655</c:v>
                </c:pt>
                <c:pt idx="79">
                  <c:v>0.37762835822219276</c:v>
                </c:pt>
                <c:pt idx="80">
                  <c:v>0.37171664034911517</c:v>
                </c:pt>
                <c:pt idx="81">
                  <c:v>0.3657963394444938</c:v>
                </c:pt>
                <c:pt idx="82">
                  <c:v>0.35986746011795739</c:v>
                </c:pt>
                <c:pt idx="83">
                  <c:v>0.35393000690104953</c:v>
                </c:pt>
                <c:pt idx="84">
                  <c:v>0.34798398425593507</c:v>
                </c:pt>
                <c:pt idx="85">
                  <c:v>0.34202939658403519</c:v>
                </c:pt>
                <c:pt idx="86">
                  <c:v>0.33606624823447351</c:v>
                </c:pt>
                <c:pt idx="87">
                  <c:v>0.33009454351236001</c:v>
                </c:pt>
                <c:pt idx="88">
                  <c:v>0.32411428668675268</c:v>
                </c:pt>
                <c:pt idx="89">
                  <c:v>0.31812548199838864</c:v>
                </c:pt>
                <c:pt idx="90">
                  <c:v>0.31212813366701336</c:v>
                </c:pt>
                <c:pt idx="91">
                  <c:v>0.30612224589832659</c:v>
                </c:pt>
                <c:pt idx="92">
                  <c:v>0.30010782289044891</c:v>
                </c:pt>
                <c:pt idx="93">
                  <c:v>0.29408486883986101</c:v>
                </c:pt>
                <c:pt idx="94">
                  <c:v>0.28805338794675606</c:v>
                </c:pt>
                <c:pt idx="95">
                  <c:v>0.28201338441971563</c:v>
                </c:pt>
                <c:pt idx="96">
                  <c:v>0.27596486247964391</c:v>
                </c:pt>
                <c:pt idx="97">
                  <c:v>0.26990782636285909</c:v>
                </c:pt>
                <c:pt idx="98">
                  <c:v>0.26384228032325185</c:v>
                </c:pt>
                <c:pt idx="99">
                  <c:v>0.25776822863341664</c:v>
                </c:pt>
                <c:pt idx="100">
                  <c:v>0.25168567558460042</c:v>
                </c:pt>
                <c:pt idx="101">
                  <c:v>0.24559462548537314</c:v>
                </c:pt>
                <c:pt idx="102">
                  <c:v>0.23949508265883163</c:v>
                </c:pt>
                <c:pt idx="103">
                  <c:v>0.23338705143821259</c:v>
                </c:pt>
                <c:pt idx="104">
                  <c:v>0.22727053616064563</c:v>
                </c:pt>
                <c:pt idx="105">
                  <c:v>0.2211455411588972</c:v>
                </c:pt>
                <c:pt idx="106">
                  <c:v>0.21501207075080941</c:v>
                </c:pt>
                <c:pt idx="107">
                  <c:v>0.20887012922614534</c:v>
                </c:pt>
                <c:pt idx="108">
                  <c:v>0.20271972083052325</c:v>
                </c:pt>
                <c:pt idx="109">
                  <c:v>0.19656084974602567</c:v>
                </c:pt>
                <c:pt idx="110">
                  <c:v>0.19039352006810167</c:v>
                </c:pt>
                <c:pt idx="111">
                  <c:v>0.18421773577816217</c:v>
                </c:pt>
                <c:pt idx="112">
                  <c:v>0.17803350071138227</c:v>
                </c:pt>
                <c:pt idx="113">
                  <c:v>0.17184081851892768</c:v>
                </c:pt>
                <c:pt idx="114">
                  <c:v>0.16563969262396477</c:v>
                </c:pt>
                <c:pt idx="115">
                  <c:v>0.1594301261704037</c:v>
                </c:pt>
                <c:pt idx="116">
                  <c:v>0.15321212196346315</c:v>
                </c:pt>
                <c:pt idx="117">
                  <c:v>0.14698568240077309</c:v>
                </c:pt>
                <c:pt idx="118">
                  <c:v>0.14075080939275059</c:v>
                </c:pt>
                <c:pt idx="119">
                  <c:v>0.13450750427057945</c:v>
                </c:pt>
                <c:pt idx="120">
                  <c:v>0.12825576768011482</c:v>
                </c:pt>
                <c:pt idx="121">
                  <c:v>0.12199559946285628</c:v>
                </c:pt>
                <c:pt idx="122">
                  <c:v>0.11572699850082582</c:v>
                </c:pt>
                <c:pt idx="123">
                  <c:v>0.10944996258068143</c:v>
                </c:pt>
                <c:pt idx="124">
                  <c:v>0.1031644881869198</c:v>
                </c:pt>
                <c:pt idx="125">
                  <c:v>9.6870570299600292E-2</c:v>
                </c:pt>
                <c:pt idx="126">
                  <c:v>9.0568202152783869E-2</c:v>
                </c:pt>
                <c:pt idx="127">
                  <c:v>8.4257374962953283E-2</c:v>
                </c:pt>
                <c:pt idx="128">
                  <c:v>7.7938077624628538E-2</c:v>
                </c:pt>
                <c:pt idx="129">
                  <c:v>7.1610296373223872E-2</c:v>
                </c:pt>
                <c:pt idx="130">
                  <c:v>6.5274014418465545E-2</c:v>
                </c:pt>
                <c:pt idx="131">
                  <c:v>5.8929211557078247E-2</c:v>
                </c:pt>
                <c:pt idx="132">
                  <c:v>5.2575863782461423E-2</c:v>
                </c:pt>
                <c:pt idx="133">
                  <c:v>4.621394292503328E-2</c:v>
                </c:pt>
                <c:pt idx="134">
                  <c:v>3.9843416382763383E-2</c:v>
                </c:pt>
                <c:pt idx="135">
                  <c:v>3.3464247046124829E-2</c:v>
                </c:pt>
                <c:pt idx="136">
                  <c:v>2.7076393596773534E-2</c:v>
                </c:pt>
                <c:pt idx="137">
                  <c:v>2.06798114893561E-2</c:v>
                </c:pt>
                <c:pt idx="138">
                  <c:v>1.4274455152439724E-2</c:v>
                </c:pt>
                <c:pt idx="139">
                  <c:v>7.8602823494043489E-3</c:v>
                </c:pt>
                <c:pt idx="140">
                  <c:v>1.4372623791206781E-3</c:v>
                </c:pt>
                <c:pt idx="141">
                  <c:v>0</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6F-787E-4DF2-8D14-D8E3050DD1A8}"/>
            </c:ext>
          </c:extLst>
        </c:ser>
        <c:ser>
          <c:idx val="13"/>
          <c:order val="13"/>
          <c:tx>
            <c:v>Bubble line 2</c:v>
          </c:tx>
          <c:spPr>
            <a:ln>
              <a:solidFill>
                <a:schemeClr val="accent1"/>
              </a:solidFill>
            </a:ln>
          </c:spPr>
          <c:marker>
            <c:symbol val="none"/>
          </c:marker>
          <c:xVal>
            <c:numRef>
              <c:f>TernaryDiagEos!$AL$8:$AL$307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TernaryDiagEos!$AM$8:$AM$307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70-787E-4DF2-8D14-D8E3050DD1A8}"/>
            </c:ext>
          </c:extLst>
        </c:ser>
        <c:ser>
          <c:idx val="14"/>
          <c:order val="14"/>
          <c:tx>
            <c:v>Dew line 2</c:v>
          </c:tx>
          <c:spPr>
            <a:ln>
              <a:solidFill>
                <a:schemeClr val="accent2"/>
              </a:solidFill>
            </a:ln>
          </c:spPr>
          <c:marker>
            <c:symbol val="none"/>
          </c:marker>
          <c:xVal>
            <c:numRef>
              <c:f>TernaryDiagEos!$AN$8:$AN$307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TernaryDiagEos!$AO$8:$AO$307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71-787E-4DF2-8D14-D8E3050DD1A8}"/>
            </c:ext>
          </c:extLst>
        </c:ser>
        <c:ser>
          <c:idx val="15"/>
          <c:order val="15"/>
          <c:tx>
            <c:v>Bubble line 3</c:v>
          </c:tx>
          <c:spPr>
            <a:ln>
              <a:solidFill>
                <a:schemeClr val="accent1"/>
              </a:solidFill>
            </a:ln>
          </c:spPr>
          <c:marker>
            <c:symbol val="none"/>
          </c:marker>
          <c:xVal>
            <c:numRef>
              <c:f>TernaryDiagEos!$AP$8:$AP$307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TernaryDiagEos!$AQ$8:$AQ$307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72-787E-4DF2-8D14-D8E3050DD1A8}"/>
            </c:ext>
          </c:extLst>
        </c:ser>
        <c:ser>
          <c:idx val="16"/>
          <c:order val="16"/>
          <c:tx>
            <c:v>Dew line 3</c:v>
          </c:tx>
          <c:spPr>
            <a:ln>
              <a:solidFill>
                <a:schemeClr val="accent2"/>
              </a:solidFill>
            </a:ln>
          </c:spPr>
          <c:marker>
            <c:symbol val="none"/>
          </c:marker>
          <c:xVal>
            <c:numRef>
              <c:f>TernaryDiagEos!$AR$8:$AR$307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xVal>
          <c:yVal>
            <c:numRef>
              <c:f>TernaryDiagEos!$AS$8:$AS$307</c:f>
              <c:numCache>
                <c:formatCode>0.000</c:formatCode>
                <c:ptCount val="3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numCache>
            </c:numRef>
          </c:yVal>
          <c:smooth val="0"/>
          <c:extLst>
            <c:ext xmlns:c16="http://schemas.microsoft.com/office/drawing/2014/chart" uri="{C3380CC4-5D6E-409C-BE32-E72D297353CC}">
              <c16:uniqueId val="{00000073-787E-4DF2-8D14-D8E3050DD1A8}"/>
            </c:ext>
          </c:extLst>
        </c:ser>
        <c:ser>
          <c:idx val="17"/>
          <c:order val="17"/>
          <c:tx>
            <c:strRef>
              <c:f>TernaryDiagEos!$A$42</c:f>
              <c:strCache>
                <c:ptCount val="1"/>
                <c:pt idx="0">
                  <c:v>Measurement points</c:v>
                </c:pt>
              </c:strCache>
            </c:strRef>
          </c:tx>
          <c:spPr>
            <a:ln w="19050">
              <a:noFill/>
            </a:ln>
          </c:spPr>
          <c:marker>
            <c:symbol val="circle"/>
            <c:size val="5"/>
            <c:spPr>
              <a:solidFill>
                <a:schemeClr val="accent6"/>
              </a:solidFill>
              <a:ln>
                <a:solidFill>
                  <a:schemeClr val="accent6"/>
                </a:solidFill>
              </a:ln>
            </c:spPr>
          </c:marker>
          <c:xVal>
            <c:numRef>
              <c:f>TernaryDiagEos!$E$45:$E$49</c:f>
              <c:numCache>
                <c:formatCode>0.000</c:formatCode>
                <c:ptCount val="5"/>
                <c:pt idx="0">
                  <c:v>0.96232432499999998</c:v>
                </c:pt>
                <c:pt idx="1">
                  <c:v>#N/A</c:v>
                </c:pt>
                <c:pt idx="2">
                  <c:v>#N/A</c:v>
                </c:pt>
                <c:pt idx="3">
                  <c:v>#N/A</c:v>
                </c:pt>
                <c:pt idx="4">
                  <c:v>#N/A</c:v>
                </c:pt>
              </c:numCache>
            </c:numRef>
          </c:xVal>
          <c:yVal>
            <c:numRef>
              <c:f>TernaryDiagEos!$F$45:$F$49</c:f>
              <c:numCache>
                <c:formatCode>0.000</c:formatCode>
                <c:ptCount val="5"/>
                <c:pt idx="0">
                  <c:v>6.5256183309452556E-2</c:v>
                </c:pt>
                <c:pt idx="1">
                  <c:v>#N/A</c:v>
                </c:pt>
                <c:pt idx="2">
                  <c:v>#N/A</c:v>
                </c:pt>
                <c:pt idx="3">
                  <c:v>#N/A</c:v>
                </c:pt>
                <c:pt idx="4">
                  <c:v>#N/A</c:v>
                </c:pt>
              </c:numCache>
            </c:numRef>
          </c:yVal>
          <c:smooth val="0"/>
          <c:extLst>
            <c:ext xmlns:c16="http://schemas.microsoft.com/office/drawing/2014/chart" uri="{C3380CC4-5D6E-409C-BE32-E72D297353CC}">
              <c16:uniqueId val="{00000074-787E-4DF2-8D14-D8E3050DD1A8}"/>
            </c:ext>
          </c:extLst>
        </c:ser>
        <c:dLbls>
          <c:showLegendKey val="0"/>
          <c:showVal val="0"/>
          <c:showCatName val="0"/>
          <c:showSerName val="0"/>
          <c:showPercent val="0"/>
          <c:showBubbleSize val="0"/>
        </c:dLbls>
        <c:axId val="445437440"/>
        <c:axId val="445439360"/>
      </c:scatterChart>
      <c:valAx>
        <c:axId val="445437440"/>
        <c:scaling>
          <c:orientation val="minMax"/>
          <c:max val="1.1000000000000001"/>
          <c:min val="-0.1"/>
        </c:scaling>
        <c:delete val="1"/>
        <c:axPos val="b"/>
        <c:numFmt formatCode="0.00" sourceLinked="1"/>
        <c:majorTickMark val="out"/>
        <c:minorTickMark val="none"/>
        <c:tickLblPos val="nextTo"/>
        <c:crossAx val="445439360"/>
        <c:crosses val="autoZero"/>
        <c:crossBetween val="midCat"/>
      </c:valAx>
      <c:valAx>
        <c:axId val="445439360"/>
        <c:scaling>
          <c:orientation val="minMax"/>
          <c:max val="1"/>
          <c:min val="-0.2"/>
        </c:scaling>
        <c:delete val="1"/>
        <c:axPos val="l"/>
        <c:numFmt formatCode="0.00" sourceLinked="1"/>
        <c:majorTickMark val="out"/>
        <c:minorTickMark val="none"/>
        <c:tickLblPos val="nextTo"/>
        <c:crossAx val="445437440"/>
        <c:crosses val="autoZero"/>
        <c:crossBetween val="midCat"/>
      </c:valAx>
      <c:spPr>
        <a:ln>
          <a:solidFill>
            <a:schemeClr val="bg1">
              <a:lumMod val="75000"/>
            </a:schemeClr>
          </a:solidFill>
        </a:ln>
      </c:spPr>
    </c:plotArea>
    <c:legend>
      <c:legendPos val="r"/>
      <c:overlay val="0"/>
    </c:legend>
    <c:plotVisOnly val="1"/>
    <c:dispBlanksAs val="gap"/>
    <c:showDLblsOverMax val="0"/>
  </c:chart>
  <c:spPr>
    <a:ln>
      <a:solidFill>
        <a:sysClr val="windowText" lastClr="000000"/>
      </a:solidFill>
    </a:ln>
  </c:sp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1"/>
          <c:order val="0"/>
          <c:tx>
            <c:strRef>
              <c:f>HelpTernaryPlot!$G$2</c:f>
              <c:strCache>
                <c:ptCount val="1"/>
                <c:pt idx="0">
                  <c:v>Grid</c:v>
                </c:pt>
              </c:strCache>
            </c:strRef>
          </c:tx>
          <c:spPr>
            <a:ln w="12700">
              <a:solidFill>
                <a:schemeClr val="bg1">
                  <a:lumMod val="75000"/>
                </a:schemeClr>
              </a:solidFill>
            </a:ln>
          </c:spPr>
          <c:marker>
            <c:symbol val="none"/>
          </c:marker>
          <c:xVal>
            <c:numRef>
              <c:f>HelpTernaryPlot!$J$9:$J$52</c:f>
              <c:numCache>
                <c:formatCode>0.00</c:formatCode>
                <c:ptCount val="44"/>
                <c:pt idx="0">
                  <c:v>0.1</c:v>
                </c:pt>
                <c:pt idx="1">
                  <c:v>0.55000000000000004</c:v>
                </c:pt>
                <c:pt idx="2">
                  <c:v>0.45</c:v>
                </c:pt>
                <c:pt idx="3">
                  <c:v>0.9</c:v>
                </c:pt>
                <c:pt idx="4">
                  <c:v>0.95000000000000007</c:v>
                </c:pt>
                <c:pt idx="5">
                  <c:v>0.95000000000000007</c:v>
                </c:pt>
                <c:pt idx="6">
                  <c:v>0.05</c:v>
                </c:pt>
                <c:pt idx="7">
                  <c:v>0.1</c:v>
                </c:pt>
                <c:pt idx="9">
                  <c:v>0.2</c:v>
                </c:pt>
                <c:pt idx="10">
                  <c:v>0.60000000000000009</c:v>
                </c:pt>
                <c:pt idx="11">
                  <c:v>0.4</c:v>
                </c:pt>
                <c:pt idx="12">
                  <c:v>0.8</c:v>
                </c:pt>
                <c:pt idx="13">
                  <c:v>0.9</c:v>
                </c:pt>
                <c:pt idx="14">
                  <c:v>0.9</c:v>
                </c:pt>
                <c:pt idx="15">
                  <c:v>0.1</c:v>
                </c:pt>
                <c:pt idx="16">
                  <c:v>0.2</c:v>
                </c:pt>
                <c:pt idx="18">
                  <c:v>0.30000000000000004</c:v>
                </c:pt>
                <c:pt idx="19">
                  <c:v>0.65</c:v>
                </c:pt>
                <c:pt idx="20">
                  <c:v>0.35</c:v>
                </c:pt>
                <c:pt idx="21">
                  <c:v>0.7</c:v>
                </c:pt>
                <c:pt idx="22">
                  <c:v>0.85</c:v>
                </c:pt>
                <c:pt idx="23">
                  <c:v>0.85</c:v>
                </c:pt>
                <c:pt idx="24">
                  <c:v>0.15000000000000002</c:v>
                </c:pt>
                <c:pt idx="25">
                  <c:v>0.30000000000000004</c:v>
                </c:pt>
                <c:pt idx="27">
                  <c:v>0.4</c:v>
                </c:pt>
                <c:pt idx="28">
                  <c:v>0.7</c:v>
                </c:pt>
                <c:pt idx="29">
                  <c:v>0.3</c:v>
                </c:pt>
                <c:pt idx="30">
                  <c:v>0.6</c:v>
                </c:pt>
                <c:pt idx="31">
                  <c:v>0.8</c:v>
                </c:pt>
                <c:pt idx="32">
                  <c:v>0.8</c:v>
                </c:pt>
                <c:pt idx="33">
                  <c:v>0.2</c:v>
                </c:pt>
                <c:pt idx="34">
                  <c:v>0.4</c:v>
                </c:pt>
                <c:pt idx="36">
                  <c:v>0.5</c:v>
                </c:pt>
                <c:pt idx="37">
                  <c:v>0.75</c:v>
                </c:pt>
                <c:pt idx="38">
                  <c:v>0.25</c:v>
                </c:pt>
                <c:pt idx="39">
                  <c:v>0.5</c:v>
                </c:pt>
                <c:pt idx="40">
                  <c:v>0.75</c:v>
                </c:pt>
                <c:pt idx="41">
                  <c:v>0.75</c:v>
                </c:pt>
                <c:pt idx="42">
                  <c:v>0.25</c:v>
                </c:pt>
                <c:pt idx="43">
                  <c:v>0.5</c:v>
                </c:pt>
              </c:numCache>
            </c:numRef>
          </c:xVal>
          <c:yVal>
            <c:numRef>
              <c:f>HelpTernaryPlot!$K$9:$K$52</c:f>
              <c:numCache>
                <c:formatCode>0.00</c:formatCode>
                <c:ptCount val="44"/>
                <c:pt idx="0">
                  <c:v>0</c:v>
                </c:pt>
                <c:pt idx="1">
                  <c:v>0.77942286340599476</c:v>
                </c:pt>
                <c:pt idx="2">
                  <c:v>0.77942286340599476</c:v>
                </c:pt>
                <c:pt idx="3">
                  <c:v>0</c:v>
                </c:pt>
                <c:pt idx="4">
                  <c:v>8.6602540378443865E-2</c:v>
                </c:pt>
                <c:pt idx="5">
                  <c:v>8.6602540378443865E-2</c:v>
                </c:pt>
                <c:pt idx="6">
                  <c:v>8.6602540378443865E-2</c:v>
                </c:pt>
                <c:pt idx="7">
                  <c:v>0</c:v>
                </c:pt>
                <c:pt idx="9">
                  <c:v>0</c:v>
                </c:pt>
                <c:pt idx="10">
                  <c:v>0.69282032302755092</c:v>
                </c:pt>
                <c:pt idx="11">
                  <c:v>0.69282032302755092</c:v>
                </c:pt>
                <c:pt idx="12">
                  <c:v>0</c:v>
                </c:pt>
                <c:pt idx="13">
                  <c:v>0.17320508075688773</c:v>
                </c:pt>
                <c:pt idx="14">
                  <c:v>0.17320508075688773</c:v>
                </c:pt>
                <c:pt idx="15">
                  <c:v>0.17320508075688773</c:v>
                </c:pt>
                <c:pt idx="16">
                  <c:v>0</c:v>
                </c:pt>
                <c:pt idx="18">
                  <c:v>0</c:v>
                </c:pt>
                <c:pt idx="19">
                  <c:v>0.60621778264910697</c:v>
                </c:pt>
                <c:pt idx="20">
                  <c:v>0.60621778264910697</c:v>
                </c:pt>
                <c:pt idx="21">
                  <c:v>0</c:v>
                </c:pt>
                <c:pt idx="22">
                  <c:v>0.25980762113533162</c:v>
                </c:pt>
                <c:pt idx="23">
                  <c:v>0.25980762113533162</c:v>
                </c:pt>
                <c:pt idx="24">
                  <c:v>0.25980762113533162</c:v>
                </c:pt>
                <c:pt idx="25">
                  <c:v>0</c:v>
                </c:pt>
                <c:pt idx="27">
                  <c:v>0</c:v>
                </c:pt>
                <c:pt idx="28">
                  <c:v>0.51961524227066314</c:v>
                </c:pt>
                <c:pt idx="29">
                  <c:v>0.51961524227066314</c:v>
                </c:pt>
                <c:pt idx="30">
                  <c:v>0</c:v>
                </c:pt>
                <c:pt idx="31">
                  <c:v>0.34641016151377546</c:v>
                </c:pt>
                <c:pt idx="32">
                  <c:v>0.34641016151377546</c:v>
                </c:pt>
                <c:pt idx="33">
                  <c:v>0.34641016151377546</c:v>
                </c:pt>
                <c:pt idx="34">
                  <c:v>0</c:v>
                </c:pt>
                <c:pt idx="36">
                  <c:v>0</c:v>
                </c:pt>
                <c:pt idx="37">
                  <c:v>0.4330127018922193</c:v>
                </c:pt>
                <c:pt idx="38">
                  <c:v>0.4330127018922193</c:v>
                </c:pt>
                <c:pt idx="39">
                  <c:v>0</c:v>
                </c:pt>
                <c:pt idx="40">
                  <c:v>0.4330127018922193</c:v>
                </c:pt>
                <c:pt idx="41">
                  <c:v>0.4330127018922193</c:v>
                </c:pt>
                <c:pt idx="42">
                  <c:v>0.4330127018922193</c:v>
                </c:pt>
                <c:pt idx="43">
                  <c:v>0</c:v>
                </c:pt>
              </c:numCache>
            </c:numRef>
          </c:yVal>
          <c:smooth val="0"/>
          <c:extLst>
            <c:ext xmlns:c16="http://schemas.microsoft.com/office/drawing/2014/chart" uri="{C3380CC4-5D6E-409C-BE32-E72D297353CC}">
              <c16:uniqueId val="{00000000-7802-4EDC-B564-CA1B1826FAEA}"/>
            </c:ext>
          </c:extLst>
        </c:ser>
        <c:ser>
          <c:idx val="2"/>
          <c:order val="1"/>
          <c:tx>
            <c:strRef>
              <c:f>HelpTernaryPlot!$N$3</c:f>
              <c:strCache>
                <c:ptCount val="1"/>
                <c:pt idx="0">
                  <c:v>A axis ticks</c:v>
                </c:pt>
              </c:strCache>
            </c:strRef>
          </c:tx>
          <c:spPr>
            <a:ln w="12700">
              <a:solidFill>
                <a:schemeClr val="bg1">
                  <a:lumMod val="75000"/>
                </a:schemeClr>
              </a:solidFill>
            </a:ln>
          </c:spPr>
          <c:marker>
            <c:symbol val="none"/>
          </c:marker>
          <c:xVal>
            <c:numRef>
              <c:f>HelpTernaryPlot!$N$9:$N$40</c:f>
              <c:numCache>
                <c:formatCode>General</c:formatCode>
                <c:ptCount val="32"/>
                <c:pt idx="0" formatCode="0.00">
                  <c:v>0</c:v>
                </c:pt>
                <c:pt idx="1">
                  <c:v>-1.2500000000000001E-2</c:v>
                </c:pt>
                <c:pt idx="3" formatCode="0.00">
                  <c:v>0.2</c:v>
                </c:pt>
                <c:pt idx="4">
                  <c:v>0.1875</c:v>
                </c:pt>
                <c:pt idx="6" formatCode="0.00">
                  <c:v>0.4</c:v>
                </c:pt>
                <c:pt idx="7">
                  <c:v>0.38750000000000001</c:v>
                </c:pt>
                <c:pt idx="9" formatCode="0.00">
                  <c:v>0.60000000000000009</c:v>
                </c:pt>
                <c:pt idx="10">
                  <c:v>0.58750000000000013</c:v>
                </c:pt>
                <c:pt idx="12" formatCode="0.00">
                  <c:v>0.8</c:v>
                </c:pt>
                <c:pt idx="13">
                  <c:v>0.78750000000000009</c:v>
                </c:pt>
                <c:pt idx="15" formatCode="0.00">
                  <c:v>1</c:v>
                </c:pt>
                <c:pt idx="16">
                  <c:v>0.98750000000000004</c:v>
                </c:pt>
                <c:pt idx="18" formatCode="0.00">
                  <c:v>#N/A</c:v>
                </c:pt>
                <c:pt idx="19">
                  <c:v>#N/A</c:v>
                </c:pt>
                <c:pt idx="21" formatCode="0.00">
                  <c:v>#N/A</c:v>
                </c:pt>
                <c:pt idx="22">
                  <c:v>#N/A</c:v>
                </c:pt>
                <c:pt idx="24" formatCode="0.00">
                  <c:v>#N/A</c:v>
                </c:pt>
                <c:pt idx="25">
                  <c:v>#N/A</c:v>
                </c:pt>
                <c:pt idx="27" formatCode="0.00">
                  <c:v>#N/A</c:v>
                </c:pt>
                <c:pt idx="28">
                  <c:v>#N/A</c:v>
                </c:pt>
                <c:pt idx="30" formatCode="0.00">
                  <c:v>#N/A</c:v>
                </c:pt>
                <c:pt idx="31">
                  <c:v>#N/A</c:v>
                </c:pt>
              </c:numCache>
            </c:numRef>
          </c:xVal>
          <c:yVal>
            <c:numRef>
              <c:f>HelpTernaryPlot!$O$9:$O$40</c:f>
              <c:numCache>
                <c:formatCode>General</c:formatCode>
                <c:ptCount val="32"/>
                <c:pt idx="0" formatCode="0.00">
                  <c:v>0</c:v>
                </c:pt>
                <c:pt idx="1">
                  <c:v>-2.1650635094610966E-2</c:v>
                </c:pt>
                <c:pt idx="3" formatCode="0.00">
                  <c:v>0</c:v>
                </c:pt>
                <c:pt idx="4">
                  <c:v>-2.1650635094610966E-2</c:v>
                </c:pt>
                <c:pt idx="6" formatCode="0.00">
                  <c:v>0</c:v>
                </c:pt>
                <c:pt idx="7">
                  <c:v>-2.1650635094610966E-2</c:v>
                </c:pt>
                <c:pt idx="9" formatCode="0.00">
                  <c:v>0</c:v>
                </c:pt>
                <c:pt idx="10">
                  <c:v>-2.1650635094610966E-2</c:v>
                </c:pt>
                <c:pt idx="12" formatCode="0.00">
                  <c:v>0</c:v>
                </c:pt>
                <c:pt idx="13">
                  <c:v>-2.1650635094610966E-2</c:v>
                </c:pt>
                <c:pt idx="15" formatCode="0.00">
                  <c:v>0</c:v>
                </c:pt>
                <c:pt idx="16">
                  <c:v>-2.1650635094610966E-2</c:v>
                </c:pt>
                <c:pt idx="18" formatCode="0.00">
                  <c:v>#N/A</c:v>
                </c:pt>
                <c:pt idx="19">
                  <c:v>#N/A</c:v>
                </c:pt>
                <c:pt idx="21" formatCode="0.00">
                  <c:v>#N/A</c:v>
                </c:pt>
                <c:pt idx="22">
                  <c:v>#N/A</c:v>
                </c:pt>
                <c:pt idx="24" formatCode="0.00">
                  <c:v>#N/A</c:v>
                </c:pt>
                <c:pt idx="25">
                  <c:v>#N/A</c:v>
                </c:pt>
                <c:pt idx="27" formatCode="0.00">
                  <c:v>#N/A</c:v>
                </c:pt>
                <c:pt idx="28">
                  <c:v>#N/A</c:v>
                </c:pt>
                <c:pt idx="30" formatCode="0.00">
                  <c:v>#N/A</c:v>
                </c:pt>
                <c:pt idx="31">
                  <c:v>#N/A</c:v>
                </c:pt>
              </c:numCache>
            </c:numRef>
          </c:yVal>
          <c:smooth val="0"/>
          <c:extLst>
            <c:ext xmlns:c16="http://schemas.microsoft.com/office/drawing/2014/chart" uri="{C3380CC4-5D6E-409C-BE32-E72D297353CC}">
              <c16:uniqueId val="{00000001-7802-4EDC-B564-CA1B1826FAEA}"/>
            </c:ext>
          </c:extLst>
        </c:ser>
        <c:ser>
          <c:idx val="3"/>
          <c:order val="2"/>
          <c:tx>
            <c:strRef>
              <c:f>HelpTernaryPlot!$Q$3</c:f>
              <c:strCache>
                <c:ptCount val="1"/>
                <c:pt idx="0">
                  <c:v>B axis ticks</c:v>
                </c:pt>
              </c:strCache>
            </c:strRef>
          </c:tx>
          <c:spPr>
            <a:ln w="12700">
              <a:solidFill>
                <a:schemeClr val="bg1">
                  <a:lumMod val="75000"/>
                </a:schemeClr>
              </a:solidFill>
            </a:ln>
          </c:spPr>
          <c:marker>
            <c:symbol val="none"/>
          </c:marker>
          <c:xVal>
            <c:numRef>
              <c:f>HelpTernaryPlot!$Q$9:$Q$40</c:f>
              <c:numCache>
                <c:formatCode>General</c:formatCode>
                <c:ptCount val="32"/>
                <c:pt idx="0">
                  <c:v>1</c:v>
                </c:pt>
                <c:pt idx="1">
                  <c:v>1.0249999999999999</c:v>
                </c:pt>
                <c:pt idx="3">
                  <c:v>0.9</c:v>
                </c:pt>
                <c:pt idx="4">
                  <c:v>0.92500000000000004</c:v>
                </c:pt>
                <c:pt idx="6">
                  <c:v>0.8</c:v>
                </c:pt>
                <c:pt idx="7">
                  <c:v>0.82500000000000007</c:v>
                </c:pt>
                <c:pt idx="9">
                  <c:v>0.7</c:v>
                </c:pt>
                <c:pt idx="10">
                  <c:v>0.72499999999999998</c:v>
                </c:pt>
                <c:pt idx="12">
                  <c:v>0.6</c:v>
                </c:pt>
                <c:pt idx="13">
                  <c:v>0.625</c:v>
                </c:pt>
                <c:pt idx="15">
                  <c:v>0.5</c:v>
                </c:pt>
                <c:pt idx="16">
                  <c:v>0.52500000000000002</c:v>
                </c:pt>
                <c:pt idx="18">
                  <c:v>#N/A</c:v>
                </c:pt>
                <c:pt idx="19">
                  <c:v>#N/A</c:v>
                </c:pt>
                <c:pt idx="21">
                  <c:v>#N/A</c:v>
                </c:pt>
                <c:pt idx="22">
                  <c:v>#N/A</c:v>
                </c:pt>
                <c:pt idx="24">
                  <c:v>#N/A</c:v>
                </c:pt>
                <c:pt idx="25">
                  <c:v>#N/A</c:v>
                </c:pt>
                <c:pt idx="27">
                  <c:v>#N/A</c:v>
                </c:pt>
                <c:pt idx="28">
                  <c:v>#N/A</c:v>
                </c:pt>
                <c:pt idx="30">
                  <c:v>#N/A</c:v>
                </c:pt>
                <c:pt idx="31">
                  <c:v>#N/A</c:v>
                </c:pt>
              </c:numCache>
            </c:numRef>
          </c:xVal>
          <c:yVal>
            <c:numRef>
              <c:f>HelpTernaryPlot!$R$9:$R$40</c:f>
              <c:numCache>
                <c:formatCode>General</c:formatCode>
                <c:ptCount val="32"/>
                <c:pt idx="0">
                  <c:v>0</c:v>
                </c:pt>
                <c:pt idx="1">
                  <c:v>0</c:v>
                </c:pt>
                <c:pt idx="3">
                  <c:v>0.17320508075688773</c:v>
                </c:pt>
                <c:pt idx="4">
                  <c:v>0.17320508075688773</c:v>
                </c:pt>
                <c:pt idx="6">
                  <c:v>0.34641016151377546</c:v>
                </c:pt>
                <c:pt idx="7">
                  <c:v>0.34641016151377546</c:v>
                </c:pt>
                <c:pt idx="9">
                  <c:v>0.51961524227066325</c:v>
                </c:pt>
                <c:pt idx="10">
                  <c:v>0.51961524227066325</c:v>
                </c:pt>
                <c:pt idx="12">
                  <c:v>0.69282032302755092</c:v>
                </c:pt>
                <c:pt idx="13">
                  <c:v>0.69282032302755092</c:v>
                </c:pt>
                <c:pt idx="15">
                  <c:v>0.8660254037844386</c:v>
                </c:pt>
                <c:pt idx="16">
                  <c:v>0.8660254037844386</c:v>
                </c:pt>
                <c:pt idx="18">
                  <c:v>#N/A</c:v>
                </c:pt>
                <c:pt idx="19">
                  <c:v>#N/A</c:v>
                </c:pt>
                <c:pt idx="21">
                  <c:v>#N/A</c:v>
                </c:pt>
                <c:pt idx="22">
                  <c:v>#N/A</c:v>
                </c:pt>
                <c:pt idx="24">
                  <c:v>#N/A</c:v>
                </c:pt>
                <c:pt idx="25">
                  <c:v>#N/A</c:v>
                </c:pt>
                <c:pt idx="27">
                  <c:v>#N/A</c:v>
                </c:pt>
                <c:pt idx="28">
                  <c:v>#N/A</c:v>
                </c:pt>
                <c:pt idx="30">
                  <c:v>#N/A</c:v>
                </c:pt>
                <c:pt idx="31">
                  <c:v>#N/A</c:v>
                </c:pt>
              </c:numCache>
            </c:numRef>
          </c:yVal>
          <c:smooth val="0"/>
          <c:extLst>
            <c:ext xmlns:c16="http://schemas.microsoft.com/office/drawing/2014/chart" uri="{C3380CC4-5D6E-409C-BE32-E72D297353CC}">
              <c16:uniqueId val="{00000002-7802-4EDC-B564-CA1B1826FAEA}"/>
            </c:ext>
          </c:extLst>
        </c:ser>
        <c:ser>
          <c:idx val="4"/>
          <c:order val="3"/>
          <c:tx>
            <c:strRef>
              <c:f>HelpTernaryPlot!$T$3</c:f>
              <c:strCache>
                <c:ptCount val="1"/>
                <c:pt idx="0">
                  <c:v>C axis ticks</c:v>
                </c:pt>
              </c:strCache>
            </c:strRef>
          </c:tx>
          <c:spPr>
            <a:ln w="12700">
              <a:solidFill>
                <a:schemeClr val="bg1">
                  <a:lumMod val="75000"/>
                </a:schemeClr>
              </a:solidFill>
            </a:ln>
          </c:spPr>
          <c:marker>
            <c:symbol val="none"/>
          </c:marker>
          <c:xVal>
            <c:numRef>
              <c:f>HelpTernaryPlot!$T$9:$T$40</c:f>
              <c:numCache>
                <c:formatCode>General</c:formatCode>
                <c:ptCount val="32"/>
                <c:pt idx="0">
                  <c:v>0.5</c:v>
                </c:pt>
                <c:pt idx="1">
                  <c:v>0.48749999999999999</c:v>
                </c:pt>
                <c:pt idx="3">
                  <c:v>0.4</c:v>
                </c:pt>
                <c:pt idx="4">
                  <c:v>0.38750000000000001</c:v>
                </c:pt>
                <c:pt idx="6">
                  <c:v>0.3</c:v>
                </c:pt>
                <c:pt idx="7">
                  <c:v>0.28749999999999998</c:v>
                </c:pt>
                <c:pt idx="9">
                  <c:v>0.19999999999999996</c:v>
                </c:pt>
                <c:pt idx="10">
                  <c:v>0.18749999999999994</c:v>
                </c:pt>
                <c:pt idx="12">
                  <c:v>9.9999999999999978E-2</c:v>
                </c:pt>
                <c:pt idx="13">
                  <c:v>8.7499999999999981E-2</c:v>
                </c:pt>
                <c:pt idx="15">
                  <c:v>0</c:v>
                </c:pt>
                <c:pt idx="16">
                  <c:v>-1.2500000000000001E-2</c:v>
                </c:pt>
                <c:pt idx="18">
                  <c:v>#N/A</c:v>
                </c:pt>
                <c:pt idx="19">
                  <c:v>#N/A</c:v>
                </c:pt>
                <c:pt idx="21">
                  <c:v>#N/A</c:v>
                </c:pt>
                <c:pt idx="22">
                  <c:v>#N/A</c:v>
                </c:pt>
                <c:pt idx="24">
                  <c:v>#N/A</c:v>
                </c:pt>
                <c:pt idx="25">
                  <c:v>#N/A</c:v>
                </c:pt>
                <c:pt idx="27">
                  <c:v>#N/A</c:v>
                </c:pt>
                <c:pt idx="28">
                  <c:v>#N/A</c:v>
                </c:pt>
                <c:pt idx="30">
                  <c:v>#N/A</c:v>
                </c:pt>
                <c:pt idx="31">
                  <c:v>#N/A</c:v>
                </c:pt>
              </c:numCache>
            </c:numRef>
          </c:xVal>
          <c:yVal>
            <c:numRef>
              <c:f>HelpTernaryPlot!$U$9:$U$40</c:f>
              <c:numCache>
                <c:formatCode>General</c:formatCode>
                <c:ptCount val="32"/>
                <c:pt idx="0">
                  <c:v>0.8660254037844386</c:v>
                </c:pt>
                <c:pt idx="1">
                  <c:v>0.88767603887904956</c:v>
                </c:pt>
                <c:pt idx="3">
                  <c:v>0.69282032302755092</c:v>
                </c:pt>
                <c:pt idx="4">
                  <c:v>0.71447095812216188</c:v>
                </c:pt>
                <c:pt idx="6">
                  <c:v>0.51961524227066314</c:v>
                </c:pt>
                <c:pt idx="7">
                  <c:v>0.5412658773652741</c:v>
                </c:pt>
                <c:pt idx="9">
                  <c:v>0.34641016151377535</c:v>
                </c:pt>
                <c:pt idx="10">
                  <c:v>0.36806079660838631</c:v>
                </c:pt>
                <c:pt idx="12">
                  <c:v>0.17320508075688767</c:v>
                </c:pt>
                <c:pt idx="13">
                  <c:v>0.19485571585149863</c:v>
                </c:pt>
                <c:pt idx="15">
                  <c:v>0</c:v>
                </c:pt>
                <c:pt idx="16">
                  <c:v>2.1650635094610966E-2</c:v>
                </c:pt>
                <c:pt idx="18">
                  <c:v>#N/A</c:v>
                </c:pt>
                <c:pt idx="19">
                  <c:v>#N/A</c:v>
                </c:pt>
                <c:pt idx="21">
                  <c:v>#N/A</c:v>
                </c:pt>
                <c:pt idx="22">
                  <c:v>#N/A</c:v>
                </c:pt>
                <c:pt idx="24">
                  <c:v>#N/A</c:v>
                </c:pt>
                <c:pt idx="25">
                  <c:v>#N/A</c:v>
                </c:pt>
                <c:pt idx="27">
                  <c:v>#N/A</c:v>
                </c:pt>
                <c:pt idx="28">
                  <c:v>#N/A</c:v>
                </c:pt>
                <c:pt idx="30">
                  <c:v>#N/A</c:v>
                </c:pt>
                <c:pt idx="31">
                  <c:v>#N/A</c:v>
                </c:pt>
              </c:numCache>
            </c:numRef>
          </c:yVal>
          <c:smooth val="0"/>
          <c:extLst>
            <c:ext xmlns:c16="http://schemas.microsoft.com/office/drawing/2014/chart" uri="{C3380CC4-5D6E-409C-BE32-E72D297353CC}">
              <c16:uniqueId val="{00000003-7802-4EDC-B564-CA1B1826FAEA}"/>
            </c:ext>
          </c:extLst>
        </c:ser>
        <c:ser>
          <c:idx val="5"/>
          <c:order val="4"/>
          <c:tx>
            <c:strRef>
              <c:f>HelpTernaryPlot!$X$3</c:f>
              <c:strCache>
                <c:ptCount val="1"/>
                <c:pt idx="0">
                  <c:v>A axis tick labels</c:v>
                </c:pt>
              </c:strCache>
            </c:strRef>
          </c:tx>
          <c:spPr>
            <a:ln>
              <a:noFill/>
            </a:ln>
          </c:spPr>
          <c:marker>
            <c:symbol val="none"/>
          </c:marker>
          <c:dLbls>
            <c:dLbl>
              <c:idx val="0"/>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802-4EDC-B564-CA1B1826FAEA}"/>
                </c:ext>
              </c:extLst>
            </c:dLbl>
            <c:dLbl>
              <c:idx val="1"/>
              <c:tx>
                <c:rich>
                  <a:bodyPr/>
                  <a:lstStyle/>
                  <a:p>
                    <a:fld id="{062E7BA6-F0A6-4FF0-BAE3-FC22182276B6}" type="CELLRANGE">
                      <a:rPr lang="en-US"/>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7802-4EDC-B564-CA1B1826FAEA}"/>
                </c:ext>
              </c:extLst>
            </c:dLbl>
            <c:dLbl>
              <c:idx val="2"/>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802-4EDC-B564-CA1B1826FAEA}"/>
                </c:ext>
              </c:extLst>
            </c:dLbl>
            <c:dLbl>
              <c:idx val="3"/>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802-4EDC-B564-CA1B1826FAEA}"/>
                </c:ext>
              </c:extLst>
            </c:dLbl>
            <c:dLbl>
              <c:idx val="4"/>
              <c:tx>
                <c:rich>
                  <a:bodyPr/>
                  <a:lstStyle/>
                  <a:p>
                    <a:fld id="{74F82520-77E8-4556-819B-B9E37B141C07}"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802-4EDC-B564-CA1B1826FAEA}"/>
                </c:ext>
              </c:extLst>
            </c:dLbl>
            <c:dLbl>
              <c:idx val="5"/>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802-4EDC-B564-CA1B1826FAEA}"/>
                </c:ext>
              </c:extLst>
            </c:dLbl>
            <c:dLbl>
              <c:idx val="6"/>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802-4EDC-B564-CA1B1826FAEA}"/>
                </c:ext>
              </c:extLst>
            </c:dLbl>
            <c:dLbl>
              <c:idx val="7"/>
              <c:tx>
                <c:rich>
                  <a:bodyPr/>
                  <a:lstStyle/>
                  <a:p>
                    <a:fld id="{FCBA4AB7-CE37-4479-A562-F2688B5C8961}"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802-4EDC-B564-CA1B1826FAEA}"/>
                </c:ext>
              </c:extLst>
            </c:dLbl>
            <c:dLbl>
              <c:idx val="8"/>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7802-4EDC-B564-CA1B1826FAEA}"/>
                </c:ext>
              </c:extLst>
            </c:dLbl>
            <c:dLbl>
              <c:idx val="9"/>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802-4EDC-B564-CA1B1826FAEA}"/>
                </c:ext>
              </c:extLst>
            </c:dLbl>
            <c:dLbl>
              <c:idx val="10"/>
              <c:tx>
                <c:rich>
                  <a:bodyPr/>
                  <a:lstStyle/>
                  <a:p>
                    <a:fld id="{B6D6124C-38A6-42FE-872E-03C93A370505}"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802-4EDC-B564-CA1B1826FAEA}"/>
                </c:ext>
              </c:extLst>
            </c:dLbl>
            <c:dLbl>
              <c:idx val="11"/>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7802-4EDC-B564-CA1B1826FAEA}"/>
                </c:ext>
              </c:extLst>
            </c:dLbl>
            <c:dLbl>
              <c:idx val="12"/>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7802-4EDC-B564-CA1B1826FAEA}"/>
                </c:ext>
              </c:extLst>
            </c:dLbl>
            <c:dLbl>
              <c:idx val="13"/>
              <c:tx>
                <c:rich>
                  <a:bodyPr/>
                  <a:lstStyle/>
                  <a:p>
                    <a:fld id="{4C1F5746-16F8-4596-8D44-013B20DD49AC}"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802-4EDC-B564-CA1B1826FAEA}"/>
                </c:ext>
              </c:extLst>
            </c:dLbl>
            <c:dLbl>
              <c:idx val="14"/>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7802-4EDC-B564-CA1B1826FAEA}"/>
                </c:ext>
              </c:extLst>
            </c:dLbl>
            <c:dLbl>
              <c:idx val="15"/>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7802-4EDC-B564-CA1B1826FAEA}"/>
                </c:ext>
              </c:extLst>
            </c:dLbl>
            <c:dLbl>
              <c:idx val="16"/>
              <c:tx>
                <c:rich>
                  <a:bodyPr/>
                  <a:lstStyle/>
                  <a:p>
                    <a:fld id="{9AB7AE57-662C-4A75-8ED7-8A2CAC8D2AA9}" type="CELLRANGE">
                      <a:rPr lang="de-DE"/>
                      <a:pPr/>
                      <a:t>[ZELLBEREICH]</a:t>
                    </a:fld>
                    <a:endParaRPr lang="de-DE"/>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802-4EDC-B564-CA1B1826FAEA}"/>
                </c:ext>
              </c:extLst>
            </c:dLbl>
            <c:dLbl>
              <c:idx val="17"/>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7802-4EDC-B564-CA1B1826FAEA}"/>
                </c:ext>
              </c:extLst>
            </c:dLbl>
            <c:dLbl>
              <c:idx val="18"/>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7802-4EDC-B564-CA1B1826FAEA}"/>
                </c:ext>
              </c:extLst>
            </c:dLbl>
            <c:dLbl>
              <c:idx val="19"/>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7802-4EDC-B564-CA1B1826FAEA}"/>
                </c:ext>
              </c:extLst>
            </c:dLbl>
            <c:dLbl>
              <c:idx val="20"/>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7802-4EDC-B564-CA1B1826FAEA}"/>
                </c:ext>
              </c:extLst>
            </c:dLbl>
            <c:dLbl>
              <c:idx val="21"/>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7802-4EDC-B564-CA1B1826FAEA}"/>
                </c:ext>
              </c:extLst>
            </c:dLbl>
            <c:dLbl>
              <c:idx val="22"/>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7802-4EDC-B564-CA1B1826FAEA}"/>
                </c:ext>
              </c:extLst>
            </c:dLbl>
            <c:dLbl>
              <c:idx val="23"/>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7802-4EDC-B564-CA1B1826FAEA}"/>
                </c:ext>
              </c:extLst>
            </c:dLbl>
            <c:dLbl>
              <c:idx val="24"/>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7802-4EDC-B564-CA1B1826FAEA}"/>
                </c:ext>
              </c:extLst>
            </c:dLbl>
            <c:dLbl>
              <c:idx val="25"/>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7802-4EDC-B564-CA1B1826FAEA}"/>
                </c:ext>
              </c:extLst>
            </c:dLbl>
            <c:dLbl>
              <c:idx val="26"/>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7802-4EDC-B564-CA1B1826FAEA}"/>
                </c:ext>
              </c:extLst>
            </c:dLbl>
            <c:dLbl>
              <c:idx val="27"/>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7802-4EDC-B564-CA1B1826FAEA}"/>
                </c:ext>
              </c:extLst>
            </c:dLbl>
            <c:dLbl>
              <c:idx val="28"/>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7802-4EDC-B564-CA1B1826FAEA}"/>
                </c:ext>
              </c:extLst>
            </c:dLbl>
            <c:dLbl>
              <c:idx val="29"/>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7802-4EDC-B564-CA1B1826FAEA}"/>
                </c:ext>
              </c:extLst>
            </c:dLbl>
            <c:dLbl>
              <c:idx val="30"/>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7802-4EDC-B564-CA1B1826FAEA}"/>
                </c:ext>
              </c:extLst>
            </c:dLbl>
            <c:dLbl>
              <c:idx val="31"/>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7802-4EDC-B564-CA1B1826FAEA}"/>
                </c:ext>
              </c:extLst>
            </c:dLbl>
            <c:spPr>
              <a:noFill/>
              <a:ln>
                <a:noFill/>
              </a:ln>
              <a:effectLst/>
            </c:spPr>
            <c:txPr>
              <a:bodyPr rot="-3600000" wrap="square" lIns="0" tIns="0" rIns="0" bIns="0" anchor="ctr">
                <a:spAutoFit/>
              </a:bodyPr>
              <a:lstStyle/>
              <a:p>
                <a:pPr>
                  <a:defRPr/>
                </a:pPr>
                <a:endParaRPr lang="de-DE"/>
              </a:p>
            </c:txPr>
            <c:dLblPos val="b"/>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HelpTernaryPlot!$X$9:$X$40</c:f>
              <c:numCache>
                <c:formatCode>General</c:formatCode>
                <c:ptCount val="32"/>
                <c:pt idx="1">
                  <c:v>-3.7500000000000006E-2</c:v>
                </c:pt>
                <c:pt idx="4">
                  <c:v>0.16250000000000001</c:v>
                </c:pt>
                <c:pt idx="7">
                  <c:v>0.36249999999999999</c:v>
                </c:pt>
                <c:pt idx="10">
                  <c:v>0.56250000000000011</c:v>
                </c:pt>
                <c:pt idx="13">
                  <c:v>0.76250000000000007</c:v>
                </c:pt>
                <c:pt idx="16">
                  <c:v>0.96250000000000002</c:v>
                </c:pt>
                <c:pt idx="19">
                  <c:v>#N/A</c:v>
                </c:pt>
                <c:pt idx="22">
                  <c:v>#N/A</c:v>
                </c:pt>
                <c:pt idx="25">
                  <c:v>#N/A</c:v>
                </c:pt>
                <c:pt idx="28">
                  <c:v>#N/A</c:v>
                </c:pt>
                <c:pt idx="31">
                  <c:v>#N/A</c:v>
                </c:pt>
              </c:numCache>
            </c:numRef>
          </c:xVal>
          <c:yVal>
            <c:numRef>
              <c:f>HelpTernaryPlot!$Y$9:$Y$40</c:f>
              <c:numCache>
                <c:formatCode>General</c:formatCode>
                <c:ptCount val="32"/>
                <c:pt idx="1">
                  <c:v>0</c:v>
                </c:pt>
                <c:pt idx="4">
                  <c:v>0</c:v>
                </c:pt>
                <c:pt idx="7">
                  <c:v>0</c:v>
                </c:pt>
                <c:pt idx="10">
                  <c:v>0</c:v>
                </c:pt>
                <c:pt idx="13">
                  <c:v>0</c:v>
                </c:pt>
                <c:pt idx="16">
                  <c:v>0</c:v>
                </c:pt>
                <c:pt idx="19">
                  <c:v>#N/A</c:v>
                </c:pt>
                <c:pt idx="22">
                  <c:v>#N/A</c:v>
                </c:pt>
                <c:pt idx="25">
                  <c:v>#N/A</c:v>
                </c:pt>
                <c:pt idx="28">
                  <c:v>#N/A</c:v>
                </c:pt>
                <c:pt idx="31">
                  <c:v>#N/A</c:v>
                </c:pt>
              </c:numCache>
            </c:numRef>
          </c:yVal>
          <c:smooth val="0"/>
          <c:extLst>
            <c:ext xmlns:c15="http://schemas.microsoft.com/office/drawing/2012/chart" uri="{02D57815-91ED-43cb-92C2-25804820EDAC}">
              <c15:datalabelsRange>
                <c15:f>HelpTernaryPlot!$W$9:$W$40</c15:f>
                <c15:dlblRangeCache>
                  <c:ptCount val="32"/>
                  <c:pt idx="1">
                    <c:v>0.00</c:v>
                  </c:pt>
                  <c:pt idx="4">
                    <c:v>0.20</c:v>
                  </c:pt>
                  <c:pt idx="7">
                    <c:v>0.40</c:v>
                  </c:pt>
                  <c:pt idx="10">
                    <c:v>0.60</c:v>
                  </c:pt>
                  <c:pt idx="13">
                    <c:v>0.80</c:v>
                  </c:pt>
                  <c:pt idx="16">
                    <c:v>1.00</c:v>
                  </c:pt>
                  <c:pt idx="19">
                    <c:v>#NV</c:v>
                  </c:pt>
                  <c:pt idx="22">
                    <c:v>#NV</c:v>
                  </c:pt>
                  <c:pt idx="25">
                    <c:v>#NV</c:v>
                  </c:pt>
                  <c:pt idx="28">
                    <c:v>#NV</c:v>
                  </c:pt>
                  <c:pt idx="31">
                    <c:v>#NV</c:v>
                  </c:pt>
                </c15:dlblRangeCache>
              </c15:datalabelsRange>
            </c:ext>
            <c:ext xmlns:c16="http://schemas.microsoft.com/office/drawing/2014/chart" uri="{C3380CC4-5D6E-409C-BE32-E72D297353CC}">
              <c16:uniqueId val="{00000024-7802-4EDC-B564-CA1B1826FAEA}"/>
            </c:ext>
          </c:extLst>
        </c:ser>
        <c:ser>
          <c:idx val="6"/>
          <c:order val="5"/>
          <c:tx>
            <c:strRef>
              <c:f>HelpTernaryPlot!$AA$3</c:f>
              <c:strCache>
                <c:ptCount val="1"/>
                <c:pt idx="0">
                  <c:v>B axis tick labels</c:v>
                </c:pt>
              </c:strCache>
            </c:strRef>
          </c:tx>
          <c:spPr>
            <a:ln>
              <a:noFill/>
            </a:ln>
          </c:spPr>
          <c:marker>
            <c:symbol val="none"/>
          </c:marker>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7802-4EDC-B564-CA1B1826FAEA}"/>
                </c:ext>
              </c:extLst>
            </c:dLbl>
            <c:dLbl>
              <c:idx val="1"/>
              <c:tx>
                <c:rich>
                  <a:bodyPr/>
                  <a:lstStyle/>
                  <a:p>
                    <a:fld id="{270F692F-78AB-4932-B59D-FBD82587E908}" type="CELLRANGE">
                      <a:rPr lang="en-US"/>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7802-4EDC-B564-CA1B1826FAEA}"/>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7802-4EDC-B564-CA1B1826FAEA}"/>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7802-4EDC-B564-CA1B1826FAEA}"/>
                </c:ext>
              </c:extLst>
            </c:dLbl>
            <c:dLbl>
              <c:idx val="4"/>
              <c:tx>
                <c:rich>
                  <a:bodyPr/>
                  <a:lstStyle/>
                  <a:p>
                    <a:fld id="{ACAC46F1-D222-4F9E-B71C-7605A40F7B5E}"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7802-4EDC-B564-CA1B1826FAEA}"/>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7802-4EDC-B564-CA1B1826FAEA}"/>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7802-4EDC-B564-CA1B1826FAEA}"/>
                </c:ext>
              </c:extLst>
            </c:dLbl>
            <c:dLbl>
              <c:idx val="7"/>
              <c:tx>
                <c:rich>
                  <a:bodyPr/>
                  <a:lstStyle/>
                  <a:p>
                    <a:fld id="{F668ADDA-D43A-4E73-ABA8-3DDBAD65EA78}"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7802-4EDC-B564-CA1B1826FAEA}"/>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7802-4EDC-B564-CA1B1826FAEA}"/>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7802-4EDC-B564-CA1B1826FAEA}"/>
                </c:ext>
              </c:extLst>
            </c:dLbl>
            <c:dLbl>
              <c:idx val="10"/>
              <c:tx>
                <c:rich>
                  <a:bodyPr/>
                  <a:lstStyle/>
                  <a:p>
                    <a:fld id="{A943CC05-D9C9-4D29-AED8-672166E4850C}"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7802-4EDC-B564-CA1B1826FAEA}"/>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7802-4EDC-B564-CA1B1826FAEA}"/>
                </c:ext>
              </c:extLst>
            </c:dLbl>
            <c:dLbl>
              <c:idx val="1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7802-4EDC-B564-CA1B1826FAEA}"/>
                </c:ext>
              </c:extLst>
            </c:dLbl>
            <c:dLbl>
              <c:idx val="13"/>
              <c:tx>
                <c:rich>
                  <a:bodyPr/>
                  <a:lstStyle/>
                  <a:p>
                    <a:fld id="{614AE318-A235-4DA5-9EA9-CA9D9EC19505}"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7802-4EDC-B564-CA1B1826FAEA}"/>
                </c:ext>
              </c:extLst>
            </c:dLbl>
            <c:dLbl>
              <c:idx val="1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7802-4EDC-B564-CA1B1826FAEA}"/>
                </c:ext>
              </c:extLst>
            </c:dLbl>
            <c:dLbl>
              <c:idx val="1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7802-4EDC-B564-CA1B1826FAEA}"/>
                </c:ext>
              </c:extLst>
            </c:dLbl>
            <c:dLbl>
              <c:idx val="16"/>
              <c:tx>
                <c:rich>
                  <a:bodyPr/>
                  <a:lstStyle/>
                  <a:p>
                    <a:fld id="{A095430D-69EF-400A-A6C8-336675CFFBBA}" type="CELLRANGE">
                      <a:rPr lang="de-DE"/>
                      <a:pPr/>
                      <a:t>[ZELLBEREICH]</a:t>
                    </a:fld>
                    <a:endParaRPr lang="de-DE"/>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7802-4EDC-B564-CA1B1826FAEA}"/>
                </c:ext>
              </c:extLst>
            </c:dLbl>
            <c:dLbl>
              <c:idx val="1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7802-4EDC-B564-CA1B1826FAEA}"/>
                </c:ext>
              </c:extLst>
            </c:dLbl>
            <c:dLbl>
              <c:idx val="1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7802-4EDC-B564-CA1B1826FAEA}"/>
                </c:ext>
              </c:extLst>
            </c:dLbl>
            <c:dLbl>
              <c:idx val="1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7802-4EDC-B564-CA1B1826FAEA}"/>
                </c:ext>
              </c:extLst>
            </c:dLbl>
            <c:dLbl>
              <c:idx val="2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7802-4EDC-B564-CA1B1826FAEA}"/>
                </c:ext>
              </c:extLst>
            </c:dLbl>
            <c:dLbl>
              <c:idx val="2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7802-4EDC-B564-CA1B1826FAEA}"/>
                </c:ext>
              </c:extLst>
            </c:dLbl>
            <c:dLbl>
              <c:idx val="2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7802-4EDC-B564-CA1B1826FAEA}"/>
                </c:ext>
              </c:extLst>
            </c:dLbl>
            <c:dLbl>
              <c:idx val="2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7802-4EDC-B564-CA1B1826FAEA}"/>
                </c:ext>
              </c:extLst>
            </c:dLbl>
            <c:dLbl>
              <c:idx val="2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7802-4EDC-B564-CA1B1826FAEA}"/>
                </c:ext>
              </c:extLst>
            </c:dLbl>
            <c:dLbl>
              <c:idx val="2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7802-4EDC-B564-CA1B1826FAEA}"/>
                </c:ext>
              </c:extLst>
            </c:dLbl>
            <c:dLbl>
              <c:idx val="2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7802-4EDC-B564-CA1B1826FAEA}"/>
                </c:ext>
              </c:extLst>
            </c:dLbl>
            <c:dLbl>
              <c:idx val="2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7802-4EDC-B564-CA1B1826FAEA}"/>
                </c:ext>
              </c:extLst>
            </c:dLbl>
            <c:dLbl>
              <c:idx val="2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7802-4EDC-B564-CA1B1826FAEA}"/>
                </c:ext>
              </c:extLst>
            </c:dLbl>
            <c:dLbl>
              <c:idx val="2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7802-4EDC-B564-CA1B1826FAEA}"/>
                </c:ext>
              </c:extLst>
            </c:dLbl>
            <c:dLbl>
              <c:idx val="3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7802-4EDC-B564-CA1B1826FAEA}"/>
                </c:ext>
              </c:extLst>
            </c:dLbl>
            <c:dLbl>
              <c:idx val="3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4-7802-4EDC-B564-CA1B1826FAEA}"/>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HelpTernaryPlot!$AA$9:$AA$40</c:f>
              <c:numCache>
                <c:formatCode>General</c:formatCode>
                <c:ptCount val="32"/>
                <c:pt idx="1">
                  <c:v>1.0149999999999999</c:v>
                </c:pt>
                <c:pt idx="4">
                  <c:v>0.91500000000000004</c:v>
                </c:pt>
                <c:pt idx="7">
                  <c:v>0.81500000000000006</c:v>
                </c:pt>
                <c:pt idx="10">
                  <c:v>0.71499999999999997</c:v>
                </c:pt>
                <c:pt idx="13">
                  <c:v>0.61499999999999999</c:v>
                </c:pt>
                <c:pt idx="16">
                  <c:v>0.51500000000000001</c:v>
                </c:pt>
                <c:pt idx="19">
                  <c:v>#N/A</c:v>
                </c:pt>
                <c:pt idx="22">
                  <c:v>#N/A</c:v>
                </c:pt>
                <c:pt idx="25">
                  <c:v>#N/A</c:v>
                </c:pt>
                <c:pt idx="28">
                  <c:v>#N/A</c:v>
                </c:pt>
                <c:pt idx="31">
                  <c:v>#N/A</c:v>
                </c:pt>
              </c:numCache>
            </c:numRef>
          </c:xVal>
          <c:yVal>
            <c:numRef>
              <c:f>HelpTernaryPlot!$AB$9:$AB$40</c:f>
              <c:numCache>
                <c:formatCode>General</c:formatCode>
                <c:ptCount val="32"/>
                <c:pt idx="1">
                  <c:v>4.3301270189221933E-3</c:v>
                </c:pt>
                <c:pt idx="4">
                  <c:v>0.17753520777580992</c:v>
                </c:pt>
                <c:pt idx="7">
                  <c:v>0.35074028853269767</c:v>
                </c:pt>
                <c:pt idx="10">
                  <c:v>0.52394536928958546</c:v>
                </c:pt>
                <c:pt idx="13">
                  <c:v>0.69715045004647314</c:v>
                </c:pt>
                <c:pt idx="16">
                  <c:v>0.87035553080336081</c:v>
                </c:pt>
                <c:pt idx="19">
                  <c:v>#N/A</c:v>
                </c:pt>
                <c:pt idx="22">
                  <c:v>#N/A</c:v>
                </c:pt>
                <c:pt idx="25">
                  <c:v>#N/A</c:v>
                </c:pt>
                <c:pt idx="28">
                  <c:v>#N/A</c:v>
                </c:pt>
                <c:pt idx="31">
                  <c:v>#N/A</c:v>
                </c:pt>
              </c:numCache>
            </c:numRef>
          </c:yVal>
          <c:smooth val="0"/>
          <c:extLst>
            <c:ext xmlns:c15="http://schemas.microsoft.com/office/drawing/2012/chart" uri="{02D57815-91ED-43cb-92C2-25804820EDAC}">
              <c15:datalabelsRange>
                <c15:f>HelpTernaryPlot!$W$9:$W$40</c15:f>
                <c15:dlblRangeCache>
                  <c:ptCount val="32"/>
                  <c:pt idx="1">
                    <c:v>0.00</c:v>
                  </c:pt>
                  <c:pt idx="4">
                    <c:v>0.20</c:v>
                  </c:pt>
                  <c:pt idx="7">
                    <c:v>0.40</c:v>
                  </c:pt>
                  <c:pt idx="10">
                    <c:v>0.60</c:v>
                  </c:pt>
                  <c:pt idx="13">
                    <c:v>0.80</c:v>
                  </c:pt>
                  <c:pt idx="16">
                    <c:v>1.00</c:v>
                  </c:pt>
                  <c:pt idx="19">
                    <c:v>#NV</c:v>
                  </c:pt>
                  <c:pt idx="22">
                    <c:v>#NV</c:v>
                  </c:pt>
                  <c:pt idx="25">
                    <c:v>#NV</c:v>
                  </c:pt>
                  <c:pt idx="28">
                    <c:v>#NV</c:v>
                  </c:pt>
                  <c:pt idx="31">
                    <c:v>#NV</c:v>
                  </c:pt>
                </c15:dlblRangeCache>
              </c15:datalabelsRange>
            </c:ext>
            <c:ext xmlns:c16="http://schemas.microsoft.com/office/drawing/2014/chart" uri="{C3380CC4-5D6E-409C-BE32-E72D297353CC}">
              <c16:uniqueId val="{00000045-7802-4EDC-B564-CA1B1826FAEA}"/>
            </c:ext>
          </c:extLst>
        </c:ser>
        <c:ser>
          <c:idx val="7"/>
          <c:order val="6"/>
          <c:tx>
            <c:strRef>
              <c:f>HelpTernaryPlot!$AD$3</c:f>
              <c:strCache>
                <c:ptCount val="1"/>
                <c:pt idx="0">
                  <c:v>C axis tick labels</c:v>
                </c:pt>
              </c:strCache>
            </c:strRef>
          </c:tx>
          <c:spPr>
            <a:ln>
              <a:noFill/>
            </a:ln>
          </c:spPr>
          <c:marker>
            <c:symbol val="none"/>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6-7802-4EDC-B564-CA1B1826FAEA}"/>
                </c:ext>
              </c:extLst>
            </c:dLbl>
            <c:dLbl>
              <c:idx val="1"/>
              <c:tx>
                <c:rich>
                  <a:bodyPr/>
                  <a:lstStyle/>
                  <a:p>
                    <a:fld id="{DA8905C7-2D87-4278-88B5-6C99FB776F21}"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7-7802-4EDC-B564-CA1B1826FAEA}"/>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8-7802-4EDC-B564-CA1B1826FAEA}"/>
                </c:ext>
              </c:extLst>
            </c:dLbl>
            <c:dLbl>
              <c:idx val="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9-7802-4EDC-B564-CA1B1826FAEA}"/>
                </c:ext>
              </c:extLst>
            </c:dLbl>
            <c:dLbl>
              <c:idx val="4"/>
              <c:tx>
                <c:rich>
                  <a:bodyPr/>
                  <a:lstStyle/>
                  <a:p>
                    <a:fld id="{7B413CCD-8E46-4E6A-9277-BDEC11EA8AF5}"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7802-4EDC-B564-CA1B1826FAEA}"/>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B-7802-4EDC-B564-CA1B1826FAEA}"/>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C-7802-4EDC-B564-CA1B1826FAEA}"/>
                </c:ext>
              </c:extLst>
            </c:dLbl>
            <c:dLbl>
              <c:idx val="7"/>
              <c:tx>
                <c:rich>
                  <a:bodyPr/>
                  <a:lstStyle/>
                  <a:p>
                    <a:fld id="{EBE5DEFF-84F4-445A-ADB9-A95052486954}"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7802-4EDC-B564-CA1B1826FAEA}"/>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E-7802-4EDC-B564-CA1B1826FAEA}"/>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F-7802-4EDC-B564-CA1B1826FAEA}"/>
                </c:ext>
              </c:extLst>
            </c:dLbl>
            <c:dLbl>
              <c:idx val="10"/>
              <c:tx>
                <c:rich>
                  <a:bodyPr/>
                  <a:lstStyle/>
                  <a:p>
                    <a:fld id="{78193672-E8CD-45B7-9C23-A69E95D5ACB3}"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7802-4EDC-B564-CA1B1826FAEA}"/>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1-7802-4EDC-B564-CA1B1826FAEA}"/>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2-7802-4EDC-B564-CA1B1826FAEA}"/>
                </c:ext>
              </c:extLst>
            </c:dLbl>
            <c:dLbl>
              <c:idx val="13"/>
              <c:tx>
                <c:rich>
                  <a:bodyPr/>
                  <a:lstStyle/>
                  <a:p>
                    <a:fld id="{635335AF-E922-443B-8F8C-3CB3B7FF90A8}"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7802-4EDC-B564-CA1B1826FAEA}"/>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4-7802-4EDC-B564-CA1B1826FAEA}"/>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5-7802-4EDC-B564-CA1B1826FAEA}"/>
                </c:ext>
              </c:extLst>
            </c:dLbl>
            <c:dLbl>
              <c:idx val="16"/>
              <c:tx>
                <c:rich>
                  <a:bodyPr/>
                  <a:lstStyle/>
                  <a:p>
                    <a:fld id="{1E56E288-9551-4D5A-8B96-3334A058794A}"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7802-4EDC-B564-CA1B1826FAEA}"/>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7-7802-4EDC-B564-CA1B1826FAEA}"/>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8-7802-4EDC-B564-CA1B1826FAEA}"/>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9-7802-4EDC-B564-CA1B1826FAEA}"/>
                </c:ext>
              </c:extLst>
            </c:dLbl>
            <c:dLbl>
              <c:idx val="2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A-7802-4EDC-B564-CA1B1826FAEA}"/>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B-7802-4EDC-B564-CA1B1826FAEA}"/>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C-7802-4EDC-B564-CA1B1826FAEA}"/>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D-7802-4EDC-B564-CA1B1826FAEA}"/>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E-7802-4EDC-B564-CA1B1826FAEA}"/>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F-7802-4EDC-B564-CA1B1826FAEA}"/>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0-7802-4EDC-B564-CA1B1826FAEA}"/>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1-7802-4EDC-B564-CA1B1826FAEA}"/>
                </c:ext>
              </c:extLst>
            </c:dLbl>
            <c:dLbl>
              <c:idx val="2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2-7802-4EDC-B564-CA1B1826FAEA}"/>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3-7802-4EDC-B564-CA1B1826FAEA}"/>
                </c:ext>
              </c:extLst>
            </c:dLbl>
            <c:dLbl>
              <c:idx val="3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4-7802-4EDC-B564-CA1B1826FAEA}"/>
                </c:ext>
              </c:extLst>
            </c:dLbl>
            <c:dLbl>
              <c:idx val="3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5-7802-4EDC-B564-CA1B1826FAEA}"/>
                </c:ext>
              </c:extLst>
            </c:dLbl>
            <c:spPr>
              <a:noFill/>
              <a:ln>
                <a:noFill/>
              </a:ln>
              <a:effectLst/>
            </c:spPr>
            <c:txPr>
              <a:bodyPr rot="3600000" wrap="square" lIns="0" tIns="0" rIns="0" bIns="0" anchor="ctr">
                <a:spAutoFit/>
              </a:bodyPr>
              <a:lstStyle/>
              <a:p>
                <a:pPr>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HelpTernaryPlot!$AD$9:$AD$40</c:f>
              <c:numCache>
                <c:formatCode>General</c:formatCode>
                <c:ptCount val="32"/>
                <c:pt idx="1">
                  <c:v>0.46249999999999997</c:v>
                </c:pt>
                <c:pt idx="4">
                  <c:v>0.36249999999999999</c:v>
                </c:pt>
                <c:pt idx="7">
                  <c:v>0.26249999999999996</c:v>
                </c:pt>
                <c:pt idx="10">
                  <c:v>0.16249999999999995</c:v>
                </c:pt>
                <c:pt idx="13">
                  <c:v>6.2499999999999979E-2</c:v>
                </c:pt>
                <c:pt idx="16">
                  <c:v>-3.7500000000000006E-2</c:v>
                </c:pt>
                <c:pt idx="19">
                  <c:v>#N/A</c:v>
                </c:pt>
                <c:pt idx="22">
                  <c:v>#N/A</c:v>
                </c:pt>
                <c:pt idx="25">
                  <c:v>#N/A</c:v>
                </c:pt>
                <c:pt idx="28">
                  <c:v>#N/A</c:v>
                </c:pt>
                <c:pt idx="31">
                  <c:v>#N/A</c:v>
                </c:pt>
              </c:numCache>
            </c:numRef>
          </c:xVal>
          <c:yVal>
            <c:numRef>
              <c:f>HelpTernaryPlot!$AE$9:$AE$40</c:f>
              <c:numCache>
                <c:formatCode>General</c:formatCode>
                <c:ptCount val="32"/>
                <c:pt idx="1">
                  <c:v>0.8660254037844386</c:v>
                </c:pt>
                <c:pt idx="4">
                  <c:v>0.69282032302755092</c:v>
                </c:pt>
                <c:pt idx="7">
                  <c:v>0.51961524227066314</c:v>
                </c:pt>
                <c:pt idx="10">
                  <c:v>0.34641016151377535</c:v>
                </c:pt>
                <c:pt idx="13">
                  <c:v>0.17320508075688767</c:v>
                </c:pt>
                <c:pt idx="16">
                  <c:v>0</c:v>
                </c:pt>
                <c:pt idx="19">
                  <c:v>#N/A</c:v>
                </c:pt>
                <c:pt idx="22">
                  <c:v>#N/A</c:v>
                </c:pt>
                <c:pt idx="25">
                  <c:v>#N/A</c:v>
                </c:pt>
                <c:pt idx="28">
                  <c:v>#N/A</c:v>
                </c:pt>
                <c:pt idx="31">
                  <c:v>#N/A</c:v>
                </c:pt>
              </c:numCache>
            </c:numRef>
          </c:yVal>
          <c:smooth val="0"/>
          <c:extLst>
            <c:ext xmlns:c15="http://schemas.microsoft.com/office/drawing/2012/chart" uri="{02D57815-91ED-43cb-92C2-25804820EDAC}">
              <c15:datalabelsRange>
                <c15:f>HelpTernaryPlot!$W$9:$W$40</c15:f>
                <c15:dlblRangeCache>
                  <c:ptCount val="32"/>
                  <c:pt idx="1">
                    <c:v>0.00</c:v>
                  </c:pt>
                  <c:pt idx="4">
                    <c:v>0.20</c:v>
                  </c:pt>
                  <c:pt idx="7">
                    <c:v>0.40</c:v>
                  </c:pt>
                  <c:pt idx="10">
                    <c:v>0.60</c:v>
                  </c:pt>
                  <c:pt idx="13">
                    <c:v>0.80</c:v>
                  </c:pt>
                  <c:pt idx="16">
                    <c:v>1.00</c:v>
                  </c:pt>
                  <c:pt idx="19">
                    <c:v>#NV</c:v>
                  </c:pt>
                  <c:pt idx="22">
                    <c:v>#NV</c:v>
                  </c:pt>
                  <c:pt idx="25">
                    <c:v>#NV</c:v>
                  </c:pt>
                  <c:pt idx="28">
                    <c:v>#NV</c:v>
                  </c:pt>
                  <c:pt idx="31">
                    <c:v>#NV</c:v>
                  </c:pt>
                </c15:dlblRangeCache>
              </c15:datalabelsRange>
            </c:ext>
            <c:ext xmlns:c16="http://schemas.microsoft.com/office/drawing/2014/chart" uri="{C3380CC4-5D6E-409C-BE32-E72D297353CC}">
              <c16:uniqueId val="{00000066-7802-4EDC-B564-CA1B1826FAEA}"/>
            </c:ext>
          </c:extLst>
        </c:ser>
        <c:ser>
          <c:idx val="8"/>
          <c:order val="7"/>
          <c:tx>
            <c:strRef>
              <c:f>HelpTernaryPlot!$AH$3</c:f>
              <c:strCache>
                <c:ptCount val="1"/>
                <c:pt idx="0">
                  <c:v>A axis label</c:v>
                </c:pt>
              </c:strCache>
            </c:strRef>
          </c:tx>
          <c:spPr>
            <a:ln>
              <a:noFill/>
            </a:ln>
          </c:spPr>
          <c:marker>
            <c:symbol val="none"/>
          </c:marker>
          <c:dLbls>
            <c:dLbl>
              <c:idx val="0"/>
              <c:tx>
                <c:rich>
                  <a:bodyPr/>
                  <a:lstStyle/>
                  <a:p>
                    <a:fld id="{2F242B89-9EF2-45C9-BD49-430F65012455}" type="CELLRANGE">
                      <a:rPr lang="en-US"/>
                      <a:pPr/>
                      <a:t>[ZELLBEREICH]</a:t>
                    </a:fld>
                    <a:endParaRPr lang="de-DE"/>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7-7802-4EDC-B564-CA1B1826FAEA}"/>
                </c:ext>
              </c:extLst>
            </c:dLbl>
            <c:spPr>
              <a:noFill/>
              <a:ln>
                <a:noFill/>
              </a:ln>
              <a:effectLst/>
            </c:sp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HelpTernaryPlot!$AH$10</c:f>
              <c:numCache>
                <c:formatCode>General</c:formatCode>
                <c:ptCount val="1"/>
                <c:pt idx="0">
                  <c:v>0.5</c:v>
                </c:pt>
              </c:numCache>
            </c:numRef>
          </c:xVal>
          <c:yVal>
            <c:numRef>
              <c:f>HelpTernaryPlot!$AI$10</c:f>
              <c:numCache>
                <c:formatCode>General</c:formatCode>
                <c:ptCount val="1"/>
                <c:pt idx="0">
                  <c:v>-0.12990381056766578</c:v>
                </c:pt>
              </c:numCache>
            </c:numRef>
          </c:yVal>
          <c:smooth val="0"/>
          <c:extLst>
            <c:ext xmlns:c15="http://schemas.microsoft.com/office/drawing/2012/chart" uri="{02D57815-91ED-43cb-92C2-25804820EDAC}">
              <c15:datalabelsRange>
                <c15:f>HelpTernaryPlot!$AG$10</c15:f>
                <c15:dlblRangeCache>
                  <c:ptCount val="1"/>
                  <c:pt idx="0">
                    <c:v>x_ethane</c:v>
                  </c:pt>
                </c15:dlblRangeCache>
              </c15:datalabelsRange>
            </c:ext>
            <c:ext xmlns:c16="http://schemas.microsoft.com/office/drawing/2014/chart" uri="{C3380CC4-5D6E-409C-BE32-E72D297353CC}">
              <c16:uniqueId val="{00000068-7802-4EDC-B564-CA1B1826FAEA}"/>
            </c:ext>
          </c:extLst>
        </c:ser>
        <c:ser>
          <c:idx val="9"/>
          <c:order val="8"/>
          <c:tx>
            <c:strRef>
              <c:f>HelpTernaryPlot!$AK$3</c:f>
              <c:strCache>
                <c:ptCount val="1"/>
                <c:pt idx="0">
                  <c:v>B axis label</c:v>
                </c:pt>
              </c:strCache>
            </c:strRef>
          </c:tx>
          <c:spPr>
            <a:ln>
              <a:noFill/>
            </a:ln>
          </c:spPr>
          <c:marker>
            <c:symbol val="none"/>
          </c:marker>
          <c:dLbls>
            <c:dLbl>
              <c:idx val="0"/>
              <c:tx>
                <c:rich>
                  <a:bodyPr/>
                  <a:lstStyle/>
                  <a:p>
                    <a:fld id="{051BCA3A-CA2C-4604-B2C9-CABA241A65D2}" type="CELLRANGE">
                      <a:rPr lang="en-US"/>
                      <a:pPr/>
                      <a:t>[ZELLBEREICH]</a:t>
                    </a:fld>
                    <a:endParaRPr lang="de-DE"/>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9-7802-4EDC-B564-CA1B1826FAEA}"/>
                </c:ext>
              </c:extLst>
            </c:dLbl>
            <c:spPr>
              <a:noFill/>
              <a:ln>
                <a:noFill/>
              </a:ln>
              <a:effectLst/>
            </c:spPr>
            <c:txPr>
              <a:bodyPr rot="3600000" wrap="square" lIns="0" tIns="0" rIns="0" bIns="0" anchor="ctr">
                <a:spAutoFit/>
              </a:bodyPr>
              <a:lstStyle/>
              <a:p>
                <a:pPr>
                  <a:defRPr/>
                </a:pPr>
                <a:endParaRPr lang="de-DE"/>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HelpTernaryPlot!$AK$11</c:f>
              <c:numCache>
                <c:formatCode>General</c:formatCode>
                <c:ptCount val="1"/>
                <c:pt idx="0">
                  <c:v>0.9</c:v>
                </c:pt>
              </c:numCache>
            </c:numRef>
          </c:xVal>
          <c:yVal>
            <c:numRef>
              <c:f>HelpTernaryPlot!$AL$11</c:f>
              <c:numCache>
                <c:formatCode>General</c:formatCode>
                <c:ptCount val="1"/>
                <c:pt idx="0">
                  <c:v>0.5</c:v>
                </c:pt>
              </c:numCache>
            </c:numRef>
          </c:yVal>
          <c:smooth val="0"/>
          <c:extLst>
            <c:ext xmlns:c15="http://schemas.microsoft.com/office/drawing/2012/chart" uri="{02D57815-91ED-43cb-92C2-25804820EDAC}">
              <c15:datalabelsRange>
                <c15:f>HelpTernaryPlot!$AG$11</c15:f>
                <c15:dlblRangeCache>
                  <c:ptCount val="1"/>
                  <c:pt idx="0">
                    <c:v>x_methane</c:v>
                  </c:pt>
                </c15:dlblRangeCache>
              </c15:datalabelsRange>
            </c:ext>
            <c:ext xmlns:c16="http://schemas.microsoft.com/office/drawing/2014/chart" uri="{C3380CC4-5D6E-409C-BE32-E72D297353CC}">
              <c16:uniqueId val="{0000006A-7802-4EDC-B564-CA1B1826FAEA}"/>
            </c:ext>
          </c:extLst>
        </c:ser>
        <c:ser>
          <c:idx val="10"/>
          <c:order val="9"/>
          <c:tx>
            <c:strRef>
              <c:f>HelpTernaryPlot!$AN$3</c:f>
              <c:strCache>
                <c:ptCount val="1"/>
                <c:pt idx="0">
                  <c:v>C axis label</c:v>
                </c:pt>
              </c:strCache>
            </c:strRef>
          </c:tx>
          <c:spPr>
            <a:ln>
              <a:noFill/>
            </a:ln>
          </c:spPr>
          <c:marker>
            <c:symbol val="none"/>
          </c:marker>
          <c:dLbls>
            <c:dLbl>
              <c:idx val="0"/>
              <c:tx>
                <c:rich>
                  <a:bodyPr/>
                  <a:lstStyle/>
                  <a:p>
                    <a:fld id="{D61AD142-9E39-403D-8F70-C24CEA3CC44D}" type="CELLRANGE">
                      <a:rPr lang="en-US"/>
                      <a:pPr/>
                      <a:t>[ZELLBEREICH]</a:t>
                    </a:fld>
                    <a:endParaRPr lang="de-DE"/>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B-7802-4EDC-B564-CA1B1826FAEA}"/>
                </c:ext>
              </c:extLst>
            </c:dLbl>
            <c:spPr>
              <a:noFill/>
              <a:ln>
                <a:noFill/>
              </a:ln>
              <a:effectLst/>
            </c:spPr>
            <c:txPr>
              <a:bodyPr rot="-3600000" wrap="square" lIns="0" tIns="0" rIns="0" bIns="0" anchor="ctr">
                <a:spAutoFit/>
              </a:bodyPr>
              <a:lstStyle/>
              <a:p>
                <a:pPr>
                  <a:defRPr/>
                </a:pPr>
                <a:endParaRPr lang="de-DE"/>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HelpTernaryPlot!$AN$12</c:f>
              <c:numCache>
                <c:formatCode>General</c:formatCode>
                <c:ptCount val="1"/>
                <c:pt idx="0">
                  <c:v>0.1</c:v>
                </c:pt>
              </c:numCache>
            </c:numRef>
          </c:xVal>
          <c:yVal>
            <c:numRef>
              <c:f>HelpTernaryPlot!$AO$12</c:f>
              <c:numCache>
                <c:formatCode>General</c:formatCode>
                <c:ptCount val="1"/>
                <c:pt idx="0">
                  <c:v>0.5</c:v>
                </c:pt>
              </c:numCache>
            </c:numRef>
          </c:yVal>
          <c:smooth val="0"/>
          <c:extLst>
            <c:ext xmlns:c15="http://schemas.microsoft.com/office/drawing/2012/chart" uri="{02D57815-91ED-43cb-92C2-25804820EDAC}">
              <c15:datalabelsRange>
                <c15:f>HelpTernaryPlot!$AG$12</c15:f>
                <c15:dlblRangeCache>
                  <c:ptCount val="1"/>
                  <c:pt idx="0">
                    <c:v>x_nitrogen</c:v>
                  </c:pt>
                </c15:dlblRangeCache>
              </c15:datalabelsRange>
            </c:ext>
            <c:ext xmlns:c16="http://schemas.microsoft.com/office/drawing/2014/chart" uri="{C3380CC4-5D6E-409C-BE32-E72D297353CC}">
              <c16:uniqueId val="{0000006C-7802-4EDC-B564-CA1B1826FAEA}"/>
            </c:ext>
          </c:extLst>
        </c:ser>
        <c:ser>
          <c:idx val="0"/>
          <c:order val="10"/>
          <c:tx>
            <c:strRef>
              <c:f>HelpTernaryPlot!$A$2</c:f>
              <c:strCache>
                <c:ptCount val="1"/>
                <c:pt idx="0">
                  <c:v>Outline</c:v>
                </c:pt>
              </c:strCache>
            </c:strRef>
          </c:tx>
          <c:spPr>
            <a:ln w="12700">
              <a:solidFill>
                <a:srgbClr xmlns:mc="http://schemas.openxmlformats.org/markup-compatibility/2006" xmlns:a14="http://schemas.microsoft.com/office/drawing/2010/main" val="000000" mc:Ignorable="a14" a14:legacySpreadsheetColorIndex="64"/>
              </a:solidFill>
            </a:ln>
          </c:spPr>
          <c:marker>
            <c:symbol val="none"/>
          </c:marker>
          <c:xVal>
            <c:numRef>
              <c:f>HelpTernaryPlot!$D$9:$D$12</c:f>
              <c:numCache>
                <c:formatCode>General</c:formatCode>
                <c:ptCount val="4"/>
                <c:pt idx="0">
                  <c:v>0</c:v>
                </c:pt>
                <c:pt idx="1">
                  <c:v>1</c:v>
                </c:pt>
                <c:pt idx="2">
                  <c:v>0.5</c:v>
                </c:pt>
                <c:pt idx="3">
                  <c:v>0</c:v>
                </c:pt>
              </c:numCache>
            </c:numRef>
          </c:xVal>
          <c:yVal>
            <c:numRef>
              <c:f>HelpTernaryPlot!$E$9:$E$12</c:f>
              <c:numCache>
                <c:formatCode>General</c:formatCode>
                <c:ptCount val="4"/>
                <c:pt idx="0">
                  <c:v>0</c:v>
                </c:pt>
                <c:pt idx="1">
                  <c:v>0</c:v>
                </c:pt>
                <c:pt idx="2">
                  <c:v>0.8660254037844386</c:v>
                </c:pt>
                <c:pt idx="3">
                  <c:v>0</c:v>
                </c:pt>
              </c:numCache>
            </c:numRef>
          </c:yVal>
          <c:smooth val="0"/>
          <c:extLst>
            <c:ext xmlns:c16="http://schemas.microsoft.com/office/drawing/2014/chart" uri="{C3380CC4-5D6E-409C-BE32-E72D297353CC}">
              <c16:uniqueId val="{0000006D-7802-4EDC-B564-CA1B1826FAEA}"/>
            </c:ext>
          </c:extLst>
        </c:ser>
        <c:dLbls>
          <c:showLegendKey val="0"/>
          <c:showVal val="0"/>
          <c:showCatName val="0"/>
          <c:showSerName val="0"/>
          <c:showPercent val="0"/>
          <c:showBubbleSize val="0"/>
        </c:dLbls>
        <c:axId val="444046720"/>
        <c:axId val="444126336"/>
      </c:scatterChart>
      <c:valAx>
        <c:axId val="444046720"/>
        <c:scaling>
          <c:orientation val="minMax"/>
          <c:max val="1.2"/>
          <c:min val="-0.2"/>
        </c:scaling>
        <c:delete val="1"/>
        <c:axPos val="b"/>
        <c:numFmt formatCode="0.00" sourceLinked="1"/>
        <c:majorTickMark val="out"/>
        <c:minorTickMark val="none"/>
        <c:tickLblPos val="nextTo"/>
        <c:crossAx val="444126336"/>
        <c:crosses val="autoZero"/>
        <c:crossBetween val="midCat"/>
      </c:valAx>
      <c:valAx>
        <c:axId val="444126336"/>
        <c:scaling>
          <c:orientation val="minMax"/>
          <c:max val="1.1000000000000001"/>
          <c:min val="-0.30000000000000004"/>
        </c:scaling>
        <c:delete val="1"/>
        <c:axPos val="l"/>
        <c:numFmt formatCode="0.00" sourceLinked="1"/>
        <c:majorTickMark val="out"/>
        <c:minorTickMark val="none"/>
        <c:tickLblPos val="nextTo"/>
        <c:crossAx val="444046720"/>
        <c:crosses val="autoZero"/>
        <c:crossBetween val="midCat"/>
      </c:valAx>
      <c:spPr>
        <a:ln>
          <a:solidFill>
            <a:schemeClr val="bg1">
              <a:lumMod val="75000"/>
            </a:schemeClr>
          </a:solidFill>
        </a:ln>
      </c:spPr>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13</xdr:col>
      <xdr:colOff>53228</xdr:colOff>
      <xdr:row>3</xdr:row>
      <xdr:rowOff>43143</xdr:rowOff>
    </xdr:from>
    <xdr:to>
      <xdr:col>17</xdr:col>
      <xdr:colOff>740933</xdr:colOff>
      <xdr:row>10</xdr:row>
      <xdr:rowOff>60287</xdr:rowOff>
    </xdr:to>
    <xdr:pic>
      <xdr:nvPicPr>
        <xdr:cNvPr id="1921" name="Grafik 1" descr="TREND Logo.jpg">
          <a:extLst>
            <a:ext uri="{FF2B5EF4-FFF2-40B4-BE49-F238E27FC236}">
              <a16:creationId xmlns:a16="http://schemas.microsoft.com/office/drawing/2014/main" id="{00000000-0008-0000-0300-00008107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004552" y="513790"/>
          <a:ext cx="3739515" cy="14367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64882</xdr:colOff>
      <xdr:row>2</xdr:row>
      <xdr:rowOff>198345</xdr:rowOff>
    </xdr:from>
    <xdr:to>
      <xdr:col>5</xdr:col>
      <xdr:colOff>7624882</xdr:colOff>
      <xdr:row>35</xdr:row>
      <xdr:rowOff>22320</xdr:rowOff>
    </xdr:to>
    <xdr:graphicFrame macro="">
      <xdr:nvGraphicFramePr>
        <xdr:cNvPr id="2494565" name="Diagramm 1">
          <a:extLst>
            <a:ext uri="{FF2B5EF4-FFF2-40B4-BE49-F238E27FC236}">
              <a16:creationId xmlns:a16="http://schemas.microsoft.com/office/drawing/2014/main" id="{00000000-0008-0000-0F00-000065102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64882</xdr:colOff>
      <xdr:row>35</xdr:row>
      <xdr:rowOff>26210</xdr:rowOff>
    </xdr:from>
    <xdr:to>
      <xdr:col>5</xdr:col>
      <xdr:colOff>7624882</xdr:colOff>
      <xdr:row>67</xdr:row>
      <xdr:rowOff>15523</xdr:rowOff>
    </xdr:to>
    <xdr:graphicFrame macro="">
      <xdr:nvGraphicFramePr>
        <xdr:cNvPr id="2494566" name="Diagramm 1">
          <a:extLst>
            <a:ext uri="{FF2B5EF4-FFF2-40B4-BE49-F238E27FC236}">
              <a16:creationId xmlns:a16="http://schemas.microsoft.com/office/drawing/2014/main" id="{00000000-0008-0000-0F00-000066102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64882</xdr:colOff>
      <xdr:row>67</xdr:row>
      <xdr:rowOff>6194</xdr:rowOff>
    </xdr:from>
    <xdr:to>
      <xdr:col>5</xdr:col>
      <xdr:colOff>7624882</xdr:colOff>
      <xdr:row>99</xdr:row>
      <xdr:rowOff>30194</xdr:rowOff>
    </xdr:to>
    <xdr:graphicFrame macro="">
      <xdr:nvGraphicFramePr>
        <xdr:cNvPr id="2494567" name="Diagramm 1">
          <a:extLst>
            <a:ext uri="{FF2B5EF4-FFF2-40B4-BE49-F238E27FC236}">
              <a16:creationId xmlns:a16="http://schemas.microsoft.com/office/drawing/2014/main" id="{00000000-0008-0000-0F00-000067102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53788</xdr:colOff>
      <xdr:row>2</xdr:row>
      <xdr:rowOff>197223</xdr:rowOff>
    </xdr:from>
    <xdr:to>
      <xdr:col>5</xdr:col>
      <xdr:colOff>7613788</xdr:colOff>
      <xdr:row>33</xdr:row>
      <xdr:rowOff>115390</xdr:rowOff>
    </xdr:to>
    <xdr:graphicFrame macro="">
      <xdr:nvGraphicFramePr>
        <xdr:cNvPr id="2" name="Diagramm 1">
          <a:extLst>
            <a:ext uri="{FF2B5EF4-FFF2-40B4-BE49-F238E27FC236}">
              <a16:creationId xmlns:a16="http://schemas.microsoft.com/office/drawing/2014/main" id="{00000000-0008-0000-1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53788</xdr:colOff>
      <xdr:row>33</xdr:row>
      <xdr:rowOff>110440</xdr:rowOff>
    </xdr:from>
    <xdr:to>
      <xdr:col>5</xdr:col>
      <xdr:colOff>7613788</xdr:colOff>
      <xdr:row>64</xdr:row>
      <xdr:rowOff>29665</xdr:rowOff>
    </xdr:to>
    <xdr:graphicFrame macro="">
      <xdr:nvGraphicFramePr>
        <xdr:cNvPr id="5" name="Diagramm 4">
          <a:extLst>
            <a:ext uri="{FF2B5EF4-FFF2-40B4-BE49-F238E27FC236}">
              <a16:creationId xmlns:a16="http://schemas.microsoft.com/office/drawing/2014/main" id="{00000000-0008-0000-1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284007</xdr:colOff>
      <xdr:row>3</xdr:row>
      <xdr:rowOff>5041</xdr:rowOff>
    </xdr:from>
    <xdr:to>
      <xdr:col>6</xdr:col>
      <xdr:colOff>6552840</xdr:colOff>
      <xdr:row>32</xdr:row>
      <xdr:rowOff>110499</xdr:rowOff>
    </xdr:to>
    <xdr:grpSp>
      <xdr:nvGrpSpPr>
        <xdr:cNvPr id="4" name="Gruppieren 3">
          <a:extLst>
            <a:ext uri="{FF2B5EF4-FFF2-40B4-BE49-F238E27FC236}">
              <a16:creationId xmlns:a16="http://schemas.microsoft.com/office/drawing/2014/main" id="{4C189076-E0E8-467F-8CE6-A2639608B3DC}"/>
            </a:ext>
          </a:extLst>
        </xdr:cNvPr>
        <xdr:cNvGrpSpPr>
          <a:grpSpLocks noChangeAspect="1"/>
        </xdr:cNvGrpSpPr>
      </xdr:nvGrpSpPr>
      <xdr:grpSpPr>
        <a:xfrm>
          <a:off x="3533090" y="640041"/>
          <a:ext cx="7560000" cy="5936875"/>
          <a:chOff x="2513702" y="614643"/>
          <a:chExt cx="7560000" cy="5905421"/>
        </a:xfrm>
      </xdr:grpSpPr>
      <xdr:graphicFrame macro="">
        <xdr:nvGraphicFramePr>
          <xdr:cNvPr id="2" name="Diagramm 1">
            <a:extLst>
              <a:ext uri="{FF2B5EF4-FFF2-40B4-BE49-F238E27FC236}">
                <a16:creationId xmlns:a16="http://schemas.microsoft.com/office/drawing/2014/main" id="{00000000-0008-0000-2200-000002000000}"/>
              </a:ext>
            </a:extLst>
          </xdr:cNvPr>
          <xdr:cNvGraphicFramePr>
            <a:graphicFrameLocks noChangeAspect="1"/>
          </xdr:cNvGraphicFramePr>
        </xdr:nvGraphicFramePr>
        <xdr:xfrm>
          <a:off x="2513702" y="614643"/>
          <a:ext cx="7560000" cy="5905421"/>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Rechteck 2">
            <a:extLst>
              <a:ext uri="{FF2B5EF4-FFF2-40B4-BE49-F238E27FC236}">
                <a16:creationId xmlns:a16="http://schemas.microsoft.com/office/drawing/2014/main" id="{B1750A02-10F3-48B2-9F82-C9BBADEE4FC3}"/>
              </a:ext>
            </a:extLst>
          </xdr:cNvPr>
          <xdr:cNvSpPr/>
        </xdr:nvSpPr>
        <xdr:spPr>
          <a:xfrm>
            <a:off x="8474285" y="1315117"/>
            <a:ext cx="1257300" cy="26860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66675</xdr:colOff>
      <xdr:row>12</xdr:row>
      <xdr:rowOff>104775</xdr:rowOff>
    </xdr:from>
    <xdr:to>
      <xdr:col>13</xdr:col>
      <xdr:colOff>94690</xdr:colOff>
      <xdr:row>38</xdr:row>
      <xdr:rowOff>71719</xdr:rowOff>
    </xdr:to>
    <xdr:graphicFrame macro="">
      <xdr:nvGraphicFramePr>
        <xdr:cNvPr id="2" name="Diagramm 1">
          <a:extLst>
            <a:ext uri="{FF2B5EF4-FFF2-40B4-BE49-F238E27FC236}">
              <a16:creationId xmlns:a16="http://schemas.microsoft.com/office/drawing/2014/main" id="{00000000-0008-0000-2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85725</xdr:colOff>
      <xdr:row>1</xdr:row>
      <xdr:rowOff>939</xdr:rowOff>
    </xdr:from>
    <xdr:to>
      <xdr:col>11</xdr:col>
      <xdr:colOff>409576</xdr:colOff>
      <xdr:row>27</xdr:row>
      <xdr:rowOff>102715</xdr:rowOff>
    </xdr:to>
    <xdr:pic>
      <xdr:nvPicPr>
        <xdr:cNvPr id="1000975" name="Grafik 3">
          <a:extLst>
            <a:ext uri="{FF2B5EF4-FFF2-40B4-BE49-F238E27FC236}">
              <a16:creationId xmlns:a16="http://schemas.microsoft.com/office/drawing/2014/main" id="{00000000-0008-0000-4000-00000F460F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4352925" y="162864"/>
          <a:ext cx="7191375" cy="5398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kumente/Tortoise_Datenaustausch/trunk/TREND%204.0/TREND.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REND.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Properties-Expert"/>
      <sheetName val="Phase envelope"/>
      <sheetName val="Flash"/>
      <sheetName val="Composition"/>
      <sheetName val="Rankine Cycle"/>
    </sheetNames>
    <sheetDataSet>
      <sheetData sheetId="0" refreshError="1"/>
      <sheetData sheetId="1" refreshError="1"/>
      <sheetData sheetId="2" refreshError="1"/>
      <sheetData sheetId="3" refreshError="1"/>
      <sheetData sheetId="4" refreshError="1"/>
      <sheetData sheetId="5" refreshError="1">
        <row r="7">
          <cell r="C7">
            <v>290</v>
          </cell>
        </row>
        <row r="8">
          <cell r="C8">
            <v>783</v>
          </cell>
        </row>
        <row r="9">
          <cell r="C9">
            <v>195</v>
          </cell>
        </row>
        <row r="10">
          <cell r="C10">
            <v>0.1</v>
          </cell>
        </row>
        <row r="14">
          <cell r="C14">
            <v>0.9</v>
          </cell>
        </row>
        <row r="15">
          <cell r="C15">
            <v>0.85</v>
          </cell>
        </row>
        <row r="21">
          <cell r="C21">
            <v>15</v>
          </cell>
        </row>
        <row r="62">
          <cell r="G62" t="e">
            <v>#NAME?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Descriptions"/>
      <sheetName val="ArgDescriptions"/>
      <sheetName val="_IntelliSense_"/>
    </sheetNames>
    <definedNames>
      <definedName name="ALLEOS"/>
      <definedName name="ALLHOMEOS"/>
      <definedName name="ANCEQ"/>
      <definedName name="CASFROMFLUID"/>
      <definedName name="COMP"/>
      <definedName name="ERRORTEXT"/>
      <definedName name="FLASH3EXPERT"/>
      <definedName name="FLASHEOS"/>
      <definedName name="FLASHEXPERT"/>
      <definedName name="FUGCOEFFEOS"/>
      <definedName name="GAMMATFEOS"/>
      <definedName name="LiteratureReference"/>
      <definedName name="PROPUNIT"/>
      <definedName name="PTDIAGEOS"/>
      <definedName name="PTXDIAGEOS"/>
      <definedName name="TERNARYDIAGEOS"/>
      <definedName name="TRENDEOS"/>
      <definedName name="TrendReleaseInfo"/>
      <definedName name="TRENDSPECEOS"/>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blProperties"/>
  <dimension ref="A1:AE183"/>
  <sheetViews>
    <sheetView tabSelected="1" topLeftCell="A157" zoomScale="90" zoomScaleNormal="90" workbookViewId="0">
      <selection activeCell="T179" sqref="T179"/>
    </sheetView>
  </sheetViews>
  <sheetFormatPr baseColWidth="10" defaultColWidth="11.42578125" defaultRowHeight="15"/>
  <cols>
    <col min="1" max="1" width="15.7109375" style="3" customWidth="1"/>
    <col min="2" max="2" width="13.7109375" style="3" customWidth="1"/>
    <col min="3" max="4" width="9.7109375" style="3" customWidth="1"/>
    <col min="5" max="5" width="3.7109375" style="111" customWidth="1"/>
    <col min="6" max="6" width="18.7109375" style="3" customWidth="1"/>
    <col min="7" max="7" width="54.7109375" style="3" customWidth="1"/>
    <col min="8" max="8" width="15" style="3" customWidth="1"/>
    <col min="9" max="9" width="14.7109375" style="3" customWidth="1"/>
    <col min="10" max="10" width="19.85546875" style="3" customWidth="1"/>
    <col min="11" max="11" width="13.42578125" style="3" customWidth="1"/>
    <col min="12" max="12" width="12.85546875" style="3" customWidth="1"/>
    <col min="13" max="17" width="11.42578125" style="3"/>
    <col min="18" max="18" width="11.42578125" style="3" customWidth="1"/>
    <col min="19" max="19" width="11.42578125" style="3"/>
    <col min="20" max="20" width="11.42578125" style="3" customWidth="1"/>
    <col min="21" max="16384" width="11.42578125" style="3"/>
  </cols>
  <sheetData>
    <row r="1" spans="1:19">
      <c r="D1"/>
      <c r="G1"/>
    </row>
    <row r="2" spans="1:19" ht="18.75">
      <c r="A2" s="6" t="s">
        <v>14</v>
      </c>
      <c r="B2" s="15"/>
      <c r="C2" s="7"/>
      <c r="D2" s="7"/>
      <c r="E2" s="112"/>
      <c r="F2" s="68" t="s">
        <v>44</v>
      </c>
      <c r="G2"/>
      <c r="H2" s="10"/>
    </row>
    <row r="3" spans="1:19" ht="15.75" customHeight="1">
      <c r="A3" s="10"/>
    </row>
    <row r="4" spans="1:19" ht="16.350000000000001" customHeight="1">
      <c r="A4" s="2" t="s">
        <v>0</v>
      </c>
      <c r="B4" s="173"/>
      <c r="C4" s="243"/>
      <c r="D4" s="90"/>
      <c r="F4" s="73" t="s">
        <v>25</v>
      </c>
      <c r="G4" s="74" t="s">
        <v>15</v>
      </c>
      <c r="H4" s="11" t="s">
        <v>26</v>
      </c>
      <c r="I4" s="11" t="s">
        <v>247</v>
      </c>
      <c r="J4" s="96" t="s">
        <v>17</v>
      </c>
      <c r="K4" s="99" t="s">
        <v>16</v>
      </c>
      <c r="M4" s="330" t="s">
        <v>416</v>
      </c>
    </row>
    <row r="5" spans="1:19" ht="16.350000000000001" customHeight="1">
      <c r="A5" s="5"/>
      <c r="F5" s="134" t="s">
        <v>157</v>
      </c>
      <c r="G5" s="135"/>
      <c r="H5" s="135"/>
      <c r="I5" s="135"/>
      <c r="J5" s="135"/>
      <c r="K5" s="136"/>
      <c r="L5" s="90"/>
    </row>
    <row r="6" spans="1:19" ht="16.350000000000001" customHeight="1">
      <c r="A6" s="127" t="s">
        <v>13</v>
      </c>
      <c r="B6" s="266" t="s">
        <v>318</v>
      </c>
      <c r="F6" s="315" t="s">
        <v>351</v>
      </c>
      <c r="G6" s="91" t="s">
        <v>3</v>
      </c>
      <c r="H6" s="16" t="s">
        <v>28</v>
      </c>
      <c r="I6" s="182" t="s">
        <v>28</v>
      </c>
      <c r="J6" s="97" t="str">
        <f>[2]!PROPUNIT(I6,Unit,ShowErrorCode)</f>
        <v>K</v>
      </c>
      <c r="K6" s="84">
        <f>[2]!TRENDEOS(I6,InputCode,Prop1,Prop2,Fluids,Composition,EqType,MixRules,EOSPath,Unit,ShowErrorCode)</f>
        <v>300</v>
      </c>
      <c r="L6" s="95"/>
      <c r="M6" s="93" t="str">
        <f>[2]!ERRORTEXT(K6)</f>
        <v/>
      </c>
      <c r="S6" s="12"/>
    </row>
    <row r="7" spans="1:19" ht="16.350000000000001" customHeight="1">
      <c r="A7" s="127" t="s">
        <v>11</v>
      </c>
      <c r="B7" s="174">
        <v>300</v>
      </c>
      <c r="C7" s="3" t="str">
        <f>[2]!PROPUNIT(LEFT(B6,1),Unit,ShowErrorCode)</f>
        <v>K</v>
      </c>
      <c r="F7" s="102" t="s">
        <v>351</v>
      </c>
      <c r="G7" s="91" t="s">
        <v>2</v>
      </c>
      <c r="H7" s="17" t="s">
        <v>27</v>
      </c>
      <c r="I7" s="182" t="s">
        <v>158</v>
      </c>
      <c r="J7" s="98" t="str">
        <f>[2]!PROPUNIT(I7,Unit,ShowErrorCode)</f>
        <v>mol/m3</v>
      </c>
      <c r="K7" s="84">
        <f>[2]!TRENDEOS(I7,InputCode,Prop1,Prop2,Fluids,Composition,EqType,MixRules,EOSPath,Unit,ShowErrorCode)</f>
        <v>21265.66665660276</v>
      </c>
      <c r="L7" s="94"/>
      <c r="M7" s="93" t="str">
        <f>[2]!ERRORTEXT(K7)</f>
        <v/>
      </c>
      <c r="S7" s="12"/>
    </row>
    <row r="8" spans="1:19" ht="16.350000000000001" customHeight="1">
      <c r="A8" s="127" t="s">
        <v>12</v>
      </c>
      <c r="B8" s="175">
        <v>100</v>
      </c>
      <c r="C8" s="163" t="str">
        <f>_xlfn.IFS(LEN(TRIM(B6))&lt;4,[2]!PROPUNIT(MID(B6,2,1),B9,B10),LEN(B6)&gt;3,"-")</f>
        <v>MPa</v>
      </c>
      <c r="F8" s="102" t="s">
        <v>351</v>
      </c>
      <c r="G8" s="91" t="s">
        <v>4</v>
      </c>
      <c r="H8" s="16" t="s">
        <v>29</v>
      </c>
      <c r="I8" s="182" t="s">
        <v>182</v>
      </c>
      <c r="J8" s="98" t="str">
        <f>[2]!PROPUNIT(I8,Unit,ShowErrorCode)</f>
        <v>MPa</v>
      </c>
      <c r="K8" s="84">
        <f>[2]!TRENDEOS(I8,InputCode,Prop1,Prop2,Fluids,Composition,EqType,MixRules,EOSPath,Unit,ShowErrorCode)</f>
        <v>100</v>
      </c>
      <c r="L8" s="94"/>
      <c r="M8" s="93" t="str">
        <f>[2]!ERRORTEXT(K8)</f>
        <v/>
      </c>
      <c r="S8" s="12"/>
    </row>
    <row r="9" spans="1:19" ht="16.350000000000001" customHeight="1">
      <c r="A9" s="127" t="s">
        <v>17</v>
      </c>
      <c r="B9" s="176" t="s">
        <v>305</v>
      </c>
      <c r="F9" s="102" t="s">
        <v>351</v>
      </c>
      <c r="G9" s="91" t="s">
        <v>19</v>
      </c>
      <c r="H9" s="16" t="s">
        <v>31</v>
      </c>
      <c r="I9" s="182" t="s">
        <v>248</v>
      </c>
      <c r="J9" s="98" t="str">
        <f>[2]!PROPUNIT(I9,Unit,ShowErrorCode)</f>
        <v>J/mol</v>
      </c>
      <c r="K9" s="84">
        <f>[2]!TRENDEOS(I9,InputCode,Prop1,Prop2,Fluids,Composition,EqType,MixRules,EOSPath,Unit,ShowErrorCode)</f>
        <v>7086.5127742715104</v>
      </c>
      <c r="L9" s="94"/>
      <c r="M9" s="93" t="str">
        <f>[2]!ERRORTEXT(K9)</f>
        <v/>
      </c>
      <c r="S9" s="12"/>
    </row>
    <row r="10" spans="1:19" ht="16.350000000000001" customHeight="1">
      <c r="A10" s="127" t="s">
        <v>374</v>
      </c>
      <c r="B10" s="176" t="b">
        <v>1</v>
      </c>
      <c r="E10" s="113"/>
      <c r="F10" s="102" t="s">
        <v>351</v>
      </c>
      <c r="G10" s="91" t="s">
        <v>5</v>
      </c>
      <c r="H10" s="16" t="s">
        <v>30</v>
      </c>
      <c r="I10" s="182" t="s">
        <v>249</v>
      </c>
      <c r="J10" s="98" t="str">
        <f>[2]!PROPUNIT(I10,Unit,ShowErrorCode)</f>
        <v>J/mol</v>
      </c>
      <c r="K10" s="84">
        <f>[2]!TRENDEOS(I10,InputCode,Prop1,Prop2,Fluids,Composition,EqType,MixRules,EOSPath,Unit,ShowErrorCode)</f>
        <v>11788.928250578767</v>
      </c>
      <c r="L10" s="94"/>
      <c r="M10" s="93" t="str">
        <f>[2]!ERRORTEXT(K10)</f>
        <v/>
      </c>
      <c r="S10" s="12"/>
    </row>
    <row r="11" spans="1:19" ht="16.350000000000001" customHeight="1">
      <c r="A11" s="71"/>
      <c r="B11" s="71"/>
      <c r="C11" s="71"/>
      <c r="D11" s="71"/>
      <c r="F11" s="102" t="s">
        <v>351</v>
      </c>
      <c r="G11" s="91" t="s">
        <v>6</v>
      </c>
      <c r="H11" s="16" t="s">
        <v>32</v>
      </c>
      <c r="I11" s="182" t="s">
        <v>250</v>
      </c>
      <c r="J11" s="98" t="str">
        <f>[2]!PROPUNIT(I11,Unit,ShowErrorCode)</f>
        <v>J/(mol K)</v>
      </c>
      <c r="K11" s="84">
        <f>[2]!TRENDEOS(I11,InputCode,Prop1,Prop2,Fluids,Composition,EqType,MixRules,EOSPath,Unit,ShowErrorCode)</f>
        <v>40.125522640218762</v>
      </c>
      <c r="L11" s="94"/>
      <c r="M11" s="93" t="str">
        <f>[2]!ERRORTEXT(K11)</f>
        <v/>
      </c>
      <c r="S11" s="12"/>
    </row>
    <row r="12" spans="1:19" ht="16.350000000000001" customHeight="1">
      <c r="A12" s="2" t="s">
        <v>1</v>
      </c>
      <c r="B12" s="2" t="s">
        <v>354</v>
      </c>
      <c r="C12" s="2" t="s">
        <v>87</v>
      </c>
      <c r="D12" s="2" t="s">
        <v>88</v>
      </c>
      <c r="F12" s="102" t="s">
        <v>351</v>
      </c>
      <c r="G12" s="91" t="s">
        <v>9</v>
      </c>
      <c r="H12" s="16" t="s">
        <v>33</v>
      </c>
      <c r="I12" s="182" t="s">
        <v>229</v>
      </c>
      <c r="J12" s="98" t="str">
        <f>[2]!PROPUNIT(I12,Unit,ShowErrorCode)</f>
        <v>J/mol</v>
      </c>
      <c r="K12" s="84">
        <f>[2]!TRENDEOS(I12,InputCode,Prop1,Prop2,Fluids,Composition,EqType,MixRules,EOSPath,Unit,ShowErrorCode)</f>
        <v>-248.72854148686426</v>
      </c>
      <c r="L12" s="94"/>
      <c r="M12" s="93" t="str">
        <f>[2]!ERRORTEXT(K12)</f>
        <v/>
      </c>
      <c r="N12" s="71" t="str">
        <f>[2]!TrendReleaseInfo()</f>
        <v>TREND 5.0 Prof. Dr.-Ing. Roland Span, Thermodynamics, Ruhr-Universität Bochum, 2020.</v>
      </c>
      <c r="S12" s="12"/>
    </row>
    <row r="13" spans="1:19" ht="16.350000000000001" customHeight="1">
      <c r="A13" s="177" t="s">
        <v>242</v>
      </c>
      <c r="B13" s="340">
        <f>1-SUM(B14:B32)</f>
        <v>1</v>
      </c>
      <c r="C13" s="179">
        <v>1</v>
      </c>
      <c r="D13" s="181">
        <v>1</v>
      </c>
      <c r="F13" s="102" t="s">
        <v>351</v>
      </c>
      <c r="G13" s="91" t="s">
        <v>10</v>
      </c>
      <c r="H13" s="16" t="s">
        <v>34</v>
      </c>
      <c r="I13" s="182" t="s">
        <v>251</v>
      </c>
      <c r="J13" s="98" t="str">
        <f>[2]!PROPUNIT(I13,Unit,ShowErrorCode)</f>
        <v>J/mol</v>
      </c>
      <c r="K13" s="84">
        <f>[2]!TRENDEOS(I13,InputCode,Prop1,Prop2,Fluids,Composition,EqType,MixRules,EOSPath,Unit,ShowErrorCode)</f>
        <v>-4951.1440177941195</v>
      </c>
      <c r="L13" s="94"/>
      <c r="M13" s="93" t="str">
        <f>[2]!ERRORTEXT(K13)</f>
        <v/>
      </c>
      <c r="S13" s="12"/>
    </row>
    <row r="14" spans="1:19" ht="16.350000000000001" customHeight="1">
      <c r="A14" s="177"/>
      <c r="B14" s="179"/>
      <c r="C14" s="179"/>
      <c r="F14" s="102" t="s">
        <v>351</v>
      </c>
      <c r="G14" s="91" t="s">
        <v>7</v>
      </c>
      <c r="H14" s="16" t="s">
        <v>59</v>
      </c>
      <c r="I14" s="182" t="s">
        <v>252</v>
      </c>
      <c r="J14" s="98" t="str">
        <f>[2]!PROPUNIT(I14,Unit,ShowErrorCode)</f>
        <v>J/(mol K)</v>
      </c>
      <c r="K14" s="84">
        <f>[2]!TRENDEOS(I14,InputCode,Prop1,Prop2,Fluids,Composition,EqType,MixRules,EOSPath,Unit,ShowErrorCode)</f>
        <v>48.28121160991541</v>
      </c>
      <c r="L14" s="94"/>
      <c r="M14" s="93" t="str">
        <f>[2]!ERRORTEXT(K14)</f>
        <v/>
      </c>
    </row>
    <row r="15" spans="1:19" ht="16.350000000000001" customHeight="1">
      <c r="A15" s="177"/>
      <c r="B15" s="179"/>
      <c r="C15" s="179"/>
      <c r="F15" s="102" t="s">
        <v>351</v>
      </c>
      <c r="G15" s="91" t="s">
        <v>8</v>
      </c>
      <c r="H15" s="16" t="s">
        <v>60</v>
      </c>
      <c r="I15" s="182" t="s">
        <v>253</v>
      </c>
      <c r="J15" s="98" t="str">
        <f>[2]!PROPUNIT(I15,Unit,ShowErrorCode)</f>
        <v>J/(mol K)</v>
      </c>
      <c r="K15" s="84">
        <f>[2]!TRENDEOS(I15,InputCode,Prop1,Prop2,Fluids,Composition,EqType,MixRules,EOSPath,Unit,ShowErrorCode)</f>
        <v>31.822817371250895</v>
      </c>
      <c r="L15" s="94"/>
      <c r="M15" s="93" t="str">
        <f>[2]!ERRORTEXT(K15)</f>
        <v/>
      </c>
    </row>
    <row r="16" spans="1:19" ht="16.350000000000001" customHeight="1">
      <c r="A16" s="177"/>
      <c r="B16" s="179"/>
      <c r="C16" s="179"/>
      <c r="F16" s="102" t="s">
        <v>351</v>
      </c>
      <c r="G16" s="91" t="s">
        <v>18</v>
      </c>
      <c r="H16" s="16" t="s">
        <v>61</v>
      </c>
      <c r="I16" s="182" t="s">
        <v>254</v>
      </c>
      <c r="J16" s="98" t="str">
        <f>[2]!PROPUNIT(I16,Unit,ShowErrorCode)</f>
        <v>m/s</v>
      </c>
      <c r="K16" s="84">
        <f>[2]!TRENDEOS(I16,InputCode,Prop1,Prop2,Fluids,Composition,EqType,MixRules,EOSPath,Unit,ShowErrorCode)</f>
        <v>1267.5226086311291</v>
      </c>
      <c r="L16" s="94"/>
      <c r="M16" s="93" t="str">
        <f>[2]!ERRORTEXT(K16)</f>
        <v/>
      </c>
    </row>
    <row r="17" spans="1:19" ht="16.350000000000001" customHeight="1">
      <c r="A17" s="177"/>
      <c r="B17" s="179"/>
      <c r="C17" s="179"/>
      <c r="F17" s="102" t="s">
        <v>351</v>
      </c>
      <c r="G17" s="91" t="s">
        <v>166</v>
      </c>
      <c r="H17" s="16" t="s">
        <v>35</v>
      </c>
      <c r="I17" s="182" t="s">
        <v>255</v>
      </c>
      <c r="J17" s="98" t="str">
        <f>[2]!PROPUNIT(I17,Unit,ShowErrorCode)</f>
        <v>m3/mol</v>
      </c>
      <c r="K17" s="169">
        <f>[2]!TRENDEOS(I17,InputCode,Prop1,Prop2,Fluids,Composition,EqType,MixRules,EOSPath,Unit,ShowErrorCode)</f>
        <v>-4.2210049267348499E-5</v>
      </c>
      <c r="L17" s="170"/>
      <c r="M17" s="93" t="str">
        <f>[2]!ERRORTEXT(K17)</f>
        <v/>
      </c>
    </row>
    <row r="18" spans="1:19" ht="16.350000000000001" customHeight="1">
      <c r="A18" s="177"/>
      <c r="B18" s="180"/>
      <c r="C18" s="179"/>
      <c r="F18" s="102" t="s">
        <v>351</v>
      </c>
      <c r="G18" s="91" t="s">
        <v>167</v>
      </c>
      <c r="H18" s="16" t="s">
        <v>36</v>
      </c>
      <c r="I18" s="182" t="s">
        <v>256</v>
      </c>
      <c r="J18" s="98" t="str">
        <f>[2]!PROPUNIT(I18,Unit,ShowErrorCode)</f>
        <v>m6/mol2</v>
      </c>
      <c r="K18" s="169">
        <f>[2]!TRENDEOS(I18,InputCode,Prop1,Prop2,Fluids,Composition,EqType,MixRules,EOSPath,Unit,ShowErrorCode)</f>
        <v>2.4935394397198733E-9</v>
      </c>
      <c r="L18" s="170"/>
      <c r="M18" s="93" t="str">
        <f>[2]!ERRORTEXT(K18)</f>
        <v/>
      </c>
      <c r="S18" s="12"/>
    </row>
    <row r="19" spans="1:19" ht="16.350000000000001" customHeight="1">
      <c r="A19" s="178"/>
      <c r="B19" s="181"/>
      <c r="C19" s="181"/>
      <c r="F19" s="102" t="s">
        <v>351</v>
      </c>
      <c r="G19" s="91" t="s">
        <v>168</v>
      </c>
      <c r="H19" s="16" t="s">
        <v>158</v>
      </c>
      <c r="I19" s="182" t="s">
        <v>257</v>
      </c>
      <c r="J19" s="98" t="str">
        <f>[2]!PROPUNIT(I19,Unit,ShowErrorCode)</f>
        <v>m9/mol3</v>
      </c>
      <c r="K19" s="169">
        <f>[2]!TRENDEOS(I19,InputCode,Prop1,Prop2,Fluids,Composition,EqType,MixRules,EOSPath,Unit,ShowErrorCode)</f>
        <v>-4.6601856467427272E-14</v>
      </c>
      <c r="L19" s="76"/>
      <c r="M19" s="93" t="str">
        <f>[2]!ERRORTEXT(K19)</f>
        <v/>
      </c>
      <c r="S19" s="12"/>
    </row>
    <row r="20" spans="1:19" ht="16.350000000000001" customHeight="1">
      <c r="A20" s="178"/>
      <c r="B20" s="181"/>
      <c r="C20" s="181"/>
      <c r="F20" s="102" t="s">
        <v>351</v>
      </c>
      <c r="G20" s="91" t="s">
        <v>194</v>
      </c>
      <c r="H20" s="16" t="s">
        <v>192</v>
      </c>
      <c r="I20" s="182" t="s">
        <v>258</v>
      </c>
      <c r="J20" s="98" t="str">
        <f>[2]!PROPUNIT(I20,Unit,ShowErrorCode)</f>
        <v>m3/(mol K)</v>
      </c>
      <c r="K20" s="169">
        <f>[2]!TRENDEOS(I20,InputCode,Prop1,Prop2,Fluids,Composition,EqType,MixRules,EOSPath,Unit,ShowErrorCode)</f>
        <v>3.7533091278931807E-7</v>
      </c>
      <c r="L20" s="76"/>
      <c r="M20" s="93" t="str">
        <f>[2]!ERRORTEXT(K20)</f>
        <v/>
      </c>
      <c r="S20" s="12"/>
    </row>
    <row r="21" spans="1:19" ht="16.350000000000001" customHeight="1">
      <c r="A21" s="178"/>
      <c r="B21" s="181"/>
      <c r="C21" s="181"/>
      <c r="F21" s="102" t="s">
        <v>351</v>
      </c>
      <c r="G21" s="91" t="s">
        <v>195</v>
      </c>
      <c r="H21" s="16" t="s">
        <v>193</v>
      </c>
      <c r="I21" s="182" t="s">
        <v>259</v>
      </c>
      <c r="J21" s="98" t="str">
        <f>[2]!PROPUNIT(I21,Unit,ShowErrorCode)</f>
        <v>m6/(mol2 K)</v>
      </c>
      <c r="K21" s="169">
        <f>[2]!TRENDEOS(I21,InputCode,Prop1,Prop2,Fluids,Composition,EqType,MixRules,EOSPath,Unit,ShowErrorCode)</f>
        <v>-1.0111570566441373E-11</v>
      </c>
      <c r="L21" s="76"/>
      <c r="M21" s="93" t="str">
        <f>[2]!ERRORTEXT(K21)</f>
        <v/>
      </c>
      <c r="S21" s="12"/>
    </row>
    <row r="22" spans="1:19" ht="16.350000000000001" customHeight="1">
      <c r="A22" s="178"/>
      <c r="B22" s="181"/>
      <c r="C22" s="181"/>
      <c r="F22" s="102" t="s">
        <v>351</v>
      </c>
      <c r="G22" s="91" t="s">
        <v>206</v>
      </c>
      <c r="H22" s="16" t="s">
        <v>207</v>
      </c>
      <c r="I22" s="182" t="s">
        <v>260</v>
      </c>
      <c r="J22" s="98" t="str">
        <f>[2]!PROPUNIT(I22,Unit,ShowErrorCode)</f>
        <v>m3/mol</v>
      </c>
      <c r="K22" s="169">
        <f>[2]!TRENDEOS(I22,InputCode,Prop1,Prop2,Fluids,Composition,EqType,MixRules,EOSPath,Unit,ShowErrorCode)</f>
        <v>-5249</v>
      </c>
      <c r="M22" s="93" t="str">
        <f>[2]!ERRORTEXT(K22)</f>
        <v xml:space="preserve">	Property only available for binary mixtures</v>
      </c>
      <c r="S22" s="12"/>
    </row>
    <row r="23" spans="1:19" ht="16.350000000000001" customHeight="1">
      <c r="A23" s="178"/>
      <c r="B23" s="181"/>
      <c r="C23" s="181"/>
      <c r="F23" s="102" t="s">
        <v>351</v>
      </c>
      <c r="G23" s="91" t="s">
        <v>20</v>
      </c>
      <c r="H23" s="16" t="s">
        <v>78</v>
      </c>
      <c r="I23" s="182" t="s">
        <v>261</v>
      </c>
      <c r="J23" s="98" t="str">
        <f>[2]!PROPUNIT(I23,Unit,ShowErrorCode)</f>
        <v>J/(mol K)</v>
      </c>
      <c r="K23" s="84">
        <f>[2]!TRENDEOS(I23,InputCode,Prop1,Prop2,Fluids,Composition,EqType,MixRules,EOSPath,Unit,ShowErrorCode)</f>
        <v>35.777516279687823</v>
      </c>
      <c r="L23" s="94"/>
      <c r="M23" s="93" t="str">
        <f>[2]!ERRORTEXT(K23)</f>
        <v/>
      </c>
      <c r="S23" s="12"/>
    </row>
    <row r="24" spans="1:19" ht="16.350000000000001" customHeight="1">
      <c r="A24" s="178"/>
      <c r="B24" s="181"/>
      <c r="C24" s="181"/>
      <c r="F24" s="102" t="s">
        <v>351</v>
      </c>
      <c r="G24" s="91" t="s">
        <v>383</v>
      </c>
      <c r="H24" s="75" t="s">
        <v>371</v>
      </c>
      <c r="I24" s="182" t="s">
        <v>262</v>
      </c>
      <c r="J24" s="98" t="str">
        <f>[2]!PROPUNIT(I24,Unit,ShowErrorCode)</f>
        <v>mol/mol</v>
      </c>
      <c r="K24" s="84">
        <f t="array" ref="K24">[2]!TRENDEOS(I24,InputCode,Prop1,Prop2,Fluids,Composition,EqType,MixRules,EOSPath,Unit,ShowErrorCode)</f>
        <v>-6667</v>
      </c>
      <c r="L24" s="94"/>
      <c r="M24" s="93" t="str">
        <f>[2]!ERRORTEXT(K24)</f>
        <v xml:space="preserve">	Property in homogeneous region undefined</v>
      </c>
      <c r="S24" s="12"/>
    </row>
    <row r="25" spans="1:19" ht="16.350000000000001" customHeight="1">
      <c r="A25" s="178"/>
      <c r="B25" s="181"/>
      <c r="C25" s="181"/>
      <c r="F25" s="102" t="s">
        <v>351</v>
      </c>
      <c r="G25" s="91" t="s">
        <v>51</v>
      </c>
      <c r="H25" s="16" t="s">
        <v>52</v>
      </c>
      <c r="I25" s="182" t="s">
        <v>52</v>
      </c>
      <c r="J25" s="98" t="str">
        <f>[2]!PROPUNIT(I25,Unit,ShowErrorCode)</f>
        <v>-</v>
      </c>
      <c r="K25" s="84">
        <f>[2]!TRENDEOS(I25,InputCode,Prop1,Prop2,Fluids,Composition,EqType,MixRules,EOSPath,Unit,ShowErrorCode)</f>
        <v>1.8852245357041504</v>
      </c>
      <c r="M25" s="93" t="str">
        <f>[2]!ERRORTEXT(K25)</f>
        <v/>
      </c>
      <c r="S25" s="12"/>
    </row>
    <row r="26" spans="1:19" ht="16.350000000000001" customHeight="1">
      <c r="A26" s="178"/>
      <c r="B26" s="181"/>
      <c r="C26" s="181"/>
      <c r="F26" s="102" t="s">
        <v>351</v>
      </c>
      <c r="G26" s="91" t="s">
        <v>47</v>
      </c>
      <c r="H26" s="16" t="s">
        <v>208</v>
      </c>
      <c r="I26" s="182" t="s">
        <v>263</v>
      </c>
      <c r="J26" s="98" t="str">
        <f>[2]!PROPUNIT(I26,Unit,ShowErrorCode)</f>
        <v>MPa</v>
      </c>
      <c r="K26" s="84">
        <f>[2]!TRENDEOS(I26,InputCode,Prop1,Prop2,Fluids,Composition,EqType,MixRules,EOSPath,Unit,ShowErrorCode)</f>
        <v>-5700</v>
      </c>
      <c r="M26" s="93" t="str">
        <f>[2]!ERRORTEXT(K26)</f>
        <v xml:space="preserve">	Function PROP_EOS: Valid input combination for PNUMER_EOS is "TD" only</v>
      </c>
      <c r="S26" s="12"/>
    </row>
    <row r="27" spans="1:19" ht="16.350000000000001" customHeight="1">
      <c r="A27" s="178"/>
      <c r="B27" s="181"/>
      <c r="C27" s="181"/>
      <c r="F27" s="102" t="s">
        <v>351</v>
      </c>
      <c r="G27" s="91" t="s">
        <v>228</v>
      </c>
      <c r="H27" s="16" t="s">
        <v>225</v>
      </c>
      <c r="I27" s="182" t="s">
        <v>264</v>
      </c>
      <c r="J27" s="98" t="str">
        <f>[2]!PROPUNIT(I27,Unit,ShowErrorCode)</f>
        <v>m/s</v>
      </c>
      <c r="K27" s="84">
        <f>[2]!TRENDEOS(I27,InputCode,Prop1,Prop2,Fluids,Composition,EqType,MixRules,EOSPath,Unit,ShowErrorCode)</f>
        <v>-9955</v>
      </c>
      <c r="M27" s="93" t="str">
        <f>[2]!ERRORTEXT(K27)</f>
        <v xml:space="preserve">	Wrong Input (combination)</v>
      </c>
      <c r="S27" s="12"/>
    </row>
    <row r="28" spans="1:19" ht="16.350000000000001" customHeight="1">
      <c r="A28" s="178"/>
      <c r="B28" s="181"/>
      <c r="C28" s="181"/>
      <c r="F28" s="102" t="s">
        <v>351</v>
      </c>
      <c r="G28" s="91" t="s">
        <v>169</v>
      </c>
      <c r="H28" s="16" t="s">
        <v>159</v>
      </c>
      <c r="I28" s="182" t="s">
        <v>265</v>
      </c>
      <c r="J28" s="98" t="str">
        <f>[2]!PROPUNIT(I28,Unit,ShowErrorCode)</f>
        <v>1/K</v>
      </c>
      <c r="K28" s="84">
        <f>[2]!TRENDEOS(I28,InputCode,Prop1,Prop2,Fluids,Composition,EqType,MixRules,EOSPath,Unit,ShowErrorCode)</f>
        <v>1.7970372140520231E-3</v>
      </c>
      <c r="M28" s="93" t="str">
        <f>[2]!ERRORTEXT(K28)</f>
        <v/>
      </c>
      <c r="S28" s="12"/>
    </row>
    <row r="29" spans="1:19" ht="16.350000000000001" customHeight="1">
      <c r="A29" s="178"/>
      <c r="B29" s="181"/>
      <c r="C29" s="181"/>
      <c r="F29" s="102" t="s">
        <v>351</v>
      </c>
      <c r="G29" s="91" t="s">
        <v>176</v>
      </c>
      <c r="H29" s="17" t="s">
        <v>178</v>
      </c>
      <c r="I29" s="182" t="s">
        <v>266</v>
      </c>
      <c r="J29" s="98" t="str">
        <f>[2]!PROPUNIT(I29,Unit,ShowErrorCode)</f>
        <v>1/MPa</v>
      </c>
      <c r="K29" s="84">
        <f>[2]!TRENDEOS(I29,InputCode,Prop1,Prop2,Fluids,Composition,EqType,MixRules,EOSPath,Unit,ShowErrorCode)</f>
        <v>1.8244392198305073E-3</v>
      </c>
      <c r="M29" s="93" t="str">
        <f>[2]!ERRORTEXT(K29)</f>
        <v/>
      </c>
      <c r="S29" s="12"/>
    </row>
    <row r="30" spans="1:19" ht="16.350000000000001" customHeight="1">
      <c r="A30" s="178"/>
      <c r="B30" s="181"/>
      <c r="C30" s="181"/>
      <c r="F30" s="102" t="s">
        <v>351</v>
      </c>
      <c r="G30" s="91" t="s">
        <v>165</v>
      </c>
      <c r="H30" s="17" t="s">
        <v>179</v>
      </c>
      <c r="I30" s="182" t="s">
        <v>267</v>
      </c>
      <c r="J30" s="98" t="str">
        <f>[2]!PROPUNIT(I30,Unit,ShowErrorCode)</f>
        <v>1/MPa</v>
      </c>
      <c r="K30" s="84">
        <f>[2]!TRENDEOS(I30,InputCode,Prop1,Prop2,Fluids,Composition,EqType,MixRules,EOSPath,Unit,ShowErrorCode)</f>
        <v>2.7680181491926532E-3</v>
      </c>
      <c r="M30" s="93" t="str">
        <f>[2]!ERRORTEXT(K30)</f>
        <v/>
      </c>
      <c r="S30" s="12"/>
    </row>
    <row r="31" spans="1:19" ht="16.350000000000001" customHeight="1">
      <c r="A31" s="178"/>
      <c r="B31" s="181"/>
      <c r="C31" s="181"/>
      <c r="F31" s="102" t="s">
        <v>351</v>
      </c>
      <c r="G31" s="91" t="s">
        <v>170</v>
      </c>
      <c r="H31" s="16" t="s">
        <v>178</v>
      </c>
      <c r="I31" s="182" t="s">
        <v>268</v>
      </c>
      <c r="J31" s="98" t="str">
        <f>[2]!PROPUNIT(I31,Unit,ShowErrorCode)</f>
        <v>-</v>
      </c>
      <c r="K31" s="84">
        <f>[2]!TRENDEOS(I31,InputCode,Prop1,Prop2,Fluids,Composition,EqType,MixRules,EOSPath,Unit,ShowErrorCode)</f>
        <v>5.481136280839773</v>
      </c>
      <c r="M31" s="93" t="str">
        <f>[2]!ERRORTEXT(K31)</f>
        <v/>
      </c>
      <c r="S31" s="12"/>
    </row>
    <row r="32" spans="1:19" ht="16.350000000000001" customHeight="1">
      <c r="A32" s="178"/>
      <c r="B32" s="181"/>
      <c r="C32" s="181"/>
      <c r="F32" s="102" t="s">
        <v>351</v>
      </c>
      <c r="G32" s="91" t="s">
        <v>171</v>
      </c>
      <c r="H32" s="16" t="s">
        <v>179</v>
      </c>
      <c r="I32" s="182" t="s">
        <v>269</v>
      </c>
      <c r="J32" s="98" t="str">
        <f>[2]!PROPUNIT(I32,Unit,ShowErrorCode)</f>
        <v>-</v>
      </c>
      <c r="K32" s="84">
        <f>[2]!TRENDEOS(I32,InputCode,Prop1,Prop2,Fluids,Composition,EqType,MixRules,EOSPath,Unit,ShowErrorCode)</f>
        <v>3.6126930753386493</v>
      </c>
      <c r="M32" s="93" t="str">
        <f>[2]!ERRORTEXT(K32)</f>
        <v/>
      </c>
      <c r="S32" s="12"/>
    </row>
    <row r="33" spans="1:19" ht="16.350000000000001" customHeight="1">
      <c r="F33" s="102" t="s">
        <v>351</v>
      </c>
      <c r="G33" s="91" t="s">
        <v>189</v>
      </c>
      <c r="H33" s="17" t="s">
        <v>185</v>
      </c>
      <c r="I33" s="182" t="s">
        <v>270</v>
      </c>
      <c r="J33" s="98" t="str">
        <f>[2]!PROPUNIT(I33,Unit,ShowErrorCode)</f>
        <v>K/MPa</v>
      </c>
      <c r="K33" s="84">
        <f>[2]!TRENDEOS(I33,InputCode,Prop1,Prop2,Fluids,Composition,EqType,MixRules,EOSPath,Unit,ShowErrorCode)</f>
        <v>-0.44888906512128035</v>
      </c>
      <c r="M33" s="93" t="str">
        <f>[2]!ERRORTEXT(K33)</f>
        <v/>
      </c>
      <c r="S33" s="12"/>
    </row>
    <row r="34" spans="1:19" ht="16.350000000000001" customHeight="1">
      <c r="A34" s="140"/>
      <c r="F34" s="102" t="s">
        <v>351</v>
      </c>
      <c r="G34" s="91" t="s">
        <v>175</v>
      </c>
      <c r="H34" s="17" t="s">
        <v>181</v>
      </c>
      <c r="I34" s="182" t="s">
        <v>271</v>
      </c>
      <c r="J34" s="98" t="str">
        <f>[2]!PROPUNIT(I34,Unit,ShowErrorCode)</f>
        <v>m3/mol</v>
      </c>
      <c r="K34" s="84">
        <f>[2]!TRENDEOS(I34,InputCode,Prop1,Prop2,Fluids,Composition,EqType,MixRules,EOSPath,Unit,ShowErrorCode)</f>
        <v>2.1672907942497636E-5</v>
      </c>
      <c r="M34" s="93" t="str">
        <f>[2]!ERRORTEXT(K34)</f>
        <v/>
      </c>
      <c r="S34" s="12"/>
    </row>
    <row r="35" spans="1:19" ht="16.350000000000001" customHeight="1">
      <c r="A35" s="140"/>
      <c r="F35" s="102" t="s">
        <v>351</v>
      </c>
      <c r="G35" s="91" t="s">
        <v>172</v>
      </c>
      <c r="H35" s="17" t="s">
        <v>229</v>
      </c>
      <c r="I35" s="182" t="s">
        <v>160</v>
      </c>
      <c r="J35" s="98" t="str">
        <f>[2]!PROPUNIT(I35,Unit,ShowErrorCode)</f>
        <v>-</v>
      </c>
      <c r="K35" s="84">
        <f>[2]!TRENDEOS(I35,InputCode,Prop1,Prop2,Fluids,Composition,EqType,MixRules,EOSPath,Unit,ShowErrorCode)</f>
        <v>0.959335485305292</v>
      </c>
      <c r="M35" s="93" t="str">
        <f>[2]!ERRORTEXT(K35)</f>
        <v/>
      </c>
      <c r="S35" s="12"/>
    </row>
    <row r="36" spans="1:19" ht="16.350000000000001" customHeight="1">
      <c r="A36" s="140"/>
      <c r="F36" s="102" t="s">
        <v>351</v>
      </c>
      <c r="G36" s="91" t="s">
        <v>230</v>
      </c>
      <c r="H36" s="17" t="s">
        <v>182</v>
      </c>
      <c r="I36" s="182" t="s">
        <v>161</v>
      </c>
      <c r="J36" s="98" t="str">
        <f>[2]!PROPUNIT(I36,Unit,ShowErrorCode)</f>
        <v>-</v>
      </c>
      <c r="K36" s="84">
        <f>[2]!TRENDEOS(I36,InputCode,Prop1,Prop2,Fluids,Composition,EqType,MixRules,EOSPath,Unit,ShowErrorCode)</f>
        <v>3.6012754150350901</v>
      </c>
      <c r="M36" s="93" t="str">
        <f>[2]!ERRORTEXT(K36)</f>
        <v/>
      </c>
      <c r="S36" s="12"/>
    </row>
    <row r="37" spans="1:19" ht="16.350000000000001" customHeight="1">
      <c r="A37" s="140"/>
      <c r="C37" s="56"/>
      <c r="F37" s="102" t="s">
        <v>351</v>
      </c>
      <c r="G37" s="91" t="s">
        <v>231</v>
      </c>
      <c r="H37" s="64" t="s">
        <v>177</v>
      </c>
      <c r="I37" s="182" t="s">
        <v>272</v>
      </c>
      <c r="J37" s="98" t="str">
        <f>[2]!PROPUNIT(I37,Unit,ShowErrorCode)</f>
        <v>mol/m3</v>
      </c>
      <c r="K37" s="84">
        <f>[2]!TRENDEOS(I37,InputCode,Prop1,Prop2,Fluids,Composition,EqType,MixRules,EOSPath,Unit,ShowErrorCode)</f>
        <v>-5666</v>
      </c>
      <c r="M37" s="93" t="str">
        <f>[2]!ERRORTEXT(K37)</f>
        <v xml:space="preserve">	Function DSPIN_EOS: Spinodals: No valid input code, only TLIQ and TVAP possible</v>
      </c>
      <c r="S37" s="12"/>
    </row>
    <row r="38" spans="1:19" ht="16.350000000000001" customHeight="1">
      <c r="F38" s="102" t="s">
        <v>351</v>
      </c>
      <c r="G38" s="91" t="s">
        <v>173</v>
      </c>
      <c r="H38" s="57" t="s">
        <v>183</v>
      </c>
      <c r="I38" s="182" t="s">
        <v>273</v>
      </c>
      <c r="J38" s="98" t="str">
        <f>[2]!PROPUNIT(I38,Unit,ShowErrorCode)</f>
        <v>J/(mol m3)</v>
      </c>
      <c r="K38" s="84">
        <f>[2]!TRENDEOS(I38,InputCode,Prop1,Prop2,Fluids,Composition,EqType,MixRules,EOSPath,Unit,ShowErrorCode)</f>
        <v>94.764316979948035</v>
      </c>
      <c r="M38" s="93" t="str">
        <f>[2]!ERRORTEXT(K38)</f>
        <v/>
      </c>
      <c r="S38" s="12"/>
    </row>
    <row r="39" spans="1:19" ht="16.350000000000001" customHeight="1">
      <c r="F39" s="102" t="s">
        <v>351</v>
      </c>
      <c r="G39" s="91" t="s">
        <v>184</v>
      </c>
      <c r="H39" s="57" t="s">
        <v>174</v>
      </c>
      <c r="I39" s="182" t="s">
        <v>174</v>
      </c>
      <c r="J39" s="98" t="str">
        <f>[2]!PROPUNIT(I39,Unit,ShowErrorCode)</f>
        <v>-</v>
      </c>
      <c r="K39" s="84">
        <f>[2]!TRENDEOS(I39,InputCode,Prop1,Prop2,Fluids,Composition,EqType,MixRules,EOSPath,Unit,ShowErrorCode)</f>
        <v>-3.7849820968500058E-29</v>
      </c>
      <c r="M39" s="93" t="str">
        <f>[2]!ERRORTEXT(K39)</f>
        <v/>
      </c>
      <c r="S39" s="12"/>
    </row>
    <row r="40" spans="1:19" s="71" customFormat="1" ht="16.350000000000001" customHeight="1">
      <c r="A40" s="3"/>
      <c r="B40" s="3"/>
      <c r="C40" s="3"/>
      <c r="D40" s="3"/>
      <c r="E40" s="111"/>
      <c r="F40" s="102" t="s">
        <v>351</v>
      </c>
      <c r="G40" s="91" t="s">
        <v>353</v>
      </c>
      <c r="H40" s="75" t="s">
        <v>190</v>
      </c>
      <c r="I40" s="182" t="s">
        <v>302</v>
      </c>
      <c r="J40" s="98" t="str">
        <f>[2]!PROPUNIT(I40,Unit,ShowErrorCode)</f>
        <v>-</v>
      </c>
      <c r="K40" s="84">
        <f>[2]!TRENDEOS(I40,InputCode,Prop1,Prop2,Fluids,Composition,EqType,MixRules,EOSPath,Unit,ShowErrorCode)</f>
        <v>2</v>
      </c>
      <c r="L40" s="162"/>
      <c r="M40" s="93" t="str">
        <f>[2]!ERRORTEXT(K40)</f>
        <v/>
      </c>
      <c r="S40" s="76"/>
    </row>
    <row r="41" spans="1:19" ht="16.350000000000001" customHeight="1">
      <c r="A41" s="71"/>
      <c r="B41" s="71"/>
      <c r="C41" s="71"/>
      <c r="D41" s="71"/>
      <c r="F41" s="102" t="s">
        <v>351</v>
      </c>
      <c r="G41" s="91" t="s">
        <v>224</v>
      </c>
      <c r="H41" s="57" t="s">
        <v>236</v>
      </c>
      <c r="I41" s="182" t="s">
        <v>274</v>
      </c>
      <c r="J41" s="98" t="str">
        <f>[2]!PROPUNIT(I41,Unit,ShowErrorCode)</f>
        <v>MPa/K</v>
      </c>
      <c r="K41" s="84">
        <f>[2]!TRENDEOS(I41,InputCode,Prop1,Prop2,Fluids,Composition,EqType,MixRules,EOSPath,Unit,ShowErrorCode)</f>
        <v>0.64921438993316005</v>
      </c>
      <c r="M41" s="93" t="str">
        <f>[2]!ERRORTEXT(K41)</f>
        <v/>
      </c>
      <c r="S41" s="12"/>
    </row>
    <row r="42" spans="1:19" s="163" customFormat="1" ht="16.350000000000001" customHeight="1">
      <c r="E42" s="157"/>
      <c r="F42" s="102" t="s">
        <v>351</v>
      </c>
      <c r="G42" s="91" t="s">
        <v>428</v>
      </c>
      <c r="H42" s="338" t="s">
        <v>429</v>
      </c>
      <c r="I42" s="336" t="s">
        <v>427</v>
      </c>
      <c r="J42" s="98" t="str">
        <f>[2]!PROPUNIT(I42,Unit,ShowErrorCode)</f>
        <v>mol/(m3 K)</v>
      </c>
      <c r="K42" s="84">
        <f>[2]!TRENDEOS(I42,InputCode,Prop1,Prop2,Fluids,Composition,EqType,MixRules,EOSPath,Unit,ShowErrorCode)</f>
        <v>-38.215194363540427</v>
      </c>
      <c r="M42" s="93" t="str">
        <f>[2]!ERRORTEXT(K42)</f>
        <v/>
      </c>
      <c r="S42" s="152"/>
    </row>
    <row r="43" spans="1:19" ht="16.350000000000001" customHeight="1">
      <c r="F43" s="102" t="s">
        <v>351</v>
      </c>
      <c r="G43" s="91" t="s">
        <v>232</v>
      </c>
      <c r="H43" s="57" t="s">
        <v>237</v>
      </c>
      <c r="I43" s="182" t="s">
        <v>275</v>
      </c>
      <c r="J43" s="98" t="str">
        <f>[2]!PROPUNIT(I43,Unit,ShowErrorCode)</f>
        <v>(MPa m3)/mol</v>
      </c>
      <c r="K43" s="84">
        <f>[2]!TRENDEOS(I43,InputCode,Prop1,Prop2,Fluids,Composition,EqType,MixRules,EOSPath,Unit,ShowErrorCode)</f>
        <v>1.6988383828620515E-2</v>
      </c>
      <c r="M43" s="93" t="str">
        <f>[2]!ERRORTEXT(K43)</f>
        <v/>
      </c>
      <c r="S43" s="12"/>
    </row>
    <row r="44" spans="1:19" ht="16.350000000000001" customHeight="1">
      <c r="F44" s="102" t="s">
        <v>351</v>
      </c>
      <c r="G44" s="91" t="s">
        <v>233</v>
      </c>
      <c r="H44" s="79" t="s">
        <v>384</v>
      </c>
      <c r="I44" s="182" t="s">
        <v>276</v>
      </c>
      <c r="J44" s="98" t="str">
        <f>[2]!PROPUNIT(I44,Unit,ShowErrorCode)</f>
        <v>MPa/(mol/m3)2</v>
      </c>
      <c r="K44" s="84">
        <f>[2]!TRENDEOS(I44,InputCode,Prop1,Prop2,Fluids,Composition,EqType,MixRules,EOSPath,Unit,ShowErrorCode)</f>
        <v>3.1820073264779958E-6</v>
      </c>
      <c r="M44" s="93" t="str">
        <f>[2]!ERRORTEXT(K44)</f>
        <v/>
      </c>
      <c r="S44" s="12"/>
    </row>
    <row r="45" spans="1:19" ht="16.350000000000001" customHeight="1">
      <c r="F45" s="102" t="s">
        <v>351</v>
      </c>
      <c r="G45" s="91" t="s">
        <v>234</v>
      </c>
      <c r="H45" s="79" t="s">
        <v>385</v>
      </c>
      <c r="I45" s="182" t="s">
        <v>277</v>
      </c>
      <c r="J45" s="98" t="str">
        <f>[2]!PROPUNIT(I45,Unit,ShowErrorCode)</f>
        <v>(MPa m3)/(mol K)</v>
      </c>
      <c r="K45" s="84">
        <f>[2]!TRENDEOS(I45,InputCode,Prop1,Prop2,Fluids,Composition,EqType,MixRules,EOSPath,Unit,ShowErrorCode)</f>
        <v>72.716078896069448</v>
      </c>
      <c r="M45" s="93" t="str">
        <f>[2]!ERRORTEXT(K45)</f>
        <v/>
      </c>
      <c r="S45" s="12"/>
    </row>
    <row r="46" spans="1:19" ht="16.350000000000001" customHeight="1">
      <c r="F46" s="102" t="s">
        <v>351</v>
      </c>
      <c r="G46" s="91" t="s">
        <v>235</v>
      </c>
      <c r="H46" s="79" t="s">
        <v>386</v>
      </c>
      <c r="I46" s="182" t="s">
        <v>278</v>
      </c>
      <c r="J46" s="98" t="str">
        <f>[2]!PROPUNIT(I46,Unit,ShowErrorCode)</f>
        <v>MPa/K2</v>
      </c>
      <c r="K46" s="84">
        <f>[2]!TRENDEOS(I46,InputCode,Prop1,Prop2,Fluids,Composition,EqType,MixRules,EOSPath,Unit,ShowErrorCode)</f>
        <v>-5.616684393304753E-4</v>
      </c>
      <c r="M46" s="93" t="str">
        <f>[2]!ERRORTEXT(K46)</f>
        <v/>
      </c>
      <c r="S46" s="12"/>
    </row>
    <row r="47" spans="1:19" ht="16.350000000000001" customHeight="1">
      <c r="F47" s="102" t="s">
        <v>351</v>
      </c>
      <c r="G47" s="91" t="s">
        <v>226</v>
      </c>
      <c r="H47" s="57" t="s">
        <v>227</v>
      </c>
      <c r="I47" s="182" t="s">
        <v>279</v>
      </c>
      <c r="J47" s="98" t="str">
        <f>[2]!PROPUNIT(I47,Unit,ShowErrorCode)</f>
        <v>-</v>
      </c>
      <c r="K47" s="84">
        <f>[2]!TRENDEOS(I47,InputCode,Prop1,Prop2,Fluids,Composition,EqType,MixRules,EOSPath,Unit,ShowErrorCode)</f>
        <v>3.1735275878358968</v>
      </c>
      <c r="M47" s="93" t="str">
        <f>[2]!ERRORTEXT(K47)</f>
        <v/>
      </c>
      <c r="S47" s="12"/>
    </row>
    <row r="48" spans="1:19" ht="16.350000000000001" customHeight="1">
      <c r="F48" s="102" t="s">
        <v>351</v>
      </c>
      <c r="G48" s="91" t="s">
        <v>327</v>
      </c>
      <c r="H48" s="16" t="s">
        <v>329</v>
      </c>
      <c r="I48" s="182" t="s">
        <v>325</v>
      </c>
      <c r="J48" s="98" t="str">
        <f>[2]!PROPUNIT(I48,Unit,ShowErrorCode)</f>
        <v>K</v>
      </c>
      <c r="K48" s="84">
        <f>[2]!TRENDEOS(I48,InputCode,Prop1,Prop2,Fluids,Composition,EqType,MixRules,EOSPath,Unit,ShowErrorCode)</f>
        <v>508.74352034125366</v>
      </c>
      <c r="M48" s="93" t="str">
        <f>[2]!ERRORTEXT(K48)</f>
        <v/>
      </c>
      <c r="S48" s="12"/>
    </row>
    <row r="49" spans="1:19" ht="16.350000000000001" customHeight="1">
      <c r="F49" s="102" t="s">
        <v>351</v>
      </c>
      <c r="G49" s="91" t="s">
        <v>328</v>
      </c>
      <c r="H49" s="75" t="s">
        <v>330</v>
      </c>
      <c r="I49" s="182" t="s">
        <v>326</v>
      </c>
      <c r="J49" s="98" t="str">
        <f>[2]!PROPUNIT(I49,Unit,ShowErrorCode)</f>
        <v>K</v>
      </c>
      <c r="K49" s="84">
        <f>[2]!TRENDEOS(I49,InputCode,Prop1,Prop2,Fluids,Composition,EqType,MixRules,EOSPath,Unit,ShowErrorCode)</f>
        <v>-5662</v>
      </c>
      <c r="M49" s="93" t="str">
        <f>[2]!ERRORTEXT(K49)</f>
        <v>Iteration of temperature failed</v>
      </c>
      <c r="S49" s="12"/>
    </row>
    <row r="50" spans="1:19" ht="16.350000000000001" customHeight="1">
      <c r="F50" s="102" t="s">
        <v>351</v>
      </c>
      <c r="G50" s="91" t="s">
        <v>376</v>
      </c>
      <c r="H50" s="16" t="s">
        <v>377</v>
      </c>
      <c r="I50" s="182" t="s">
        <v>378</v>
      </c>
      <c r="J50" s="98" t="str">
        <f>[2]!PROPUNIT(I50,Unit,ShowErrorCode)</f>
        <v>K</v>
      </c>
      <c r="K50" s="84">
        <f>[2]!TRENDEOS(I50,InputCode,Prop1,Prop2,Fluids,Composition,EqType,MixRules,EOSPath,Unit,ShowErrorCode)</f>
        <v>-5662</v>
      </c>
      <c r="M50" s="93" t="str">
        <f>[2]!ERRORTEXT(K50)</f>
        <v>Iteration of temperature failed</v>
      </c>
      <c r="S50" s="12"/>
    </row>
    <row r="51" spans="1:19" ht="16.350000000000001" customHeight="1">
      <c r="F51" s="80"/>
      <c r="G51" s="98"/>
      <c r="J51" s="98"/>
      <c r="K51" s="77"/>
    </row>
    <row r="52" spans="1:19" ht="16.350000000000001" customHeight="1">
      <c r="F52" s="134" t="s">
        <v>223</v>
      </c>
      <c r="G52" s="135"/>
      <c r="H52" s="135"/>
      <c r="I52" s="135"/>
      <c r="J52" s="135"/>
      <c r="K52" s="136"/>
    </row>
    <row r="53" spans="1:19" ht="16.350000000000001" customHeight="1">
      <c r="F53" s="102" t="s">
        <v>351</v>
      </c>
      <c r="G53" s="91" t="s">
        <v>238</v>
      </c>
      <c r="H53" s="57" t="s">
        <v>239</v>
      </c>
      <c r="I53" s="182" t="s">
        <v>280</v>
      </c>
      <c r="J53" s="98" t="str">
        <f>[2]!PROPUNIT(I53,Unit,ShowErrorCode)</f>
        <v>MPa</v>
      </c>
      <c r="K53" s="84">
        <f>[2]!TRENDEOS(I53,InputCode,Prop1,Prop2,Fluids,Composition,EqType,MixRules,EOSPath,Unit,ShowErrorCode)</f>
        <v>46.955920578102912</v>
      </c>
      <c r="M53" s="93" t="str">
        <f>[2]!ERRORTEXT(K53)</f>
        <v/>
      </c>
    </row>
    <row r="54" spans="1:19" ht="16.350000000000001" customHeight="1">
      <c r="F54" s="102" t="s">
        <v>351</v>
      </c>
      <c r="G54" s="91" t="s">
        <v>186</v>
      </c>
      <c r="H54" s="16" t="s">
        <v>209</v>
      </c>
      <c r="I54" s="182" t="s">
        <v>281</v>
      </c>
      <c r="J54" s="98" t="str">
        <f>[2]!PROPUNIT(I54,Unit,ShowErrorCode)</f>
        <v>J/(mol K)</v>
      </c>
      <c r="K54" s="84">
        <f>[2]!TRENDEOS(I54,InputCode,Prop1,Prop2,Fluids,Composition,EqType,MixRules,EOSPath,Unit,ShowErrorCode)</f>
        <v>4.3598110915630697</v>
      </c>
      <c r="M54" s="93" t="str">
        <f>[2]!ERRORTEXT(K54)</f>
        <v/>
      </c>
    </row>
    <row r="55" spans="1:19" ht="16.350000000000001" customHeight="1">
      <c r="F55" s="102" t="s">
        <v>351</v>
      </c>
      <c r="G55" s="91" t="s">
        <v>53</v>
      </c>
      <c r="H55" s="16" t="s">
        <v>62</v>
      </c>
      <c r="I55" s="182" t="s">
        <v>282</v>
      </c>
      <c r="J55" s="98" t="str">
        <f>[2]!PROPUNIT(I55,Unit,ShowErrorCode)</f>
        <v>J/mol</v>
      </c>
      <c r="K55" s="84">
        <f>[2]!TRENDEOS(I55,InputCode,Prop1,Prop2,Fluids,Composition,EqType,MixRules,EOSPath,Unit,ShowErrorCode)</f>
        <v>-5099.3137656066847</v>
      </c>
      <c r="M55" s="93" t="str">
        <f>[2]!ERRORTEXT(K55)</f>
        <v/>
      </c>
    </row>
    <row r="56" spans="1:19" ht="16.350000000000001" customHeight="1">
      <c r="F56" s="102" t="s">
        <v>351</v>
      </c>
      <c r="G56" s="91" t="s">
        <v>54</v>
      </c>
      <c r="H56" s="16" t="s">
        <v>63</v>
      </c>
      <c r="I56" s="182" t="s">
        <v>283</v>
      </c>
      <c r="J56" s="98" t="str">
        <f>[2]!PROPUNIT(I56,Unit,ShowErrorCode)</f>
        <v>J/mol</v>
      </c>
      <c r="K56" s="84">
        <f>[2]!TRENDEOS(I56,InputCode,Prop1,Prop2,Fluids,Composition,EqType,MixRules,EOSPath,Unit,ShowErrorCode)</f>
        <v>-2891.25128929943</v>
      </c>
      <c r="M56" s="93" t="str">
        <f>[2]!ERRORTEXT(K56)</f>
        <v/>
      </c>
    </row>
    <row r="57" spans="1:19" ht="16.350000000000001" customHeight="1">
      <c r="F57" s="102" t="s">
        <v>351</v>
      </c>
      <c r="G57" s="91" t="s">
        <v>55</v>
      </c>
      <c r="H57" s="16" t="s">
        <v>64</v>
      </c>
      <c r="I57" s="182" t="s">
        <v>284</v>
      </c>
      <c r="J57" s="98" t="str">
        <f>[2]!PROPUNIT(I57,Unit,ShowErrorCode)</f>
        <v>J/(mol K)</v>
      </c>
      <c r="K57" s="84">
        <f>[2]!TRENDEOS(I57,InputCode,Prop1,Prop2,Fluids,Composition,EqType,MixRules,EOSPath,Unit,ShowErrorCode)</f>
        <v>-15.157951419852653</v>
      </c>
      <c r="M57" s="93" t="str">
        <f>[2]!ERRORTEXT(K57)</f>
        <v/>
      </c>
    </row>
    <row r="58" spans="1:19" s="71" customFormat="1" ht="16.350000000000001" customHeight="1">
      <c r="A58" s="3"/>
      <c r="B58" s="3"/>
      <c r="C58" s="3"/>
      <c r="D58" s="3"/>
      <c r="E58" s="111"/>
      <c r="F58" s="102" t="s">
        <v>351</v>
      </c>
      <c r="G58" s="91" t="s">
        <v>352</v>
      </c>
      <c r="H58" s="66" t="s">
        <v>417</v>
      </c>
      <c r="I58" s="182" t="s">
        <v>347</v>
      </c>
      <c r="J58" s="98" t="str">
        <f>[2]!PROPUNIT(I58,Unit,ShowErrorCode)</f>
        <v>J/mol</v>
      </c>
      <c r="K58" s="84">
        <f>[2]!TRENDEOS(I58,InputCode,Prop1,Prop2,Fluids,Composition,EqType,MixRules,EOSPath,Unit,ShowErrorCode)</f>
        <v>0.66395339258571884</v>
      </c>
      <c r="M58" s="93" t="str">
        <f>[2]!ERRORTEXT(K58)</f>
        <v/>
      </c>
    </row>
    <row r="59" spans="1:19" ht="16.350000000000001" customHeight="1">
      <c r="A59" s="71"/>
      <c r="B59" s="71"/>
      <c r="C59" s="71"/>
      <c r="D59" s="71"/>
      <c r="F59" s="102" t="s">
        <v>351</v>
      </c>
      <c r="G59" s="91" t="s">
        <v>41</v>
      </c>
      <c r="H59" s="16" t="s">
        <v>77</v>
      </c>
      <c r="I59" s="182" t="s">
        <v>285</v>
      </c>
      <c r="J59" s="98" t="str">
        <f>[2]!PROPUNIT(I59,Unit,ShowErrorCode)</f>
        <v>-</v>
      </c>
      <c r="K59" s="84">
        <f>[2]!TRENDEOS(I59,InputCode,Prop1,Prop2,Fluids,Composition,EqType,MixRules,EOSPath,Unit,ShowErrorCode)</f>
        <v>-0.2212711431184316</v>
      </c>
      <c r="M59" s="93" t="str">
        <f>[2]!ERRORTEXT(K59)</f>
        <v/>
      </c>
    </row>
    <row r="60" spans="1:19" ht="16.350000000000001" customHeight="1">
      <c r="F60" s="102" t="s">
        <v>351</v>
      </c>
      <c r="G60" s="91" t="s">
        <v>65</v>
      </c>
      <c r="H60" s="17" t="s">
        <v>76</v>
      </c>
      <c r="I60" s="182" t="s">
        <v>286</v>
      </c>
      <c r="J60" s="98" t="str">
        <f>[2]!PROPUNIT(I60,Unit,ShowErrorCode)</f>
        <v>-</v>
      </c>
      <c r="K60" s="84">
        <f>[2]!TRENDEOS(I60,InputCode,Prop1,Prop2,Fluids,Composition,EqType,MixRules,EOSPath,Unit,ShowErrorCode)</f>
        <v>0.88522453570415049</v>
      </c>
      <c r="M60" s="93" t="str">
        <f>[2]!ERRORTEXT(K60)</f>
        <v/>
      </c>
    </row>
    <row r="61" spans="1:19" ht="16.350000000000001" customHeight="1">
      <c r="F61" s="102" t="s">
        <v>351</v>
      </c>
      <c r="G61" s="91" t="s">
        <v>66</v>
      </c>
      <c r="H61" s="17" t="s">
        <v>75</v>
      </c>
      <c r="I61" s="182" t="s">
        <v>287</v>
      </c>
      <c r="J61" s="98" t="str">
        <f>[2]!PROPUNIT(I61,Unit,ShowErrorCode)</f>
        <v>-</v>
      </c>
      <c r="K61" s="84">
        <f>[2]!TRENDEOS(I61,InputCode,Prop1,Prop2,Fluids,Composition,EqType,MixRules,EOSPath,Unit,ShowErrorCode)</f>
        <v>-2.0443432688182805</v>
      </c>
      <c r="M61" s="93" t="str">
        <f>[2]!ERRORTEXT(K61)</f>
        <v/>
      </c>
    </row>
    <row r="62" spans="1:19" ht="16.350000000000001" customHeight="1">
      <c r="F62" s="102" t="s">
        <v>351</v>
      </c>
      <c r="G62" s="91" t="s">
        <v>69</v>
      </c>
      <c r="H62" s="17" t="s">
        <v>74</v>
      </c>
      <c r="I62" s="182" t="s">
        <v>288</v>
      </c>
      <c r="J62" s="98" t="str">
        <f>[2]!PROPUNIT(I62,Unit,ShowErrorCode)</f>
        <v>-</v>
      </c>
      <c r="K62" s="84">
        <f>[2]!TRENDEOS(I62,InputCode,Prop1,Prop2,Fluids,Composition,EqType,MixRules,EOSPath,Unit,ShowErrorCode)</f>
        <v>-1.7865201547984353</v>
      </c>
      <c r="M62" s="93" t="str">
        <f>[2]!ERRORTEXT(K62)</f>
        <v/>
      </c>
    </row>
    <row r="63" spans="1:19" ht="16.350000000000001" customHeight="1">
      <c r="F63" s="102" t="s">
        <v>351</v>
      </c>
      <c r="G63" s="91" t="s">
        <v>68</v>
      </c>
      <c r="H63" s="17" t="s">
        <v>210</v>
      </c>
      <c r="I63" s="182" t="s">
        <v>289</v>
      </c>
      <c r="J63" s="98" t="str">
        <f>[2]!PROPUNIT(I63,Unit,ShowErrorCode)</f>
        <v>-</v>
      </c>
      <c r="K63" s="84">
        <f>[2]!TRENDEOS(I63,InputCode,Prop1,Prop2,Fluids,Composition,EqType,MixRules,EOSPath,Unit,ShowErrorCode)</f>
        <v>4.0402885541886047</v>
      </c>
      <c r="M63" s="93" t="str">
        <f>[2]!ERRORTEXT(K63)</f>
        <v/>
      </c>
    </row>
    <row r="64" spans="1:19" ht="16.350000000000001" customHeight="1">
      <c r="F64" s="102" t="s">
        <v>351</v>
      </c>
      <c r="G64" s="91" t="s">
        <v>67</v>
      </c>
      <c r="H64" s="17" t="s">
        <v>211</v>
      </c>
      <c r="I64" s="182" t="s">
        <v>290</v>
      </c>
      <c r="J64" s="98" t="str">
        <f>[2]!PROPUNIT(I64,Unit,ShowErrorCode)</f>
        <v>-</v>
      </c>
      <c r="K64" s="84">
        <f>[2]!TRENDEOS(I64,InputCode,Prop1,Prop2,Fluids,Composition,EqType,MixRules,EOSPath,Unit,ShowErrorCode)</f>
        <v>-0.52436175932954188</v>
      </c>
      <c r="M64" s="93" t="str">
        <f>[2]!ERRORTEXT(K64)</f>
        <v/>
      </c>
    </row>
    <row r="65" spans="1:16" ht="16.350000000000001" customHeight="1">
      <c r="F65" s="102" t="s">
        <v>351</v>
      </c>
      <c r="G65" s="91" t="s">
        <v>70</v>
      </c>
      <c r="H65" s="17" t="s">
        <v>212</v>
      </c>
      <c r="I65" s="182" t="s">
        <v>291</v>
      </c>
      <c r="J65" s="98" t="str">
        <f>[2]!PROPUNIT(I65,Unit,ShowErrorCode)</f>
        <v>-</v>
      </c>
      <c r="K65" s="84">
        <f>[2]!TRENDEOS(I65,InputCode,Prop1,Prop2,Fluids,Composition,EqType,MixRules,EOSPath,Unit,ShowErrorCode)</f>
        <v>1.6380937161514699</v>
      </c>
      <c r="M65" s="93" t="str">
        <f>[2]!ERRORTEXT(K65)</f>
        <v/>
      </c>
    </row>
    <row r="66" spans="1:16" ht="16.350000000000001" customHeight="1">
      <c r="F66" s="102" t="s">
        <v>351</v>
      </c>
      <c r="G66" s="91" t="s">
        <v>71</v>
      </c>
      <c r="H66" s="17" t="s">
        <v>213</v>
      </c>
      <c r="I66" s="182" t="s">
        <v>292</v>
      </c>
      <c r="J66" s="98" t="str">
        <f>[2]!PROPUNIT(I66,Unit,ShowErrorCode)</f>
        <v>-</v>
      </c>
      <c r="K66" s="84">
        <f>[2]!TRENDEOS(I66,InputCode,Prop1,Prop2,Fluids,Composition,EqType,MixRules,EOSPath,Unit,ShowErrorCode)</f>
        <v>-0.95298401048082337</v>
      </c>
      <c r="M66" s="93" t="str">
        <f>[2]!ERRORTEXT(K66)</f>
        <v/>
      </c>
    </row>
    <row r="67" spans="1:16" ht="16.350000000000001" customHeight="1">
      <c r="F67" s="102" t="s">
        <v>351</v>
      </c>
      <c r="G67" s="91" t="s">
        <v>72</v>
      </c>
      <c r="H67" s="17" t="s">
        <v>214</v>
      </c>
      <c r="I67" s="182" t="s">
        <v>293</v>
      </c>
      <c r="J67" s="98" t="str">
        <f>[2]!PROPUNIT(I67,Unit,ShowErrorCode)</f>
        <v>-</v>
      </c>
      <c r="K67" s="84">
        <f>[2]!TRENDEOS(I67,InputCode,Prop1,Prop2,Fluids,Composition,EqType,MixRules,EOSPath,Unit,ShowErrorCode)</f>
        <v>9.1966769126544072</v>
      </c>
      <c r="M67" s="93" t="str">
        <f>[2]!ERRORTEXT(K67)</f>
        <v/>
      </c>
      <c r="P67" s="19"/>
    </row>
    <row r="68" spans="1:16" ht="16.350000000000001" customHeight="1">
      <c r="F68" s="102" t="s">
        <v>351</v>
      </c>
      <c r="G68" s="91" t="s">
        <v>73</v>
      </c>
      <c r="H68" s="17" t="s">
        <v>215</v>
      </c>
      <c r="I68" s="182" t="s">
        <v>294</v>
      </c>
      <c r="J68" s="98" t="str">
        <f>[2]!PROPUNIT(I68,Unit,ShowErrorCode)</f>
        <v>-</v>
      </c>
      <c r="K68" s="84">
        <f>[2]!TRENDEOS(I68,InputCode,Prop1,Prop2,Fluids,Composition,EqType,MixRules,EOSPath,Unit,ShowErrorCode)</f>
        <v>0.91926069065151772</v>
      </c>
      <c r="M68" s="93" t="str">
        <f>[2]!ERRORTEXT(K68)</f>
        <v/>
      </c>
    </row>
    <row r="69" spans="1:16" ht="16.350000000000001" customHeight="1">
      <c r="A69" s="91"/>
      <c r="B69" s="16"/>
      <c r="C69" s="4"/>
      <c r="F69" s="102" t="s">
        <v>351</v>
      </c>
      <c r="G69" s="91" t="s">
        <v>217</v>
      </c>
      <c r="H69" s="16" t="s">
        <v>218</v>
      </c>
      <c r="I69" s="182" t="s">
        <v>295</v>
      </c>
      <c r="J69" s="98" t="str">
        <f>[2]!PROPUNIT(I69,Unit,ShowErrorCode)</f>
        <v>m3/mol</v>
      </c>
      <c r="K69" s="84">
        <f>[2]!TRENDEOS(I69,InputCode,Prop1,Prop2,Fluids,Composition,EqType,MixRules,EOSPath,Unit,ShowErrorCode)</f>
        <v>-5248</v>
      </c>
      <c r="M69" s="93" t="str">
        <f>[2]!ERRORTEXT(K69)</f>
        <v xml:space="preserve">	Property only available for mixtures</v>
      </c>
    </row>
    <row r="70" spans="1:16" ht="16.350000000000001" customHeight="1">
      <c r="F70" s="102" t="s">
        <v>351</v>
      </c>
      <c r="G70" s="91" t="s">
        <v>219</v>
      </c>
      <c r="H70" s="16" t="s">
        <v>222</v>
      </c>
      <c r="I70" s="182" t="s">
        <v>296</v>
      </c>
      <c r="J70" s="98" t="str">
        <f>[2]!PROPUNIT(I70,Unit,ShowErrorCode)</f>
        <v>J/mol</v>
      </c>
      <c r="K70" s="84">
        <f>[2]!TRENDEOS(I70,InputCode,Prop1,Prop2,Fluids,Composition,EqType,MixRules,EOSPath,Unit,ShowErrorCode)</f>
        <v>-5248</v>
      </c>
      <c r="M70" s="93" t="str">
        <f>[2]!ERRORTEXT(K70)</f>
        <v xml:space="preserve">	Property only available for mixtures</v>
      </c>
    </row>
    <row r="71" spans="1:16" ht="16.350000000000001" customHeight="1">
      <c r="F71" s="102" t="s">
        <v>351</v>
      </c>
      <c r="G71" s="91" t="s">
        <v>220</v>
      </c>
      <c r="H71" s="16" t="s">
        <v>221</v>
      </c>
      <c r="I71" s="182" t="s">
        <v>297</v>
      </c>
      <c r="J71" s="98" t="str">
        <f>[2]!PROPUNIT(I71,Unit,ShowErrorCode)</f>
        <v>J/mol</v>
      </c>
      <c r="K71" s="84">
        <f>[2]!TRENDEOS(I71,InputCode,Prop1,Prop2,Fluids,Composition,EqType,MixRules,EOSPath,Unit,ShowErrorCode)</f>
        <v>-5248</v>
      </c>
      <c r="M71" s="93" t="str">
        <f>[2]!ERRORTEXT(K71)</f>
        <v xml:space="preserve">	Property only available for mixtures</v>
      </c>
    </row>
    <row r="72" spans="1:16" ht="16.350000000000001" customHeight="1">
      <c r="F72" s="80"/>
      <c r="G72" s="98"/>
      <c r="I72" s="157"/>
      <c r="J72" s="98"/>
      <c r="K72" s="77"/>
    </row>
    <row r="73" spans="1:16" ht="16.350000000000001" customHeight="1">
      <c r="F73" s="134" t="s">
        <v>58</v>
      </c>
      <c r="G73" s="135"/>
      <c r="H73" s="135"/>
      <c r="I73" s="183"/>
      <c r="J73" s="135"/>
      <c r="K73" s="136"/>
    </row>
    <row r="74" spans="1:16" ht="16.350000000000001" customHeight="1">
      <c r="F74" s="102" t="s">
        <v>351</v>
      </c>
      <c r="G74" s="91" t="s">
        <v>90</v>
      </c>
      <c r="H74" s="17" t="s">
        <v>30</v>
      </c>
      <c r="I74" s="182" t="s">
        <v>298</v>
      </c>
      <c r="J74" s="98" t="str">
        <f>[2]!PROPUNIT(I74,Unit,ShowErrorCode)</f>
        <v>µPa s</v>
      </c>
      <c r="K74" s="84">
        <f>[2]!TRENDEOS(I74,InputCode,Prop1,Prop2,Fluids,Composition,EqType,MixRules,EOSPath,Unit,ShowErrorCode)</f>
        <v>47.684060969660095</v>
      </c>
      <c r="M74" s="93" t="str">
        <f>[2]!ERRORTEXT(K74)</f>
        <v/>
      </c>
    </row>
    <row r="75" spans="1:16" ht="16.350000000000001" customHeight="1">
      <c r="F75" s="102" t="s">
        <v>351</v>
      </c>
      <c r="G75" s="91" t="s">
        <v>180</v>
      </c>
      <c r="H75" s="17" t="s">
        <v>164</v>
      </c>
      <c r="I75" s="182" t="s">
        <v>299</v>
      </c>
      <c r="J75" s="98" t="str">
        <f>[2]!PROPUNIT(I75,Unit,ShowErrorCode)</f>
        <v>W/(m K)</v>
      </c>
      <c r="K75" s="84">
        <f>[2]!TRENDEOS(I75,InputCode,Prop1,Prop2,Fluids,Composition,EqType,MixRules,EOSPath,Unit,ShowErrorCode)</f>
        <v>9.8228276367744005E-2</v>
      </c>
      <c r="M75" s="93" t="str">
        <f>[2]!ERRORTEXT(K75)</f>
        <v/>
      </c>
    </row>
    <row r="76" spans="1:16" ht="16.350000000000001" customHeight="1">
      <c r="F76" s="102" t="s">
        <v>351</v>
      </c>
      <c r="G76" s="91" t="s">
        <v>45</v>
      </c>
      <c r="H76" s="17" t="s">
        <v>32</v>
      </c>
      <c r="I76" s="182" t="s">
        <v>300</v>
      </c>
      <c r="J76" s="98" t="str">
        <f>[2]!PROPUNIT(I76,Unit,ShowErrorCode)</f>
        <v>mN/m</v>
      </c>
      <c r="K76" s="84">
        <f>[2]!TRENDEOS(I76,InputCode,Prop1,Prop2,Fluids,Composition,EqType,MixRules,EOSPath,Unit,ShowErrorCode)</f>
        <v>-5222</v>
      </c>
      <c r="M76" s="93" t="str">
        <f>[2]!ERRORTEXT(K76)</f>
        <v xml:space="preserve">	Surface tension not defined in the homogeneous region</v>
      </c>
    </row>
    <row r="77" spans="1:16" s="163" customFormat="1" ht="16.350000000000001" customHeight="1">
      <c r="E77" s="157"/>
      <c r="F77" s="102" t="s">
        <v>351</v>
      </c>
      <c r="G77" s="91" t="s">
        <v>46</v>
      </c>
      <c r="H77" s="17" t="s">
        <v>86</v>
      </c>
      <c r="I77" s="182" t="s">
        <v>301</v>
      </c>
      <c r="J77" s="98" t="str">
        <f>[2]!PROPUNIT(I77,Unit,ShowErrorCode)</f>
        <v>-</v>
      </c>
      <c r="K77" s="84">
        <f>[2]!TRENDEOS(I77,InputCode,Prop1,Prop2,Fluids,Composition,EqType,MixRules,EOSPath,Unit,ShowErrorCode)</f>
        <v>1.4866010848404643</v>
      </c>
      <c r="M77" s="93" t="str">
        <f>[2]!ERRORTEXT(K77)</f>
        <v/>
      </c>
    </row>
    <row r="78" spans="1:16" ht="16.350000000000001" customHeight="1">
      <c r="F78" s="102" t="s">
        <v>351</v>
      </c>
      <c r="G78" s="91" t="s">
        <v>162</v>
      </c>
      <c r="H78" s="17" t="s">
        <v>163</v>
      </c>
      <c r="I78" s="339" t="s">
        <v>316</v>
      </c>
      <c r="J78" s="98" t="str">
        <f>[2]!PROPUNIT(I78,Unit,ShowErrorCode)</f>
        <v>-</v>
      </c>
      <c r="K78" s="84">
        <f>[2]!TRENDEOS(I78,InputCode,Prop1,Prop2,Fluids,Composition,EqType,MixRules,EOSPath,Unit,ShowErrorCode)</f>
        <v>1.1418319779683328E-2</v>
      </c>
      <c r="M78" s="93" t="str">
        <f>[2]!ERRORTEXT(K78)</f>
        <v/>
      </c>
    </row>
    <row r="79" spans="1:16" ht="16.350000000000001" customHeight="1">
      <c r="F79" s="80"/>
      <c r="G79" s="98"/>
      <c r="J79" s="98"/>
      <c r="K79" s="77"/>
    </row>
    <row r="80" spans="1:16" ht="16.350000000000001" customHeight="1">
      <c r="F80" s="134" t="s">
        <v>48</v>
      </c>
      <c r="G80" s="135"/>
      <c r="H80" s="135"/>
      <c r="I80" s="135"/>
      <c r="J80" s="135"/>
      <c r="K80" s="136"/>
    </row>
    <row r="81" spans="6:31" ht="16.350000000000001" customHeight="1">
      <c r="F81" s="102" t="s">
        <v>312</v>
      </c>
      <c r="G81" s="91"/>
      <c r="H81" s="16"/>
      <c r="J81" s="98"/>
      <c r="K81" s="84"/>
    </row>
    <row r="82" spans="6:31" ht="16.350000000000001" customHeight="1">
      <c r="F82" s="102" t="s">
        <v>309</v>
      </c>
      <c r="G82" s="91"/>
      <c r="H82" s="16"/>
      <c r="I82" s="184" t="str">
        <f t="array" ref="I82:AE93">[2]!TRENDSPECEOS(Fluids,Composition,EqType,MixRules,EOSPath,Unit,ShowErrorCode)</f>
        <v>SpecProp</v>
      </c>
      <c r="J82" s="185" t="str">
        <v>Unit</v>
      </c>
      <c r="K82" s="186" t="str">
        <v>Mixture</v>
      </c>
      <c r="L82" s="187" t="str">
        <v>methane</v>
      </c>
      <c r="M82" s="187" t="e">
        <v>#N/A</v>
      </c>
      <c r="N82" s="187" t="e">
        <v>#N/A</v>
      </c>
      <c r="O82" s="187" t="e">
        <v>#N/A</v>
      </c>
      <c r="P82" s="187" t="e">
        <v>#N/A</v>
      </c>
      <c r="Q82" s="187" t="e">
        <v>#N/A</v>
      </c>
      <c r="R82" s="187" t="e">
        <v>#N/A</v>
      </c>
      <c r="S82" s="187" t="e">
        <v>#N/A</v>
      </c>
      <c r="T82" s="187" t="e">
        <v>#N/A</v>
      </c>
      <c r="U82" s="187" t="e">
        <v>#N/A</v>
      </c>
      <c r="V82" s="187" t="e">
        <v>#N/A</v>
      </c>
      <c r="W82" s="187" t="e">
        <v>#N/A</v>
      </c>
      <c r="X82" s="187" t="e">
        <v>#N/A</v>
      </c>
      <c r="Y82" s="187" t="e">
        <v>#N/A</v>
      </c>
      <c r="Z82" s="187" t="e">
        <v>#N/A</v>
      </c>
      <c r="AA82" s="187" t="e">
        <v>#N/A</v>
      </c>
      <c r="AB82" s="187" t="e">
        <v>#N/A</v>
      </c>
      <c r="AC82" s="187" t="e">
        <v>#N/A</v>
      </c>
      <c r="AD82" s="187" t="e">
        <v>#N/A</v>
      </c>
      <c r="AE82" s="188" t="e">
        <v>#N/A</v>
      </c>
    </row>
    <row r="83" spans="6:31" ht="16.350000000000001" customHeight="1">
      <c r="F83" s="102" t="s">
        <v>309</v>
      </c>
      <c r="G83" s="91" t="s">
        <v>21</v>
      </c>
      <c r="H83" s="16" t="s">
        <v>37</v>
      </c>
      <c r="I83" s="184" t="str">
        <v>MW</v>
      </c>
      <c r="J83" s="185" t="str">
        <v>kg/mol</v>
      </c>
      <c r="K83" s="186">
        <v>0</v>
      </c>
      <c r="L83" s="186">
        <v>1.6042799999999999E-2</v>
      </c>
      <c r="M83" s="186" t="e">
        <v>#N/A</v>
      </c>
      <c r="N83" s="186" t="e">
        <v>#N/A</v>
      </c>
      <c r="O83" s="186" t="e">
        <v>#N/A</v>
      </c>
      <c r="P83" s="186" t="e">
        <v>#N/A</v>
      </c>
      <c r="Q83" s="186" t="e">
        <v>#N/A</v>
      </c>
      <c r="R83" s="186" t="e">
        <v>#N/A</v>
      </c>
      <c r="S83" s="186" t="e">
        <v>#N/A</v>
      </c>
      <c r="T83" s="186" t="e">
        <v>#N/A</v>
      </c>
      <c r="U83" s="186" t="e">
        <v>#N/A</v>
      </c>
      <c r="V83" s="186" t="e">
        <v>#N/A</v>
      </c>
      <c r="W83" s="186" t="e">
        <v>#N/A</v>
      </c>
      <c r="X83" s="186" t="e">
        <v>#N/A</v>
      </c>
      <c r="Y83" s="186" t="e">
        <v>#N/A</v>
      </c>
      <c r="Z83" s="186" t="e">
        <v>#N/A</v>
      </c>
      <c r="AA83" s="186" t="e">
        <v>#N/A</v>
      </c>
      <c r="AB83" s="186" t="e">
        <v>#N/A</v>
      </c>
      <c r="AC83" s="186" t="e">
        <v>#N/A</v>
      </c>
      <c r="AD83" s="186" t="e">
        <v>#N/A</v>
      </c>
      <c r="AE83" s="189" t="e">
        <v>#N/A</v>
      </c>
    </row>
    <row r="84" spans="6:31" ht="16.350000000000001" customHeight="1">
      <c r="F84" s="102" t="s">
        <v>309</v>
      </c>
      <c r="G84" s="91" t="s">
        <v>187</v>
      </c>
      <c r="H84" s="16" t="s">
        <v>196</v>
      </c>
      <c r="I84" s="184" t="str">
        <v>Ttrip</v>
      </c>
      <c r="J84" s="185" t="str">
        <v>K</v>
      </c>
      <c r="K84" s="186" t="str">
        <v/>
      </c>
      <c r="L84" s="186">
        <v>90.694100000000006</v>
      </c>
      <c r="M84" s="186" t="e">
        <v>#N/A</v>
      </c>
      <c r="N84" s="186" t="e">
        <v>#N/A</v>
      </c>
      <c r="O84" s="186" t="e">
        <v>#N/A</v>
      </c>
      <c r="P84" s="186" t="e">
        <v>#N/A</v>
      </c>
      <c r="Q84" s="186" t="e">
        <v>#N/A</v>
      </c>
      <c r="R84" s="186" t="e">
        <v>#N/A</v>
      </c>
      <c r="S84" s="186" t="e">
        <v>#N/A</v>
      </c>
      <c r="T84" s="186" t="e">
        <v>#N/A</v>
      </c>
      <c r="U84" s="186" t="e">
        <v>#N/A</v>
      </c>
      <c r="V84" s="186" t="e">
        <v>#N/A</v>
      </c>
      <c r="W84" s="186" t="e">
        <v>#N/A</v>
      </c>
      <c r="X84" s="186" t="e">
        <v>#N/A</v>
      </c>
      <c r="Y84" s="186" t="e">
        <v>#N/A</v>
      </c>
      <c r="Z84" s="186" t="e">
        <v>#N/A</v>
      </c>
      <c r="AA84" s="186" t="e">
        <v>#N/A</v>
      </c>
      <c r="AB84" s="186" t="e">
        <v>#N/A</v>
      </c>
      <c r="AC84" s="186" t="e">
        <v>#N/A</v>
      </c>
      <c r="AD84" s="186" t="e">
        <v>#N/A</v>
      </c>
      <c r="AE84" s="189" t="e">
        <v>#N/A</v>
      </c>
    </row>
    <row r="85" spans="6:31" ht="16.350000000000001" customHeight="1">
      <c r="F85" s="102" t="s">
        <v>309</v>
      </c>
      <c r="G85" s="91" t="s">
        <v>188</v>
      </c>
      <c r="H85" s="16" t="s">
        <v>197</v>
      </c>
      <c r="I85" s="184" t="str">
        <v>ptrip</v>
      </c>
      <c r="J85" s="185" t="str">
        <v>MPa</v>
      </c>
      <c r="K85" s="186" t="str">
        <v/>
      </c>
      <c r="L85" s="186">
        <v>1.1696E-2</v>
      </c>
      <c r="M85" s="186" t="e">
        <v>#N/A</v>
      </c>
      <c r="N85" s="186" t="e">
        <v>#N/A</v>
      </c>
      <c r="O85" s="186" t="e">
        <v>#N/A</v>
      </c>
      <c r="P85" s="186" t="e">
        <v>#N/A</v>
      </c>
      <c r="Q85" s="186" t="e">
        <v>#N/A</v>
      </c>
      <c r="R85" s="186" t="e">
        <v>#N/A</v>
      </c>
      <c r="S85" s="186" t="e">
        <v>#N/A</v>
      </c>
      <c r="T85" s="186" t="e">
        <v>#N/A</v>
      </c>
      <c r="U85" s="186" t="e">
        <v>#N/A</v>
      </c>
      <c r="V85" s="186" t="e">
        <v>#N/A</v>
      </c>
      <c r="W85" s="186" t="e">
        <v>#N/A</v>
      </c>
      <c r="X85" s="186" t="e">
        <v>#N/A</v>
      </c>
      <c r="Y85" s="186" t="e">
        <v>#N/A</v>
      </c>
      <c r="Z85" s="186" t="e">
        <v>#N/A</v>
      </c>
      <c r="AA85" s="186" t="e">
        <v>#N/A</v>
      </c>
      <c r="AB85" s="186" t="e">
        <v>#N/A</v>
      </c>
      <c r="AC85" s="186" t="e">
        <v>#N/A</v>
      </c>
      <c r="AD85" s="186" t="e">
        <v>#N/A</v>
      </c>
      <c r="AE85" s="189" t="e">
        <v>#N/A</v>
      </c>
    </row>
    <row r="86" spans="6:31" ht="16.350000000000001" customHeight="1">
      <c r="F86" s="102" t="s">
        <v>309</v>
      </c>
      <c r="G86" s="91" t="s">
        <v>22</v>
      </c>
      <c r="H86" s="16" t="s">
        <v>198</v>
      </c>
      <c r="I86" s="184" t="str">
        <v>Tcrit</v>
      </c>
      <c r="J86" s="185" t="str">
        <v>K</v>
      </c>
      <c r="K86" s="186" t="str">
        <v/>
      </c>
      <c r="L86" s="186">
        <v>190.56399999999999</v>
      </c>
      <c r="M86" s="186" t="e">
        <v>#N/A</v>
      </c>
      <c r="N86" s="186" t="e">
        <v>#N/A</v>
      </c>
      <c r="O86" s="186" t="e">
        <v>#N/A</v>
      </c>
      <c r="P86" s="186" t="e">
        <v>#N/A</v>
      </c>
      <c r="Q86" s="186" t="e">
        <v>#N/A</v>
      </c>
      <c r="R86" s="186" t="e">
        <v>#N/A</v>
      </c>
      <c r="S86" s="186" t="e">
        <v>#N/A</v>
      </c>
      <c r="T86" s="186" t="e">
        <v>#N/A</v>
      </c>
      <c r="U86" s="186" t="e">
        <v>#N/A</v>
      </c>
      <c r="V86" s="186" t="e">
        <v>#N/A</v>
      </c>
      <c r="W86" s="186" t="e">
        <v>#N/A</v>
      </c>
      <c r="X86" s="186" t="e">
        <v>#N/A</v>
      </c>
      <c r="Y86" s="186" t="e">
        <v>#N/A</v>
      </c>
      <c r="Z86" s="186" t="e">
        <v>#N/A</v>
      </c>
      <c r="AA86" s="186" t="e">
        <v>#N/A</v>
      </c>
      <c r="AB86" s="186" t="e">
        <v>#N/A</v>
      </c>
      <c r="AC86" s="186" t="e">
        <v>#N/A</v>
      </c>
      <c r="AD86" s="186" t="e">
        <v>#N/A</v>
      </c>
      <c r="AE86" s="189" t="e">
        <v>#N/A</v>
      </c>
    </row>
    <row r="87" spans="6:31" ht="16.350000000000001" customHeight="1">
      <c r="F87" s="102" t="s">
        <v>309</v>
      </c>
      <c r="G87" s="91" t="s">
        <v>23</v>
      </c>
      <c r="H87" s="16" t="s">
        <v>199</v>
      </c>
      <c r="I87" s="184" t="str">
        <v>pcrit</v>
      </c>
      <c r="J87" s="185" t="str">
        <v>MPa</v>
      </c>
      <c r="K87" s="186" t="str">
        <v/>
      </c>
      <c r="L87" s="186">
        <v>4.5992000893536664</v>
      </c>
      <c r="M87" s="186" t="e">
        <v>#N/A</v>
      </c>
      <c r="N87" s="186" t="e">
        <v>#N/A</v>
      </c>
      <c r="O87" s="186" t="e">
        <v>#N/A</v>
      </c>
      <c r="P87" s="186" t="e">
        <v>#N/A</v>
      </c>
      <c r="Q87" s="186" t="e">
        <v>#N/A</v>
      </c>
      <c r="R87" s="186" t="e">
        <v>#N/A</v>
      </c>
      <c r="S87" s="186" t="e">
        <v>#N/A</v>
      </c>
      <c r="T87" s="186" t="e">
        <v>#N/A</v>
      </c>
      <c r="U87" s="186" t="e">
        <v>#N/A</v>
      </c>
      <c r="V87" s="186" t="e">
        <v>#N/A</v>
      </c>
      <c r="W87" s="186" t="e">
        <v>#N/A</v>
      </c>
      <c r="X87" s="186" t="e">
        <v>#N/A</v>
      </c>
      <c r="Y87" s="186" t="e">
        <v>#N/A</v>
      </c>
      <c r="Z87" s="186" t="e">
        <v>#N/A</v>
      </c>
      <c r="AA87" s="186" t="e">
        <v>#N/A</v>
      </c>
      <c r="AB87" s="186" t="e">
        <v>#N/A</v>
      </c>
      <c r="AC87" s="186" t="e">
        <v>#N/A</v>
      </c>
      <c r="AD87" s="186" t="e">
        <v>#N/A</v>
      </c>
      <c r="AE87" s="189" t="e">
        <v>#N/A</v>
      </c>
    </row>
    <row r="88" spans="6:31" ht="16.350000000000001" customHeight="1">
      <c r="F88" s="102" t="s">
        <v>309</v>
      </c>
      <c r="G88" s="91" t="s">
        <v>24</v>
      </c>
      <c r="H88" s="16" t="s">
        <v>200</v>
      </c>
      <c r="I88" s="184" t="str">
        <v>Dcrit</v>
      </c>
      <c r="J88" s="185" t="str">
        <v>mol/m3</v>
      </c>
      <c r="K88" s="186" t="str">
        <v/>
      </c>
      <c r="L88" s="186">
        <v>10139.127999999999</v>
      </c>
      <c r="M88" s="186" t="e">
        <v>#N/A</v>
      </c>
      <c r="N88" s="186" t="e">
        <v>#N/A</v>
      </c>
      <c r="O88" s="186" t="e">
        <v>#N/A</v>
      </c>
      <c r="P88" s="186" t="e">
        <v>#N/A</v>
      </c>
      <c r="Q88" s="186" t="e">
        <v>#N/A</v>
      </c>
      <c r="R88" s="186" t="e">
        <v>#N/A</v>
      </c>
      <c r="S88" s="186" t="e">
        <v>#N/A</v>
      </c>
      <c r="T88" s="186" t="e">
        <v>#N/A</v>
      </c>
      <c r="U88" s="186" t="e">
        <v>#N/A</v>
      </c>
      <c r="V88" s="186" t="e">
        <v>#N/A</v>
      </c>
      <c r="W88" s="186" t="e">
        <v>#N/A</v>
      </c>
      <c r="X88" s="186" t="e">
        <v>#N/A</v>
      </c>
      <c r="Y88" s="186" t="e">
        <v>#N/A</v>
      </c>
      <c r="Z88" s="186" t="e">
        <v>#N/A</v>
      </c>
      <c r="AA88" s="186" t="e">
        <v>#N/A</v>
      </c>
      <c r="AB88" s="186" t="e">
        <v>#N/A</v>
      </c>
      <c r="AC88" s="186" t="e">
        <v>#N/A</v>
      </c>
      <c r="AD88" s="186" t="e">
        <v>#N/A</v>
      </c>
      <c r="AE88" s="189" t="e">
        <v>#N/A</v>
      </c>
    </row>
    <row r="89" spans="6:31" ht="16.350000000000001" customHeight="1">
      <c r="F89" s="102" t="s">
        <v>309</v>
      </c>
      <c r="G89" s="91" t="s">
        <v>162</v>
      </c>
      <c r="H89" s="17" t="s">
        <v>163</v>
      </c>
      <c r="I89" s="184" t="str">
        <v>AF</v>
      </c>
      <c r="J89" s="185" t="str">
        <v>-</v>
      </c>
      <c r="K89" s="186" t="str">
        <v/>
      </c>
      <c r="L89" s="186">
        <v>1.142E-2</v>
      </c>
      <c r="M89" s="186" t="e">
        <v>#N/A</v>
      </c>
      <c r="N89" s="186" t="e">
        <v>#N/A</v>
      </c>
      <c r="O89" s="186" t="e">
        <v>#N/A</v>
      </c>
      <c r="P89" s="186" t="e">
        <v>#N/A</v>
      </c>
      <c r="Q89" s="186" t="e">
        <v>#N/A</v>
      </c>
      <c r="R89" s="186" t="e">
        <v>#N/A</v>
      </c>
      <c r="S89" s="186" t="e">
        <v>#N/A</v>
      </c>
      <c r="T89" s="186" t="e">
        <v>#N/A</v>
      </c>
      <c r="U89" s="186" t="e">
        <v>#N/A</v>
      </c>
      <c r="V89" s="186" t="e">
        <v>#N/A</v>
      </c>
      <c r="W89" s="186" t="e">
        <v>#N/A</v>
      </c>
      <c r="X89" s="186" t="e">
        <v>#N/A</v>
      </c>
      <c r="Y89" s="186" t="e">
        <v>#N/A</v>
      </c>
      <c r="Z89" s="186" t="e">
        <v>#N/A</v>
      </c>
      <c r="AA89" s="186" t="e">
        <v>#N/A</v>
      </c>
      <c r="AB89" s="186" t="e">
        <v>#N/A</v>
      </c>
      <c r="AC89" s="186" t="e">
        <v>#N/A</v>
      </c>
      <c r="AD89" s="186" t="e">
        <v>#N/A</v>
      </c>
      <c r="AE89" s="189" t="e">
        <v>#N/A</v>
      </c>
    </row>
    <row r="90" spans="6:31" ht="16.350000000000001" customHeight="1">
      <c r="F90" s="102" t="s">
        <v>309</v>
      </c>
      <c r="G90" s="91" t="s">
        <v>379</v>
      </c>
      <c r="H90" s="16" t="s">
        <v>201</v>
      </c>
      <c r="I90" s="184" t="str">
        <v>Tmin</v>
      </c>
      <c r="J90" s="185" t="str">
        <v>K</v>
      </c>
      <c r="K90" s="186" t="str">
        <v/>
      </c>
      <c r="L90" s="186">
        <v>90.694100000000006</v>
      </c>
      <c r="M90" s="186" t="e">
        <v>#N/A</v>
      </c>
      <c r="N90" s="186" t="e">
        <v>#N/A</v>
      </c>
      <c r="O90" s="186" t="e">
        <v>#N/A</v>
      </c>
      <c r="P90" s="186" t="e">
        <v>#N/A</v>
      </c>
      <c r="Q90" s="186" t="e">
        <v>#N/A</v>
      </c>
      <c r="R90" s="186" t="e">
        <v>#N/A</v>
      </c>
      <c r="S90" s="186" t="e">
        <v>#N/A</v>
      </c>
      <c r="T90" s="186" t="e">
        <v>#N/A</v>
      </c>
      <c r="U90" s="186" t="e">
        <v>#N/A</v>
      </c>
      <c r="V90" s="186" t="e">
        <v>#N/A</v>
      </c>
      <c r="W90" s="186" t="e">
        <v>#N/A</v>
      </c>
      <c r="X90" s="186" t="e">
        <v>#N/A</v>
      </c>
      <c r="Y90" s="186" t="e">
        <v>#N/A</v>
      </c>
      <c r="Z90" s="186" t="e">
        <v>#N/A</v>
      </c>
      <c r="AA90" s="186" t="e">
        <v>#N/A</v>
      </c>
      <c r="AB90" s="186" t="e">
        <v>#N/A</v>
      </c>
      <c r="AC90" s="186" t="e">
        <v>#N/A</v>
      </c>
      <c r="AD90" s="186" t="e">
        <v>#N/A</v>
      </c>
      <c r="AE90" s="189" t="e">
        <v>#N/A</v>
      </c>
    </row>
    <row r="91" spans="6:31" ht="16.350000000000001" customHeight="1">
      <c r="F91" s="102" t="s">
        <v>309</v>
      </c>
      <c r="G91" s="91" t="s">
        <v>380</v>
      </c>
      <c r="H91" s="16" t="s">
        <v>202</v>
      </c>
      <c r="I91" s="184" t="str">
        <v>Tmax</v>
      </c>
      <c r="J91" s="185" t="str">
        <v>K</v>
      </c>
      <c r="K91" s="186" t="str">
        <v/>
      </c>
      <c r="L91" s="186">
        <v>625</v>
      </c>
      <c r="M91" s="186" t="e">
        <v>#N/A</v>
      </c>
      <c r="N91" s="186" t="e">
        <v>#N/A</v>
      </c>
      <c r="O91" s="186" t="e">
        <v>#N/A</v>
      </c>
      <c r="P91" s="186" t="e">
        <v>#N/A</v>
      </c>
      <c r="Q91" s="186" t="e">
        <v>#N/A</v>
      </c>
      <c r="R91" s="186" t="e">
        <v>#N/A</v>
      </c>
      <c r="S91" s="186" t="e">
        <v>#N/A</v>
      </c>
      <c r="T91" s="186" t="e">
        <v>#N/A</v>
      </c>
      <c r="U91" s="186" t="e">
        <v>#N/A</v>
      </c>
      <c r="V91" s="186" t="e">
        <v>#N/A</v>
      </c>
      <c r="W91" s="186" t="e">
        <v>#N/A</v>
      </c>
      <c r="X91" s="186" t="e">
        <v>#N/A</v>
      </c>
      <c r="Y91" s="186" t="e">
        <v>#N/A</v>
      </c>
      <c r="Z91" s="186" t="e">
        <v>#N/A</v>
      </c>
      <c r="AA91" s="186" t="e">
        <v>#N/A</v>
      </c>
      <c r="AB91" s="186" t="e">
        <v>#N/A</v>
      </c>
      <c r="AC91" s="186" t="e">
        <v>#N/A</v>
      </c>
      <c r="AD91" s="186" t="e">
        <v>#N/A</v>
      </c>
      <c r="AE91" s="189" t="e">
        <v>#N/A</v>
      </c>
    </row>
    <row r="92" spans="6:31" ht="16.350000000000001" customHeight="1">
      <c r="F92" s="102" t="s">
        <v>309</v>
      </c>
      <c r="G92" s="91" t="s">
        <v>381</v>
      </c>
      <c r="H92" s="16" t="s">
        <v>203</v>
      </c>
      <c r="I92" s="184" t="str">
        <v>pmax</v>
      </c>
      <c r="J92" s="185" t="str">
        <v>MPa</v>
      </c>
      <c r="K92" s="186" t="str">
        <v/>
      </c>
      <c r="L92" s="186">
        <v>1000</v>
      </c>
      <c r="M92" s="186" t="e">
        <v>#N/A</v>
      </c>
      <c r="N92" s="186" t="e">
        <v>#N/A</v>
      </c>
      <c r="O92" s="186" t="e">
        <v>#N/A</v>
      </c>
      <c r="P92" s="186" t="e">
        <v>#N/A</v>
      </c>
      <c r="Q92" s="186" t="e">
        <v>#N/A</v>
      </c>
      <c r="R92" s="186" t="e">
        <v>#N/A</v>
      </c>
      <c r="S92" s="186" t="e">
        <v>#N/A</v>
      </c>
      <c r="T92" s="186" t="e">
        <v>#N/A</v>
      </c>
      <c r="U92" s="186" t="e">
        <v>#N/A</v>
      </c>
      <c r="V92" s="186" t="e">
        <v>#N/A</v>
      </c>
      <c r="W92" s="186" t="e">
        <v>#N/A</v>
      </c>
      <c r="X92" s="186" t="e">
        <v>#N/A</v>
      </c>
      <c r="Y92" s="186" t="e">
        <v>#N/A</v>
      </c>
      <c r="Z92" s="186" t="e">
        <v>#N/A</v>
      </c>
      <c r="AA92" s="186" t="e">
        <v>#N/A</v>
      </c>
      <c r="AB92" s="186" t="e">
        <v>#N/A</v>
      </c>
      <c r="AC92" s="186" t="e">
        <v>#N/A</v>
      </c>
      <c r="AD92" s="186" t="e">
        <v>#N/A</v>
      </c>
      <c r="AE92" s="189" t="e">
        <v>#N/A</v>
      </c>
    </row>
    <row r="93" spans="6:31" ht="16.350000000000001" customHeight="1">
      <c r="F93" s="102" t="s">
        <v>309</v>
      </c>
      <c r="G93" s="91" t="s">
        <v>382</v>
      </c>
      <c r="H93" s="16" t="s">
        <v>204</v>
      </c>
      <c r="I93" s="184" t="str">
        <v>Dmax</v>
      </c>
      <c r="J93" s="185" t="str">
        <v>mol/m3</v>
      </c>
      <c r="K93" s="186" t="str">
        <v/>
      </c>
      <c r="L93" s="190">
        <v>40072</v>
      </c>
      <c r="M93" s="190" t="e">
        <v>#N/A</v>
      </c>
      <c r="N93" s="190" t="e">
        <v>#N/A</v>
      </c>
      <c r="O93" s="190" t="e">
        <v>#N/A</v>
      </c>
      <c r="P93" s="190" t="e">
        <v>#N/A</v>
      </c>
      <c r="Q93" s="190" t="e">
        <v>#N/A</v>
      </c>
      <c r="R93" s="190" t="e">
        <v>#N/A</v>
      </c>
      <c r="S93" s="190" t="e">
        <v>#N/A</v>
      </c>
      <c r="T93" s="190" t="e">
        <v>#N/A</v>
      </c>
      <c r="U93" s="190" t="e">
        <v>#N/A</v>
      </c>
      <c r="V93" s="190" t="e">
        <v>#N/A</v>
      </c>
      <c r="W93" s="190" t="e">
        <v>#N/A</v>
      </c>
      <c r="X93" s="190" t="e">
        <v>#N/A</v>
      </c>
      <c r="Y93" s="190" t="e">
        <v>#N/A</v>
      </c>
      <c r="Z93" s="190" t="e">
        <v>#N/A</v>
      </c>
      <c r="AA93" s="190" t="e">
        <v>#N/A</v>
      </c>
      <c r="AB93" s="190" t="e">
        <v>#N/A</v>
      </c>
      <c r="AC93" s="190" t="e">
        <v>#N/A</v>
      </c>
      <c r="AD93" s="190" t="e">
        <v>#N/A</v>
      </c>
      <c r="AE93" s="191" t="e">
        <v>#N/A</v>
      </c>
    </row>
    <row r="94" spans="6:31" ht="16.350000000000001" customHeight="1">
      <c r="F94" s="102" t="s">
        <v>313</v>
      </c>
      <c r="G94" s="91"/>
      <c r="H94" s="16"/>
      <c r="I94" s="4"/>
      <c r="K94" s="12"/>
      <c r="L94" s="60"/>
    </row>
    <row r="95" spans="6:31" ht="16.350000000000001" customHeight="1">
      <c r="F95" s="102" t="s">
        <v>309</v>
      </c>
      <c r="G95" s="91" t="s">
        <v>314</v>
      </c>
      <c r="H95" s="16"/>
      <c r="I95" s="179" t="s">
        <v>95</v>
      </c>
      <c r="J95" s="3" t="str">
        <f>[2]!PROPUNIT(I95,Unit,ShowErrorCode)</f>
        <v>kg/mol</v>
      </c>
      <c r="K95" s="12">
        <f>[2]!TRENDSPECEOS(Fluids,Composition,EqType,MixRules,EOSPath,Unit,ShowErrorCode,I95)</f>
        <v>1.6042799999999999E-2</v>
      </c>
      <c r="L95" s="13"/>
      <c r="M95" s="93" t="str">
        <f>[2]!ERRORTEXT(K95)</f>
        <v/>
      </c>
    </row>
    <row r="96" spans="6:31" ht="16.350000000000001" customHeight="1">
      <c r="F96" s="102" t="s">
        <v>309</v>
      </c>
      <c r="G96" s="91" t="s">
        <v>315</v>
      </c>
      <c r="H96" s="179">
        <v>2</v>
      </c>
      <c r="I96" s="179" t="s">
        <v>316</v>
      </c>
      <c r="J96" s="71" t="str">
        <f>[2]!PROPUNIT(I96,Unit,ShowErrorCode)</f>
        <v>-</v>
      </c>
      <c r="K96" s="12">
        <f>[2]!TRENDSPECEOS(Fluids,Composition,EqType,MixRules,EOSPath,Unit,ShowErrorCode,I96,H96)</f>
        <v>-1003</v>
      </c>
      <c r="L96" s="13"/>
      <c r="M96" s="93" t="str">
        <f>[2]!ERRORTEXT(K96)</f>
        <v>Excel/VBA: Invalid 'FluidIndex' specified.</v>
      </c>
    </row>
    <row r="97" spans="5:31" ht="16.350000000000001" customHeight="1">
      <c r="F97" s="102" t="s">
        <v>310</v>
      </c>
      <c r="G97" s="91" t="s">
        <v>216</v>
      </c>
      <c r="H97" s="4" t="s">
        <v>311</v>
      </c>
      <c r="I97" s="4"/>
      <c r="J97" s="12"/>
      <c r="K97" s="12" t="str">
        <f>[2]!CASFROMFLUID(K82,ShowErrorCode)</f>
        <v/>
      </c>
      <c r="L97" s="86" t="str">
        <f t="shared" ref="L97:AE97" si="0">[2]!CASFROMFLUID(L82,ShowErrorCode)</f>
        <v xml:space="preserve">74-82-8     </v>
      </c>
      <c r="M97" s="86" t="e">
        <f t="shared" si="0"/>
        <v>#N/A</v>
      </c>
      <c r="N97" s="86" t="e">
        <f>[2]!CASFROMFLUID(N82,ShowErrorCode)</f>
        <v>#N/A</v>
      </c>
      <c r="O97" s="86" t="e">
        <f t="shared" si="0"/>
        <v>#N/A</v>
      </c>
      <c r="P97" s="86" t="e">
        <f t="shared" si="0"/>
        <v>#N/A</v>
      </c>
      <c r="Q97" s="86" t="e">
        <f t="shared" si="0"/>
        <v>#N/A</v>
      </c>
      <c r="R97" s="86" t="e">
        <f t="shared" si="0"/>
        <v>#N/A</v>
      </c>
      <c r="S97" s="86" t="e">
        <f t="shared" si="0"/>
        <v>#N/A</v>
      </c>
      <c r="T97" s="86" t="e">
        <f t="shared" si="0"/>
        <v>#N/A</v>
      </c>
      <c r="U97" s="86" t="e">
        <f t="shared" si="0"/>
        <v>#N/A</v>
      </c>
      <c r="V97" s="86" t="e">
        <f t="shared" si="0"/>
        <v>#N/A</v>
      </c>
      <c r="W97" s="86" t="e">
        <f t="shared" si="0"/>
        <v>#N/A</v>
      </c>
      <c r="X97" s="86" t="e">
        <f t="shared" si="0"/>
        <v>#N/A</v>
      </c>
      <c r="Y97" s="86" t="e">
        <f t="shared" si="0"/>
        <v>#N/A</v>
      </c>
      <c r="Z97" s="86" t="e">
        <f t="shared" si="0"/>
        <v>#N/A</v>
      </c>
      <c r="AA97" s="86" t="e">
        <f t="shared" si="0"/>
        <v>#N/A</v>
      </c>
      <c r="AB97" s="86" t="e">
        <f t="shared" si="0"/>
        <v>#N/A</v>
      </c>
      <c r="AC97" s="86" t="e">
        <f t="shared" si="0"/>
        <v>#N/A</v>
      </c>
      <c r="AD97" s="86" t="e">
        <f t="shared" si="0"/>
        <v>#N/A</v>
      </c>
      <c r="AE97" s="87" t="e">
        <f t="shared" si="0"/>
        <v>#N/A</v>
      </c>
    </row>
    <row r="98" spans="5:31" ht="16.350000000000001" customHeight="1">
      <c r="F98" s="102" t="s">
        <v>372</v>
      </c>
      <c r="G98" s="91" t="s">
        <v>243</v>
      </c>
      <c r="H98" s="4" t="s">
        <v>244</v>
      </c>
      <c r="I98" s="182" t="s">
        <v>182</v>
      </c>
      <c r="J98" s="100"/>
      <c r="K98" s="133" t="str">
        <f>[2]!LiteratureReference(I98,Fluids,Composition,EqType,EOSPath,ShowErrorCode)</f>
        <v>Setzmann, U. and Wagner, W., "A New Equation of State and Tables of Thermodynamic Properties for Methane Covering the Range from the Melting Line to 625 K at Pressures up to 1000 MPa," J. Phys. Chem. Ref. Data, 20(6):1061-1151, 1991.</v>
      </c>
      <c r="L98" s="83"/>
      <c r="M98" s="81"/>
      <c r="N98" s="81"/>
      <c r="O98" s="81"/>
      <c r="P98" s="81"/>
      <c r="Q98" s="81"/>
      <c r="R98" s="81"/>
      <c r="S98" s="81"/>
      <c r="T98" s="81"/>
      <c r="U98" s="81"/>
      <c r="V98" s="81"/>
      <c r="W98" s="81"/>
      <c r="X98" s="81"/>
      <c r="Y98" s="81"/>
      <c r="Z98" s="81"/>
      <c r="AA98" s="81"/>
      <c r="AB98" s="81"/>
      <c r="AC98" s="81"/>
      <c r="AD98" s="81"/>
      <c r="AE98" s="81"/>
    </row>
    <row r="99" spans="5:31" ht="16.350000000000001" customHeight="1">
      <c r="F99" s="102"/>
      <c r="G99" s="91"/>
      <c r="H99" s="4"/>
      <c r="I99" s="182" t="s">
        <v>301</v>
      </c>
      <c r="J99" s="100"/>
      <c r="K99" s="133" t="str">
        <f>[2]!LiteratureReference(I99,Fluids,Composition,EqType,EOSPath,ShowErrorCode)</f>
        <v>Harvey, A.H. and Lemmon, E.W., "Method for Estimating the Dielectric Constant of Natural Gas Mixtures," Int. J. Thermophys., 26(1):31-46, 2005. doi: 10.1007/s10765-005-2351-5</v>
      </c>
      <c r="L99" s="80"/>
      <c r="M99" s="98"/>
      <c r="N99" s="98"/>
      <c r="O99" s="98"/>
      <c r="P99" s="98"/>
      <c r="Q99" s="98"/>
      <c r="R99" s="98"/>
      <c r="S99" s="98"/>
      <c r="T99" s="98"/>
      <c r="U99" s="98"/>
      <c r="V99" s="98"/>
      <c r="W99" s="98"/>
      <c r="X99" s="98"/>
      <c r="Y99" s="98"/>
      <c r="Z99" s="98"/>
      <c r="AA99" s="98"/>
      <c r="AB99" s="98"/>
      <c r="AC99" s="98"/>
      <c r="AD99" s="98"/>
      <c r="AE99" s="98"/>
    </row>
    <row r="100" spans="5:31" ht="16.350000000000001" customHeight="1">
      <c r="F100" s="102"/>
      <c r="G100" s="91"/>
      <c r="H100" s="4"/>
      <c r="I100" s="182" t="s">
        <v>299</v>
      </c>
      <c r="J100" s="100"/>
      <c r="K100" s="133" t="str">
        <f>[2]!LiteratureReference(I100,Fluids,Composition,EqType,EOSPath,ShowErrorCode)</f>
        <v>Friend, D.G., Ely, J.F., and Ingham, H., "Tables for the Thermophysical Properties of Methane," NIST Technical Note 1325, 1989.</v>
      </c>
      <c r="L100" s="80"/>
      <c r="M100" s="98"/>
      <c r="N100" s="98"/>
      <c r="O100" s="98"/>
      <c r="P100" s="98"/>
      <c r="Q100" s="98"/>
      <c r="R100" s="98"/>
      <c r="S100" s="98"/>
      <c r="T100" s="98"/>
      <c r="U100" s="98"/>
      <c r="V100" s="98"/>
      <c r="W100" s="98"/>
      <c r="X100" s="98"/>
      <c r="Y100" s="98"/>
      <c r="Z100" s="98"/>
      <c r="AA100" s="98"/>
      <c r="AB100" s="98"/>
      <c r="AC100" s="98"/>
      <c r="AD100" s="98"/>
      <c r="AE100" s="98"/>
    </row>
    <row r="101" spans="5:31" ht="16.350000000000001" customHeight="1">
      <c r="F101" s="102"/>
      <c r="G101" s="91"/>
      <c r="H101" s="4"/>
      <c r="I101" s="182" t="s">
        <v>306</v>
      </c>
      <c r="J101" s="100"/>
      <c r="K101" s="133" t="str">
        <f>[2]!LiteratureReference(I101,Fluids,Composition,EqType,EOSPath,ShowErrorCode)</f>
        <v>Mulero, A., Cachadina, I., and Parra, M.I., "Recommended Correlations for the Surface Tension of Common Fluids," J. Phys. Chem. Ref. Data, 41(4), 043105, 2012. doi: 10.1063/1.4768782</v>
      </c>
      <c r="L101" s="80"/>
      <c r="M101" s="98"/>
      <c r="N101" s="98"/>
      <c r="O101" s="98"/>
      <c r="P101" s="98"/>
      <c r="Q101" s="98"/>
      <c r="R101" s="98"/>
      <c r="S101" s="98"/>
      <c r="T101" s="98"/>
      <c r="U101" s="98"/>
      <c r="V101" s="98"/>
      <c r="W101" s="98"/>
      <c r="X101" s="98"/>
      <c r="Y101" s="98"/>
      <c r="Z101" s="98"/>
      <c r="AA101" s="98"/>
      <c r="AB101" s="98"/>
      <c r="AC101" s="98"/>
      <c r="AD101" s="98"/>
      <c r="AE101" s="98"/>
    </row>
    <row r="102" spans="5:31" ht="16.350000000000001" customHeight="1">
      <c r="F102" s="102"/>
      <c r="G102" s="91"/>
      <c r="H102" s="4"/>
      <c r="I102" s="182" t="s">
        <v>298</v>
      </c>
      <c r="J102" s="100"/>
      <c r="K102" s="133" t="str">
        <f>[2]!LiteratureReference(I102,Fluids,Composition,EqType,EOSPath,ShowErrorCode)</f>
        <v>Vogel, E., Wilhelm, J., Kuechenmeister, C., and Jaesche, M., "High-precision viscosity measurements on methane," High Temp. - High Pressures, 32(1):73-81, 2000.</v>
      </c>
      <c r="L102" s="80"/>
      <c r="M102" s="98"/>
      <c r="N102" s="98"/>
      <c r="O102" s="321"/>
      <c r="P102" s="321"/>
      <c r="Q102" s="321"/>
      <c r="R102" s="322"/>
      <c r="S102" s="98"/>
      <c r="T102" s="98"/>
      <c r="U102" s="98"/>
      <c r="V102" s="98"/>
      <c r="W102" s="98"/>
      <c r="X102" s="98"/>
      <c r="Y102" s="98"/>
      <c r="Z102" s="98"/>
      <c r="AA102" s="98"/>
      <c r="AB102" s="98"/>
      <c r="AC102" s="98"/>
      <c r="AD102" s="98"/>
      <c r="AE102" s="98"/>
    </row>
    <row r="103" spans="5:31" ht="16.350000000000001" customHeight="1">
      <c r="F103" s="102"/>
      <c r="G103" s="91"/>
      <c r="H103" s="4"/>
      <c r="I103" s="182" t="s">
        <v>307</v>
      </c>
      <c r="J103" s="100"/>
      <c r="K103" s="133" t="str">
        <f>[2]!LiteratureReference(I103,Fluids,Composition,EqType,EOSPath,ShowErrorCode)</f>
        <v>Setzmann, U. and Wagner, W., "A New Equation of State and Tables of Thermodynamic Properties for Methane Covering the Range from the Melting Line to 625 K at Pressures up to 1000 MPa," J. Phys. Chem. Ref. Data, 20(6):1061-1151, 1991.</v>
      </c>
      <c r="L103" s="80"/>
      <c r="M103" s="98"/>
      <c r="N103" s="98"/>
      <c r="O103" s="323"/>
      <c r="P103" s="321"/>
      <c r="Q103" s="321"/>
      <c r="R103" s="322"/>
      <c r="S103" s="98"/>
      <c r="T103" s="98"/>
      <c r="U103" s="98"/>
      <c r="V103" s="98"/>
      <c r="W103" s="98"/>
      <c r="X103" s="98"/>
      <c r="Y103" s="98"/>
      <c r="Z103" s="98"/>
      <c r="AA103" s="98"/>
      <c r="AB103" s="98"/>
      <c r="AC103" s="98"/>
      <c r="AD103" s="98"/>
      <c r="AE103" s="98"/>
    </row>
    <row r="104" spans="5:31" ht="16.350000000000001" customHeight="1">
      <c r="F104" s="102"/>
      <c r="G104" s="91"/>
      <c r="H104" s="4"/>
      <c r="I104" s="182" t="s">
        <v>308</v>
      </c>
      <c r="J104" s="100"/>
      <c r="K104" s="133" t="str">
        <f>[2]!LiteratureReference(I104,Fluids,Composition,EqType,EOSPath,ShowErrorCode)</f>
        <v>Lemmon, E.W., 2002.</v>
      </c>
      <c r="L104" s="80"/>
      <c r="M104" s="98"/>
      <c r="N104" s="98"/>
      <c r="O104" s="323"/>
      <c r="P104" s="321"/>
      <c r="Q104" s="321"/>
      <c r="R104" s="324"/>
      <c r="S104" s="98"/>
      <c r="T104" s="98"/>
      <c r="U104" s="98"/>
      <c r="V104" s="98"/>
      <c r="W104" s="98"/>
      <c r="X104" s="98"/>
      <c r="Y104" s="98"/>
      <c r="Z104" s="98"/>
      <c r="AA104" s="98"/>
      <c r="AB104" s="98"/>
      <c r="AC104" s="98"/>
      <c r="AD104" s="98"/>
      <c r="AE104" s="98"/>
    </row>
    <row r="105" spans="5:31" ht="16.350000000000001" customHeight="1">
      <c r="F105" s="102"/>
      <c r="G105" s="91"/>
      <c r="H105" s="17"/>
      <c r="I105" s="4"/>
      <c r="J105" s="98"/>
      <c r="K105" s="98"/>
      <c r="L105" s="80"/>
      <c r="M105" s="98"/>
      <c r="N105" s="98"/>
      <c r="O105" s="323"/>
      <c r="P105" s="321"/>
      <c r="Q105" s="321"/>
      <c r="R105" s="324"/>
      <c r="T105" s="98"/>
      <c r="U105" s="98"/>
      <c r="V105" s="98"/>
      <c r="W105" s="98"/>
      <c r="X105" s="98"/>
      <c r="Y105" s="98"/>
      <c r="Z105" s="98"/>
      <c r="AA105" s="98"/>
      <c r="AB105" s="98"/>
      <c r="AC105" s="98"/>
      <c r="AD105" s="98"/>
      <c r="AE105" s="98"/>
    </row>
    <row r="106" spans="5:31" ht="16.350000000000001" customHeight="1">
      <c r="F106" s="134" t="s">
        <v>57</v>
      </c>
      <c r="G106" s="135"/>
      <c r="H106" s="135"/>
      <c r="I106" s="135"/>
      <c r="J106" s="135"/>
      <c r="K106" s="136"/>
      <c r="L106" s="80"/>
      <c r="O106" s="321"/>
      <c r="P106" s="321"/>
      <c r="Q106" s="321"/>
      <c r="R106" s="325"/>
    </row>
    <row r="107" spans="5:31" s="118" customFormat="1" ht="16.350000000000001" customHeight="1">
      <c r="E107" s="111"/>
      <c r="F107" s="102" t="s">
        <v>56</v>
      </c>
      <c r="G107" s="91"/>
      <c r="H107" s="75"/>
      <c r="I107" s="192" t="str">
        <f t="array" ref="I107:K122">[2]!ALLEOS(InputCode,Prop1,Prop2,Fluids,Composition,EqType,MixRules,EOSPath,Unit,ShowErrorCode)</f>
        <v>CalcType</v>
      </c>
      <c r="J107" s="186" t="str">
        <v>Unit</v>
      </c>
      <c r="K107" s="185" t="str">
        <v>Value</v>
      </c>
      <c r="L107" s="80"/>
      <c r="O107" s="326"/>
      <c r="P107" s="327"/>
      <c r="Q107" s="327"/>
      <c r="R107" s="327"/>
    </row>
    <row r="108" spans="5:31" ht="16.350000000000001" customHeight="1">
      <c r="F108" s="102" t="s">
        <v>56</v>
      </c>
      <c r="G108" s="91" t="s">
        <v>3</v>
      </c>
      <c r="H108" s="16" t="s">
        <v>28</v>
      </c>
      <c r="I108" s="192" t="str">
        <v>T</v>
      </c>
      <c r="J108" s="186" t="str">
        <v>K</v>
      </c>
      <c r="K108" s="185">
        <v>300</v>
      </c>
      <c r="L108" s="80"/>
      <c r="M108" s="93" t="str">
        <f>[2]!ERRORTEXT(K108)</f>
        <v/>
      </c>
      <c r="O108" s="328"/>
      <c r="P108" s="329"/>
      <c r="Q108" s="327"/>
      <c r="R108" s="327"/>
    </row>
    <row r="109" spans="5:31" ht="16.350000000000001" customHeight="1">
      <c r="F109" s="102" t="s">
        <v>56</v>
      </c>
      <c r="G109" s="91" t="s">
        <v>2</v>
      </c>
      <c r="H109" s="17" t="s">
        <v>27</v>
      </c>
      <c r="I109" s="192" t="str">
        <v>D</v>
      </c>
      <c r="J109" s="186" t="str">
        <v>mol/m3</v>
      </c>
      <c r="K109" s="185">
        <v>21265.66665660276</v>
      </c>
      <c r="L109" s="80"/>
      <c r="M109" s="93" t="str">
        <f>[2]!ERRORTEXT(K109)</f>
        <v/>
      </c>
      <c r="O109" s="328"/>
      <c r="P109" s="327"/>
      <c r="Q109" s="327"/>
      <c r="R109" s="327"/>
    </row>
    <row r="110" spans="5:31" ht="16.350000000000001" customHeight="1">
      <c r="F110" s="102" t="s">
        <v>56</v>
      </c>
      <c r="G110" s="91" t="s">
        <v>4</v>
      </c>
      <c r="H110" s="16" t="s">
        <v>29</v>
      </c>
      <c r="I110" s="192" t="str">
        <v>P</v>
      </c>
      <c r="J110" s="186" t="str">
        <v>MPa</v>
      </c>
      <c r="K110" s="185">
        <v>100</v>
      </c>
      <c r="L110" s="80"/>
      <c r="M110" s="93" t="str">
        <f>[2]!ERRORTEXT(K110)</f>
        <v/>
      </c>
      <c r="O110" s="328"/>
      <c r="P110" s="327"/>
      <c r="Q110" s="327"/>
      <c r="R110" s="327"/>
    </row>
    <row r="111" spans="5:31" ht="16.350000000000001" customHeight="1">
      <c r="F111" s="102" t="s">
        <v>56</v>
      </c>
      <c r="G111" s="91" t="s">
        <v>19</v>
      </c>
      <c r="H111" s="16" t="s">
        <v>31</v>
      </c>
      <c r="I111" s="192" t="str">
        <v>U</v>
      </c>
      <c r="J111" s="186" t="str">
        <v>J/mol</v>
      </c>
      <c r="K111" s="185">
        <v>7086.5127742715104</v>
      </c>
      <c r="L111" s="80"/>
      <c r="M111" s="93" t="str">
        <f>[2]!ERRORTEXT(K111)</f>
        <v/>
      </c>
      <c r="O111" s="328"/>
      <c r="P111" s="329"/>
      <c r="Q111" s="327"/>
      <c r="R111" s="327"/>
    </row>
    <row r="112" spans="5:31" ht="16.350000000000001" customHeight="1">
      <c r="F112" s="102" t="s">
        <v>56</v>
      </c>
      <c r="G112" s="91" t="s">
        <v>5</v>
      </c>
      <c r="H112" s="16" t="s">
        <v>30</v>
      </c>
      <c r="I112" s="192" t="str">
        <v>H</v>
      </c>
      <c r="J112" s="186" t="str">
        <v>J/mol</v>
      </c>
      <c r="K112" s="185">
        <v>11788.928250578767</v>
      </c>
      <c r="L112" s="80"/>
      <c r="M112" s="93" t="str">
        <f>[2]!ERRORTEXT(K112)</f>
        <v/>
      </c>
      <c r="O112" s="328"/>
      <c r="P112" s="327"/>
      <c r="Q112" s="327"/>
      <c r="R112" s="327"/>
    </row>
    <row r="113" spans="5:18" ht="16.350000000000001" customHeight="1">
      <c r="F113" s="102" t="s">
        <v>56</v>
      </c>
      <c r="G113" s="91" t="s">
        <v>6</v>
      </c>
      <c r="H113" s="16" t="s">
        <v>32</v>
      </c>
      <c r="I113" s="192" t="str">
        <v>S</v>
      </c>
      <c r="J113" s="186" t="str">
        <v>J/(mol K)</v>
      </c>
      <c r="K113" s="185">
        <v>40.125522640218762</v>
      </c>
      <c r="L113" s="80"/>
      <c r="M113" s="93" t="str">
        <f>[2]!ERRORTEXT(K113)</f>
        <v/>
      </c>
      <c r="O113" s="328"/>
      <c r="P113" s="327"/>
      <c r="Q113" s="327"/>
      <c r="R113" s="327"/>
    </row>
    <row r="114" spans="5:18" ht="16.350000000000001" customHeight="1">
      <c r="F114" s="102" t="s">
        <v>56</v>
      </c>
      <c r="G114" s="91" t="s">
        <v>9</v>
      </c>
      <c r="H114" s="16" t="s">
        <v>33</v>
      </c>
      <c r="I114" s="192" t="str">
        <v>G</v>
      </c>
      <c r="J114" s="186" t="str">
        <v>J/mol</v>
      </c>
      <c r="K114" s="193">
        <v>-248.72854148686426</v>
      </c>
      <c r="L114" s="80"/>
      <c r="M114" s="93" t="str">
        <f>[2]!ERRORTEXT(K114)</f>
        <v/>
      </c>
      <c r="O114" s="328"/>
      <c r="P114" s="329"/>
      <c r="Q114" s="327"/>
      <c r="R114" s="327"/>
    </row>
    <row r="115" spans="5:18" ht="16.350000000000001" customHeight="1">
      <c r="F115" s="102" t="s">
        <v>56</v>
      </c>
      <c r="G115" s="91" t="s">
        <v>10</v>
      </c>
      <c r="H115" s="16" t="s">
        <v>34</v>
      </c>
      <c r="I115" s="192" t="str">
        <v>A</v>
      </c>
      <c r="J115" s="186" t="str">
        <v>J/mol</v>
      </c>
      <c r="K115" s="193">
        <v>-4951.1440177941195</v>
      </c>
      <c r="L115" s="80"/>
      <c r="M115" s="93" t="str">
        <f>[2]!ERRORTEXT(K115)</f>
        <v/>
      </c>
      <c r="O115" s="328"/>
      <c r="P115" s="329"/>
      <c r="Q115" s="327"/>
      <c r="R115" s="327"/>
    </row>
    <row r="116" spans="5:18" ht="16.350000000000001" customHeight="1">
      <c r="F116" s="102" t="s">
        <v>56</v>
      </c>
      <c r="G116" s="91" t="s">
        <v>7</v>
      </c>
      <c r="H116" s="16" t="s">
        <v>59</v>
      </c>
      <c r="I116" s="192" t="str">
        <v>CP</v>
      </c>
      <c r="J116" s="186" t="str">
        <v>J/(mol K)</v>
      </c>
      <c r="K116" s="185">
        <v>48.28121160991541</v>
      </c>
      <c r="L116" s="80"/>
      <c r="M116" s="93" t="str">
        <f>[2]!ERRORTEXT(K116)</f>
        <v/>
      </c>
      <c r="O116" s="328"/>
      <c r="P116" s="329"/>
      <c r="Q116" s="327"/>
      <c r="R116" s="327"/>
    </row>
    <row r="117" spans="5:18" ht="16.350000000000001" customHeight="1">
      <c r="F117" s="102" t="s">
        <v>56</v>
      </c>
      <c r="G117" s="91" t="s">
        <v>8</v>
      </c>
      <c r="H117" s="16" t="s">
        <v>60</v>
      </c>
      <c r="I117" s="192" t="str">
        <v>CV</v>
      </c>
      <c r="J117" s="186" t="str">
        <v>J/(mol K)</v>
      </c>
      <c r="K117" s="185">
        <v>31.822817371250895</v>
      </c>
      <c r="L117" s="80"/>
      <c r="M117" s="93" t="str">
        <f>[2]!ERRORTEXT(K117)</f>
        <v/>
      </c>
      <c r="O117" s="328"/>
      <c r="P117" s="329"/>
      <c r="Q117" s="327"/>
      <c r="R117" s="327"/>
    </row>
    <row r="118" spans="5:18" ht="16.350000000000001" customHeight="1">
      <c r="F118" s="102" t="s">
        <v>56</v>
      </c>
      <c r="G118" s="91" t="s">
        <v>18</v>
      </c>
      <c r="H118" s="16" t="s">
        <v>61</v>
      </c>
      <c r="I118" s="192" t="str">
        <v>WS</v>
      </c>
      <c r="J118" s="186" t="str">
        <v>m/s</v>
      </c>
      <c r="K118" s="185">
        <v>1267.5226086311291</v>
      </c>
      <c r="L118" s="80"/>
      <c r="M118" s="93" t="str">
        <f>[2]!ERRORTEXT(K118)</f>
        <v/>
      </c>
      <c r="O118" s="328"/>
      <c r="P118" s="329"/>
      <c r="Q118" s="327"/>
      <c r="R118" s="327"/>
    </row>
    <row r="119" spans="5:18" ht="16.350000000000001" customHeight="1">
      <c r="F119" s="102" t="s">
        <v>56</v>
      </c>
      <c r="G119" s="91" t="s">
        <v>166</v>
      </c>
      <c r="H119" s="16" t="s">
        <v>35</v>
      </c>
      <c r="I119" s="192" t="str">
        <v>BVIR</v>
      </c>
      <c r="J119" s="186" t="str">
        <v>m3/mol</v>
      </c>
      <c r="K119" s="194">
        <v>-4.2210049267348499E-5</v>
      </c>
      <c r="L119" s="80"/>
      <c r="M119" s="93" t="str">
        <f>[2]!ERRORTEXT(K119)</f>
        <v/>
      </c>
      <c r="O119" s="328"/>
      <c r="P119" s="329"/>
      <c r="Q119" s="327"/>
      <c r="R119" s="327"/>
    </row>
    <row r="120" spans="5:18" ht="16.350000000000001" customHeight="1">
      <c r="F120" s="102" t="s">
        <v>56</v>
      </c>
      <c r="G120" s="91" t="s">
        <v>167</v>
      </c>
      <c r="H120" s="16" t="s">
        <v>36</v>
      </c>
      <c r="I120" s="192" t="str">
        <v>CVIR</v>
      </c>
      <c r="J120" s="186" t="str">
        <v>m6/mol2</v>
      </c>
      <c r="K120" s="194">
        <v>2.4935394397198733E-9</v>
      </c>
      <c r="L120" s="80"/>
      <c r="M120" s="93" t="str">
        <f>[2]!ERRORTEXT(K120)</f>
        <v/>
      </c>
      <c r="O120" s="328"/>
      <c r="P120" s="329"/>
      <c r="Q120" s="327"/>
      <c r="R120" s="327"/>
    </row>
    <row r="121" spans="5:18" ht="16.350000000000001" customHeight="1">
      <c r="F121" s="102" t="s">
        <v>56</v>
      </c>
      <c r="G121" s="91" t="s">
        <v>20</v>
      </c>
      <c r="H121" s="16" t="s">
        <v>78</v>
      </c>
      <c r="I121" s="192" t="str">
        <v>CP0</v>
      </c>
      <c r="J121" s="186" t="str">
        <v>J/(mol K)</v>
      </c>
      <c r="K121" s="185">
        <v>35.777516279687823</v>
      </c>
      <c r="L121" s="80"/>
      <c r="M121" s="93" t="str">
        <f>[2]!ERRORTEXT(K121)</f>
        <v/>
      </c>
      <c r="O121" s="328"/>
      <c r="P121" s="329"/>
      <c r="Q121" s="327"/>
      <c r="R121" s="327"/>
    </row>
    <row r="122" spans="5:18" ht="16.350000000000001" customHeight="1">
      <c r="F122" s="102" t="s">
        <v>56</v>
      </c>
      <c r="G122" s="91" t="s">
        <v>383</v>
      </c>
      <c r="H122" s="317" t="s">
        <v>49</v>
      </c>
      <c r="I122" s="184" t="str">
        <v>Q</v>
      </c>
      <c r="J122" s="186" t="str">
        <v>mol/mol</v>
      </c>
      <c r="K122" s="201">
        <v>1</v>
      </c>
      <c r="L122" s="98"/>
      <c r="M122" s="93" t="str">
        <f>[2]!ERRORTEXT(K122)</f>
        <v/>
      </c>
    </row>
    <row r="123" spans="5:18" s="163" customFormat="1" ht="16.350000000000001" customHeight="1">
      <c r="E123" s="157"/>
      <c r="F123" s="102"/>
      <c r="G123" s="91"/>
      <c r="H123" s="317"/>
      <c r="I123" s="184"/>
      <c r="J123" s="186"/>
      <c r="K123" s="201"/>
      <c r="L123" s="98"/>
      <c r="M123" s="93"/>
    </row>
    <row r="124" spans="5:18" s="163" customFormat="1" ht="16.350000000000001" customHeight="1">
      <c r="E124" s="157"/>
      <c r="F124" s="134" t="s">
        <v>415</v>
      </c>
      <c r="G124" s="135"/>
      <c r="H124" s="135"/>
      <c r="I124" s="135"/>
      <c r="J124" s="135"/>
      <c r="K124" s="136"/>
      <c r="L124" s="98"/>
      <c r="M124" s="93"/>
    </row>
    <row r="125" spans="5:18" s="163" customFormat="1" ht="16.350000000000001" customHeight="1">
      <c r="E125" s="157"/>
      <c r="F125" s="102"/>
      <c r="G125" s="91" t="s">
        <v>373</v>
      </c>
      <c r="H125" s="320">
        <v>0</v>
      </c>
      <c r="I125" s="184"/>
      <c r="J125" s="186"/>
      <c r="K125" s="201"/>
      <c r="L125" s="98"/>
      <c r="M125" s="93"/>
    </row>
    <row r="126" spans="5:18" s="163" customFormat="1" ht="16.350000000000001" customHeight="1">
      <c r="E126" s="157"/>
      <c r="F126" s="80"/>
      <c r="G126" s="91" t="s">
        <v>414</v>
      </c>
      <c r="H126" s="317"/>
      <c r="I126" s="184"/>
      <c r="J126" s="186"/>
      <c r="K126" s="201"/>
      <c r="L126" s="98"/>
      <c r="M126" s="93"/>
    </row>
    <row r="127" spans="5:18" s="163" customFormat="1" ht="16.350000000000001" customHeight="1">
      <c r="E127" s="157"/>
      <c r="F127" s="102" t="s">
        <v>350</v>
      </c>
      <c r="G127" s="91"/>
      <c r="H127" s="317"/>
      <c r="I127" s="192" t="str">
        <f t="array" ref="I127:K141">[2]!ALLHOMEOS(InputCode,Prop1,Prop2,Fluids,Composition,EqType,MixRules,EOSPath,Unit,ShowErrorCode,$R$106)</f>
        <v>CalcType</v>
      </c>
      <c r="J127" s="197" t="str">
        <v>Unit</v>
      </c>
      <c r="K127" s="189" t="str">
        <v>Value</v>
      </c>
      <c r="L127" s="98"/>
      <c r="M127" s="93"/>
    </row>
    <row r="128" spans="5:18" s="163" customFormat="1" ht="16.350000000000001" customHeight="1">
      <c r="E128" s="157"/>
      <c r="F128" s="102" t="s">
        <v>350</v>
      </c>
      <c r="G128" s="91" t="s">
        <v>3</v>
      </c>
      <c r="H128" s="75" t="s">
        <v>28</v>
      </c>
      <c r="I128" s="184" t="str">
        <v>T</v>
      </c>
      <c r="J128" s="200" t="str">
        <v>K</v>
      </c>
      <c r="K128" s="189">
        <v>300</v>
      </c>
      <c r="L128" s="98"/>
      <c r="M128" s="93"/>
    </row>
    <row r="129" spans="5:13" s="163" customFormat="1" ht="16.350000000000001" customHeight="1">
      <c r="E129" s="157"/>
      <c r="F129" s="102" t="s">
        <v>350</v>
      </c>
      <c r="G129" s="91" t="s">
        <v>2</v>
      </c>
      <c r="H129" s="17" t="s">
        <v>27</v>
      </c>
      <c r="I129" s="192" t="str">
        <v>D</v>
      </c>
      <c r="J129" s="200" t="str">
        <v>mol/m3</v>
      </c>
      <c r="K129" s="189">
        <v>21265.66665660276</v>
      </c>
      <c r="L129" s="98"/>
      <c r="M129" s="93"/>
    </row>
    <row r="130" spans="5:13" s="163" customFormat="1" ht="16.350000000000001" customHeight="1">
      <c r="E130" s="157"/>
      <c r="F130" s="102" t="s">
        <v>350</v>
      </c>
      <c r="G130" s="91" t="s">
        <v>4</v>
      </c>
      <c r="H130" s="75" t="s">
        <v>29</v>
      </c>
      <c r="I130" s="192" t="str">
        <v>P</v>
      </c>
      <c r="J130" s="200" t="str">
        <v>MPa</v>
      </c>
      <c r="K130" s="189">
        <v>99.999999999999972</v>
      </c>
      <c r="L130" s="98"/>
      <c r="M130" s="93"/>
    </row>
    <row r="131" spans="5:13" s="163" customFormat="1" ht="16.350000000000001" customHeight="1">
      <c r="E131" s="157"/>
      <c r="F131" s="102" t="s">
        <v>350</v>
      </c>
      <c r="G131" s="91" t="s">
        <v>19</v>
      </c>
      <c r="H131" s="75" t="s">
        <v>31</v>
      </c>
      <c r="I131" s="184" t="str">
        <v>U</v>
      </c>
      <c r="J131" s="200" t="str">
        <v>J/mol</v>
      </c>
      <c r="K131" s="189">
        <v>7086.5127742715104</v>
      </c>
      <c r="L131" s="98"/>
      <c r="M131" s="93"/>
    </row>
    <row r="132" spans="5:13" s="163" customFormat="1" ht="16.350000000000001" customHeight="1">
      <c r="E132" s="157"/>
      <c r="F132" s="102" t="s">
        <v>350</v>
      </c>
      <c r="G132" s="91" t="s">
        <v>5</v>
      </c>
      <c r="H132" s="75" t="s">
        <v>30</v>
      </c>
      <c r="I132" s="192" t="str">
        <v>H</v>
      </c>
      <c r="J132" s="200" t="str">
        <v>J/mol</v>
      </c>
      <c r="K132" s="189">
        <v>11788.928250578767</v>
      </c>
      <c r="L132" s="98"/>
      <c r="M132" s="93"/>
    </row>
    <row r="133" spans="5:13" s="163" customFormat="1" ht="16.350000000000001" customHeight="1">
      <c r="E133" s="157"/>
      <c r="F133" s="102" t="s">
        <v>350</v>
      </c>
      <c r="G133" s="91" t="s">
        <v>6</v>
      </c>
      <c r="H133" s="75" t="s">
        <v>32</v>
      </c>
      <c r="I133" s="192" t="str">
        <v>S</v>
      </c>
      <c r="J133" s="200" t="str">
        <v>J/(mol K)</v>
      </c>
      <c r="K133" s="189">
        <v>40.125522640218762</v>
      </c>
      <c r="L133" s="98"/>
      <c r="M133" s="93"/>
    </row>
    <row r="134" spans="5:13" s="163" customFormat="1" ht="16.350000000000001" customHeight="1">
      <c r="E134" s="157"/>
      <c r="F134" s="102" t="s">
        <v>350</v>
      </c>
      <c r="G134" s="91" t="s">
        <v>9</v>
      </c>
      <c r="H134" s="75" t="s">
        <v>33</v>
      </c>
      <c r="I134" s="184" t="str">
        <v>G</v>
      </c>
      <c r="J134" s="318" t="str">
        <v>J/mol</v>
      </c>
      <c r="K134" s="189">
        <v>-248.72854148686426</v>
      </c>
      <c r="L134" s="98"/>
      <c r="M134" s="93"/>
    </row>
    <row r="135" spans="5:13" s="163" customFormat="1" ht="16.350000000000001" customHeight="1">
      <c r="E135" s="157"/>
      <c r="F135" s="102" t="s">
        <v>350</v>
      </c>
      <c r="G135" s="91" t="s">
        <v>10</v>
      </c>
      <c r="H135" s="75" t="s">
        <v>34</v>
      </c>
      <c r="I135" s="184" t="str">
        <v>A</v>
      </c>
      <c r="J135" s="318" t="str">
        <v>J/mol</v>
      </c>
      <c r="K135" s="189">
        <v>-4951.1440177941195</v>
      </c>
      <c r="L135" s="98"/>
      <c r="M135" s="93"/>
    </row>
    <row r="136" spans="5:13" s="163" customFormat="1" ht="16.350000000000001" customHeight="1">
      <c r="E136" s="157"/>
      <c r="F136" s="102" t="s">
        <v>350</v>
      </c>
      <c r="G136" s="91" t="s">
        <v>7</v>
      </c>
      <c r="H136" s="75" t="s">
        <v>59</v>
      </c>
      <c r="I136" s="184" t="str">
        <v>CP</v>
      </c>
      <c r="J136" s="200" t="str">
        <v>J/(mol K)</v>
      </c>
      <c r="K136" s="189">
        <v>48.28121160991541</v>
      </c>
      <c r="L136" s="98"/>
      <c r="M136" s="93"/>
    </row>
    <row r="137" spans="5:13" s="163" customFormat="1" ht="16.350000000000001" customHeight="1">
      <c r="E137" s="157"/>
      <c r="F137" s="102" t="s">
        <v>350</v>
      </c>
      <c r="G137" s="91" t="s">
        <v>8</v>
      </c>
      <c r="H137" s="75" t="s">
        <v>60</v>
      </c>
      <c r="I137" s="184" t="str">
        <v>CV</v>
      </c>
      <c r="J137" s="200" t="str">
        <v>J/(mol K)</v>
      </c>
      <c r="K137" s="189">
        <v>31.822817371250895</v>
      </c>
      <c r="L137" s="98"/>
      <c r="M137" s="93"/>
    </row>
    <row r="138" spans="5:13" s="163" customFormat="1" ht="16.350000000000001" customHeight="1">
      <c r="E138" s="157"/>
      <c r="F138" s="102" t="s">
        <v>350</v>
      </c>
      <c r="G138" s="91" t="s">
        <v>18</v>
      </c>
      <c r="H138" s="75" t="s">
        <v>61</v>
      </c>
      <c r="I138" s="184" t="str">
        <v>WS</v>
      </c>
      <c r="J138" s="200" t="str">
        <v>m/s</v>
      </c>
      <c r="K138" s="189">
        <v>1267.5226086311291</v>
      </c>
      <c r="L138" s="98"/>
      <c r="M138" s="93"/>
    </row>
    <row r="139" spans="5:13" s="163" customFormat="1" ht="16.350000000000001" customHeight="1">
      <c r="E139" s="157"/>
      <c r="F139" s="102" t="s">
        <v>350</v>
      </c>
      <c r="G139" s="91" t="s">
        <v>166</v>
      </c>
      <c r="H139" s="75" t="s">
        <v>35</v>
      </c>
      <c r="I139" s="184" t="str">
        <v>BVIR</v>
      </c>
      <c r="J139" s="319" t="str">
        <v>m3/mol</v>
      </c>
      <c r="K139" s="189">
        <v>-4.2210049267348499E-5</v>
      </c>
      <c r="L139" s="98"/>
      <c r="M139" s="93"/>
    </row>
    <row r="140" spans="5:13" ht="16.350000000000001" customHeight="1">
      <c r="F140" s="102" t="s">
        <v>350</v>
      </c>
      <c r="G140" s="91" t="s">
        <v>167</v>
      </c>
      <c r="H140" s="75" t="s">
        <v>36</v>
      </c>
      <c r="I140" s="184" t="str">
        <v>CVIR</v>
      </c>
      <c r="J140" s="319" t="str">
        <v>m6/mol2</v>
      </c>
      <c r="K140" s="189">
        <v>2.4935394397198733E-9</v>
      </c>
    </row>
    <row r="141" spans="5:13" ht="16.350000000000001" customHeight="1">
      <c r="F141" s="103" t="s">
        <v>350</v>
      </c>
      <c r="G141" s="106" t="s">
        <v>20</v>
      </c>
      <c r="H141" s="67" t="s">
        <v>78</v>
      </c>
      <c r="I141" s="335" t="str">
        <v>CP0</v>
      </c>
      <c r="J141" s="195" t="str">
        <v>J/(mol K)</v>
      </c>
      <c r="K141" s="191">
        <v>35.777516279687823</v>
      </c>
    </row>
    <row r="142" spans="5:13" s="163" customFormat="1" ht="16.350000000000001" customHeight="1">
      <c r="E142" s="157"/>
      <c r="F142" s="316"/>
      <c r="G142" s="91"/>
      <c r="H142" s="75"/>
      <c r="I142" s="186"/>
      <c r="J142" s="200"/>
      <c r="K142" s="197"/>
    </row>
    <row r="143" spans="5:13" s="163" customFormat="1" ht="16.350000000000001" customHeight="1">
      <c r="E143" s="157"/>
      <c r="F143" s="158"/>
      <c r="G143" s="65"/>
      <c r="H143" s="17"/>
      <c r="I143" s="186"/>
      <c r="J143" s="200"/>
      <c r="K143" s="197"/>
    </row>
    <row r="144" spans="5:13" ht="16.350000000000001" customHeight="1">
      <c r="F144" s="341" t="s">
        <v>344</v>
      </c>
      <c r="G144" s="342"/>
      <c r="H144" s="342"/>
      <c r="I144" s="342"/>
      <c r="J144" s="342"/>
      <c r="K144" s="343"/>
    </row>
    <row r="145" spans="6:13" ht="16.350000000000001" customHeight="1">
      <c r="F145" s="344"/>
      <c r="G145" s="345"/>
      <c r="H145" s="345"/>
      <c r="I145" s="345"/>
      <c r="J145" s="345"/>
      <c r="K145" s="346"/>
    </row>
    <row r="146" spans="6:13" ht="16.350000000000001" customHeight="1">
      <c r="F146" s="73" t="s">
        <v>25</v>
      </c>
      <c r="G146" s="74" t="s">
        <v>15</v>
      </c>
      <c r="H146" s="11" t="s">
        <v>26</v>
      </c>
      <c r="I146" s="11" t="s">
        <v>355</v>
      </c>
      <c r="J146" s="96" t="s">
        <v>17</v>
      </c>
      <c r="K146" s="99" t="s">
        <v>16</v>
      </c>
    </row>
    <row r="147" spans="6:13" ht="16.350000000000001" customHeight="1">
      <c r="F147" s="102" t="s">
        <v>343</v>
      </c>
      <c r="G147" s="91" t="s">
        <v>332</v>
      </c>
      <c r="H147" s="16" t="s">
        <v>337</v>
      </c>
      <c r="I147" s="336" t="s">
        <v>420</v>
      </c>
      <c r="J147" s="98" t="str">
        <f>[2]!PROPUNIT(I147,Unit,ShowErrorCode)</f>
        <v>K</v>
      </c>
      <c r="K147" s="84">
        <f>[2]!ANCEQ(I147,$B$6,$B$7,$B$8,Fluids,Composition,EqType,MixRules,EOSPath,Unit,ShowErrorCode)</f>
        <v>114.12936517859602</v>
      </c>
      <c r="M147" s="93" t="str">
        <f>[2]!ERRORTEXT(K147)</f>
        <v/>
      </c>
    </row>
    <row r="148" spans="6:13" ht="16.350000000000001" customHeight="1">
      <c r="F148" s="102" t="s">
        <v>343</v>
      </c>
      <c r="G148" s="91" t="s">
        <v>331</v>
      </c>
      <c r="H148" s="16" t="s">
        <v>338</v>
      </c>
      <c r="I148" s="336" t="s">
        <v>421</v>
      </c>
      <c r="J148" s="98" t="str">
        <f t="shared" ref="J148:J153" si="1">[2]!PROPUNIT(I148,Unit,ShowErrorCode)</f>
        <v>MPa</v>
      </c>
      <c r="K148" s="84">
        <f>[2]!ANCEQ(I148,$B$6,$B$7,$B$8,Fluids,Composition,EqType,MixRules,EOSPath,Unit,ShowErrorCode)</f>
        <v>1381.9568768880742</v>
      </c>
      <c r="M148" s="93" t="str">
        <f>[2]!ERRORTEXT(K148)</f>
        <v/>
      </c>
    </row>
    <row r="149" spans="6:13" ht="16.350000000000001" customHeight="1">
      <c r="F149" s="102" t="s">
        <v>343</v>
      </c>
      <c r="G149" s="91" t="s">
        <v>336</v>
      </c>
      <c r="H149" s="16" t="s">
        <v>339</v>
      </c>
      <c r="I149" s="336" t="s">
        <v>422</v>
      </c>
      <c r="J149" s="98" t="str">
        <f t="shared" si="1"/>
        <v>K</v>
      </c>
      <c r="K149" s="84">
        <f>[2]!ANCEQ(I149,$B$6,$B$7,$B$8,Fluids,Composition,EqType,MixRules,EOSPath,Unit,ShowErrorCode)</f>
        <v>-9908</v>
      </c>
      <c r="M149" s="93" t="str">
        <f>[2]!ERRORTEXT(K149)</f>
        <v xml:space="preserve">	Pressure &gt;= lower pressure limit of the corresponding equation</v>
      </c>
    </row>
    <row r="150" spans="6:13" ht="16.350000000000001" customHeight="1">
      <c r="F150" s="102" t="s">
        <v>343</v>
      </c>
      <c r="G150" s="91" t="s">
        <v>335</v>
      </c>
      <c r="H150" s="16" t="s">
        <v>340</v>
      </c>
      <c r="I150" s="336" t="s">
        <v>423</v>
      </c>
      <c r="J150" s="98" t="str">
        <f t="shared" si="1"/>
        <v>MPa</v>
      </c>
      <c r="K150" s="84">
        <f>[2]!ANCEQ(I150,$B$6,$B$7,$B$8,Fluids,Composition,EqType,MixRules,EOSPath,Unit,ShowErrorCode)</f>
        <v>-9910</v>
      </c>
      <c r="M150" s="93" t="str">
        <f>[2]!ERRORTEXT(K150)</f>
        <v xml:space="preserve">	Temperature &gt;= upper temperature limit of the corresponding equation</v>
      </c>
    </row>
    <row r="151" spans="6:13" ht="16.350000000000001" customHeight="1">
      <c r="F151" s="102" t="s">
        <v>343</v>
      </c>
      <c r="G151" s="91" t="s">
        <v>333</v>
      </c>
      <c r="H151" s="66" t="s">
        <v>341</v>
      </c>
      <c r="I151" s="336" t="s">
        <v>424</v>
      </c>
      <c r="J151" s="98" t="str">
        <f t="shared" si="1"/>
        <v>mol/m3</v>
      </c>
      <c r="K151" s="84">
        <f>[2]!ANCEQ(I151,$B$6,$B$7,$B$8,Fluids,Composition,EqType,MixRules,EOSPath,Unit,ShowErrorCode)</f>
        <v>-9910</v>
      </c>
      <c r="M151" s="93" t="str">
        <f>[2]!ERRORTEXT(K151)</f>
        <v xml:space="preserve">	Temperature &gt;= upper temperature limit of the corresponding equation</v>
      </c>
    </row>
    <row r="152" spans="6:13" ht="16.350000000000001" customHeight="1">
      <c r="F152" s="102" t="s">
        <v>343</v>
      </c>
      <c r="G152" s="91" t="s">
        <v>334</v>
      </c>
      <c r="H152" s="66" t="s">
        <v>342</v>
      </c>
      <c r="I152" s="336" t="s">
        <v>425</v>
      </c>
      <c r="J152" s="98" t="str">
        <f t="shared" si="1"/>
        <v>mol/m3</v>
      </c>
      <c r="K152" s="84">
        <f>[2]!ANCEQ(I152,$B$6,$B$7,$B$8,Fluids,Composition,EqType,MixRules,EOSPath,Unit,ShowErrorCode)</f>
        <v>-9910</v>
      </c>
      <c r="M152" s="93" t="str">
        <f>[2]!ERRORTEXT(K152)</f>
        <v xml:space="preserve">	Temperature &gt;= upper temperature limit of the corresponding equation</v>
      </c>
    </row>
    <row r="153" spans="6:13" ht="16.350000000000001" customHeight="1">
      <c r="F153" s="103" t="s">
        <v>343</v>
      </c>
      <c r="G153" s="106" t="s">
        <v>345</v>
      </c>
      <c r="H153" s="67" t="s">
        <v>346</v>
      </c>
      <c r="I153" s="337" t="s">
        <v>426</v>
      </c>
      <c r="J153" s="82" t="str">
        <f t="shared" si="1"/>
        <v>MPa</v>
      </c>
      <c r="K153" s="85">
        <f>[2]!ANCEQ(I153,$B$6,$B$7,$B$8,Fluids,Composition,EqType,MixRules,EOSPath,Unit,ShowErrorCode)</f>
        <v>-9910</v>
      </c>
      <c r="M153" s="93" t="str">
        <f>[2]!ERRORTEXT(K153)</f>
        <v xml:space="preserve">	Temperature &gt;= upper temperature limit of the corresponding equation</v>
      </c>
    </row>
    <row r="154" spans="6:13" ht="16.350000000000001" customHeight="1">
      <c r="F154" s="4"/>
      <c r="H154" s="17"/>
      <c r="I154" s="156"/>
      <c r="K154" s="12"/>
    </row>
    <row r="155" spans="6:13" ht="16.350000000000001" customHeight="1">
      <c r="I155" s="157"/>
    </row>
    <row r="156" spans="6:13" ht="16.350000000000001" customHeight="1">
      <c r="I156" s="157"/>
    </row>
    <row r="157" spans="6:13" ht="16.350000000000001" customHeight="1">
      <c r="F157" s="3" t="s">
        <v>241</v>
      </c>
      <c r="G157" s="3" t="s">
        <v>240</v>
      </c>
      <c r="I157" s="182">
        <v>-1111</v>
      </c>
      <c r="M157" s="93" t="str">
        <f>[2]!ERRORTEXT(I157)</f>
        <v xml:space="preserve">	MIX: Wrong input(s) to a routine. These are internal errors, for example negative temperatures, wrong iFlash values etc. are caught</v>
      </c>
    </row>
    <row r="158" spans="6:13" ht="16.350000000000001" customHeight="1"/>
    <row r="159" spans="6:13" ht="16.350000000000001" customHeight="1"/>
    <row r="160" spans="6:13" ht="16.350000000000001" customHeight="1"/>
    <row r="161" spans="6:19" ht="16.350000000000001" customHeight="1">
      <c r="F161" s="137" t="s">
        <v>387</v>
      </c>
      <c r="G161" s="138"/>
      <c r="H161" s="138"/>
      <c r="I161" s="138"/>
      <c r="J161" s="138"/>
      <c r="K161" s="138"/>
      <c r="L161" s="138"/>
      <c r="M161" s="138"/>
      <c r="N161" s="138"/>
      <c r="O161" s="138"/>
      <c r="P161" s="138"/>
      <c r="Q161" s="138"/>
      <c r="R161" s="138"/>
      <c r="S161" s="139"/>
    </row>
    <row r="162" spans="6:19" ht="16.350000000000001" customHeight="1">
      <c r="F162" s="102" t="s">
        <v>245</v>
      </c>
      <c r="K162" s="63" t="s">
        <v>303</v>
      </c>
      <c r="L162" s="71"/>
      <c r="S162" s="9"/>
    </row>
    <row r="163" spans="6:19" ht="16.350000000000001" customHeight="1">
      <c r="F163" s="88"/>
      <c r="J163" s="107" t="s">
        <v>304</v>
      </c>
      <c r="K163" s="61">
        <v>1</v>
      </c>
      <c r="L163" s="101">
        <v>2</v>
      </c>
      <c r="M163" s="61">
        <v>3</v>
      </c>
      <c r="N163" s="61">
        <v>4</v>
      </c>
      <c r="O163" s="61">
        <v>5</v>
      </c>
      <c r="P163" s="61">
        <v>6</v>
      </c>
      <c r="Q163" s="61">
        <v>7</v>
      </c>
      <c r="R163" s="61">
        <v>8</v>
      </c>
      <c r="S163" s="62">
        <v>9</v>
      </c>
    </row>
    <row r="164" spans="6:19" ht="16.350000000000001" customHeight="1">
      <c r="F164" s="88"/>
      <c r="J164" s="108">
        <v>1</v>
      </c>
      <c r="K164" s="196">
        <f t="array" ref="K164:S173">[2]!GAMMATFEOS(B6,B7,B8,Fluids,Composition,EqType,MixRules,EOSPath,ShowErrorCode)</f>
        <v>-5248</v>
      </c>
      <c r="L164" s="197">
        <v>-5248</v>
      </c>
      <c r="M164" s="197">
        <v>-5248</v>
      </c>
      <c r="N164" s="197">
        <v>-5248</v>
      </c>
      <c r="O164" s="197">
        <v>-5248</v>
      </c>
      <c r="P164" s="197">
        <v>-5248</v>
      </c>
      <c r="Q164" s="197">
        <v>-5248</v>
      </c>
      <c r="R164" s="197">
        <v>-5248</v>
      </c>
      <c r="S164" s="189">
        <v>-5248</v>
      </c>
    </row>
    <row r="165" spans="6:19" ht="16.350000000000001" customHeight="1">
      <c r="F165" s="88"/>
      <c r="J165" s="108">
        <v>2</v>
      </c>
      <c r="K165" s="197">
        <v>-5248</v>
      </c>
      <c r="L165" s="197">
        <v>-5248</v>
      </c>
      <c r="M165" s="197">
        <v>-5248</v>
      </c>
      <c r="N165" s="197">
        <v>-5248</v>
      </c>
      <c r="O165" s="197">
        <v>-5248</v>
      </c>
      <c r="P165" s="197">
        <v>-5248</v>
      </c>
      <c r="Q165" s="197">
        <v>-5248</v>
      </c>
      <c r="R165" s="197">
        <v>-5248</v>
      </c>
      <c r="S165" s="189">
        <v>-5248</v>
      </c>
    </row>
    <row r="166" spans="6:19" ht="16.350000000000001" customHeight="1">
      <c r="F166" s="88"/>
      <c r="J166" s="108">
        <v>3</v>
      </c>
      <c r="K166" s="197">
        <v>-5248</v>
      </c>
      <c r="L166" s="197">
        <v>-5248</v>
      </c>
      <c r="M166" s="197">
        <v>-5248</v>
      </c>
      <c r="N166" s="197">
        <v>-5248</v>
      </c>
      <c r="O166" s="197">
        <v>-5248</v>
      </c>
      <c r="P166" s="197">
        <v>-5248</v>
      </c>
      <c r="Q166" s="197">
        <v>-5248</v>
      </c>
      <c r="R166" s="197">
        <v>-5248</v>
      </c>
      <c r="S166" s="189">
        <v>-5248</v>
      </c>
    </row>
    <row r="167" spans="6:19" ht="16.350000000000001" customHeight="1">
      <c r="F167" s="88"/>
      <c r="J167" s="108">
        <v>4</v>
      </c>
      <c r="K167" s="197">
        <v>-5248</v>
      </c>
      <c r="L167" s="197">
        <v>-5248</v>
      </c>
      <c r="M167" s="197">
        <v>-5248</v>
      </c>
      <c r="N167" s="197">
        <v>-5248</v>
      </c>
      <c r="O167" s="197">
        <v>-5248</v>
      </c>
      <c r="P167" s="197">
        <v>-5248</v>
      </c>
      <c r="Q167" s="197">
        <v>-5248</v>
      </c>
      <c r="R167" s="197">
        <v>-5248</v>
      </c>
      <c r="S167" s="189">
        <v>-5248</v>
      </c>
    </row>
    <row r="168" spans="6:19">
      <c r="F168" s="88"/>
      <c r="J168" s="108">
        <v>5</v>
      </c>
      <c r="K168" s="197">
        <v>-5248</v>
      </c>
      <c r="L168" s="197">
        <v>-5248</v>
      </c>
      <c r="M168" s="197">
        <v>-5248</v>
      </c>
      <c r="N168" s="197">
        <v>-5248</v>
      </c>
      <c r="O168" s="197">
        <v>-5248</v>
      </c>
      <c r="P168" s="197">
        <v>-5248</v>
      </c>
      <c r="Q168" s="197">
        <v>-5248</v>
      </c>
      <c r="R168" s="197">
        <v>-5248</v>
      </c>
      <c r="S168" s="189">
        <v>-5248</v>
      </c>
    </row>
    <row r="169" spans="6:19">
      <c r="F169" s="88"/>
      <c r="J169" s="108">
        <v>6</v>
      </c>
      <c r="K169" s="197">
        <v>-5248</v>
      </c>
      <c r="L169" s="197">
        <v>-5248</v>
      </c>
      <c r="M169" s="197">
        <v>-5248</v>
      </c>
      <c r="N169" s="197">
        <v>-5248</v>
      </c>
      <c r="O169" s="197">
        <v>-5248</v>
      </c>
      <c r="P169" s="197">
        <v>-5248</v>
      </c>
      <c r="Q169" s="197">
        <v>-5248</v>
      </c>
      <c r="R169" s="197">
        <v>-5248</v>
      </c>
      <c r="S169" s="189">
        <v>-5248</v>
      </c>
    </row>
    <row r="170" spans="6:19">
      <c r="F170" s="88"/>
      <c r="J170" s="108">
        <v>7</v>
      </c>
      <c r="K170" s="197">
        <v>-5248</v>
      </c>
      <c r="L170" s="197">
        <v>-5248</v>
      </c>
      <c r="M170" s="197">
        <v>-5248</v>
      </c>
      <c r="N170" s="197">
        <v>-5248</v>
      </c>
      <c r="O170" s="197">
        <v>-5248</v>
      </c>
      <c r="P170" s="197">
        <v>-5248</v>
      </c>
      <c r="Q170" s="197">
        <v>-5248</v>
      </c>
      <c r="R170" s="197">
        <v>-5248</v>
      </c>
      <c r="S170" s="189">
        <v>-5248</v>
      </c>
    </row>
    <row r="171" spans="6:19">
      <c r="F171" s="88"/>
      <c r="J171" s="108">
        <v>8</v>
      </c>
      <c r="K171" s="197">
        <v>-5248</v>
      </c>
      <c r="L171" s="197">
        <v>-5248</v>
      </c>
      <c r="M171" s="197">
        <v>-5248</v>
      </c>
      <c r="N171" s="197">
        <v>-5248</v>
      </c>
      <c r="O171" s="197">
        <v>-5248</v>
      </c>
      <c r="P171" s="197">
        <v>-5248</v>
      </c>
      <c r="Q171" s="197">
        <v>-5248</v>
      </c>
      <c r="R171" s="197">
        <v>-5248</v>
      </c>
      <c r="S171" s="189">
        <v>-5248</v>
      </c>
    </row>
    <row r="172" spans="6:19">
      <c r="F172" s="88"/>
      <c r="J172" s="108">
        <v>9</v>
      </c>
      <c r="K172" s="197">
        <v>-5248</v>
      </c>
      <c r="L172" s="197">
        <v>-5248</v>
      </c>
      <c r="M172" s="197">
        <v>-5248</v>
      </c>
      <c r="N172" s="197">
        <v>-5248</v>
      </c>
      <c r="O172" s="197">
        <v>-5248</v>
      </c>
      <c r="P172" s="197">
        <v>-5248</v>
      </c>
      <c r="Q172" s="197">
        <v>-5248</v>
      </c>
      <c r="R172" s="197">
        <v>-5248</v>
      </c>
      <c r="S172" s="189">
        <v>-5248</v>
      </c>
    </row>
    <row r="173" spans="6:19">
      <c r="F173" s="110"/>
      <c r="G173" s="82"/>
      <c r="H173" s="82"/>
      <c r="I173" s="82"/>
      <c r="J173" s="109">
        <v>10</v>
      </c>
      <c r="K173" s="190">
        <v>-5248</v>
      </c>
      <c r="L173" s="190">
        <v>-5248</v>
      </c>
      <c r="M173" s="190">
        <v>-5248</v>
      </c>
      <c r="N173" s="190">
        <v>-5248</v>
      </c>
      <c r="O173" s="190">
        <v>-5248</v>
      </c>
      <c r="P173" s="190">
        <v>-5248</v>
      </c>
      <c r="Q173" s="190">
        <v>-5248</v>
      </c>
      <c r="R173" s="190">
        <v>-5248</v>
      </c>
      <c r="S173" s="191">
        <v>-5248</v>
      </c>
    </row>
    <row r="174" spans="6:19">
      <c r="F174"/>
      <c r="H174" s="59"/>
      <c r="I174" s="71"/>
      <c r="J174" s="4"/>
    </row>
    <row r="175" spans="6:19">
      <c r="F175"/>
      <c r="H175" s="59"/>
      <c r="I175" s="71"/>
      <c r="J175" s="4"/>
    </row>
    <row r="176" spans="6:19">
      <c r="F176"/>
      <c r="H176" s="59"/>
      <c r="I176" s="71"/>
      <c r="J176" s="4"/>
    </row>
    <row r="177" spans="6:20">
      <c r="F177"/>
      <c r="H177" s="59"/>
      <c r="I177" s="71"/>
      <c r="J177" s="4"/>
    </row>
    <row r="178" spans="6:20">
      <c r="F178" s="137" t="s">
        <v>319</v>
      </c>
      <c r="G178" s="138"/>
      <c r="H178" s="138"/>
      <c r="I178" s="138"/>
      <c r="J178" s="138"/>
      <c r="K178" s="138"/>
      <c r="L178" s="138"/>
      <c r="M178" s="138"/>
      <c r="N178" s="138"/>
      <c r="O178" s="138"/>
      <c r="P178" s="138"/>
      <c r="Q178" s="138"/>
      <c r="R178" s="138"/>
      <c r="S178" s="138"/>
      <c r="T178" s="139"/>
    </row>
    <row r="179" spans="6:20">
      <c r="F179" s="102" t="s">
        <v>324</v>
      </c>
      <c r="H179" s="198" t="str">
        <f t="array" ref="H179:T183">[2]!FUGCOEFFEOS(B6,B7,B8,A13:A32,B13:B32,C13:C32,D13,EOSPath,ShowErrorCode)</f>
        <v>Description</v>
      </c>
      <c r="I179" s="198" t="str">
        <v>Symbol</v>
      </c>
      <c r="J179" s="199" t="str">
        <v>Unit</v>
      </c>
      <c r="K179" s="197" t="str">
        <v>methane</v>
      </c>
      <c r="L179" s="197" t="e">
        <v>#N/A</v>
      </c>
      <c r="M179" s="197" t="e">
        <v>#N/A</v>
      </c>
      <c r="N179" s="197" t="e">
        <v>#N/A</v>
      </c>
      <c r="O179" s="197" t="e">
        <v>#N/A</v>
      </c>
      <c r="P179" s="197" t="e">
        <v>#N/A</v>
      </c>
      <c r="Q179" s="197" t="e">
        <v>#N/A</v>
      </c>
      <c r="R179" s="197" t="e">
        <v>#N/A</v>
      </c>
      <c r="S179" s="197" t="e">
        <v>#N/A</v>
      </c>
      <c r="T179" s="189" t="e">
        <v>#N/A</v>
      </c>
    </row>
    <row r="180" spans="6:20">
      <c r="F180" s="88"/>
      <c r="G180" s="91" t="s">
        <v>320</v>
      </c>
      <c r="H180" s="198" t="str">
        <v>Vapor Fugacity Coefficient</v>
      </c>
      <c r="I180" s="198" t="str">
        <v>phi_vap</v>
      </c>
      <c r="J180" s="199">
        <v>1</v>
      </c>
      <c r="K180" s="200">
        <v>1.0303581514910249</v>
      </c>
      <c r="L180" s="200" t="e">
        <v>#N/A</v>
      </c>
      <c r="M180" s="200" t="e">
        <v>#N/A</v>
      </c>
      <c r="N180" s="200" t="e">
        <v>#N/A</v>
      </c>
      <c r="O180" s="200" t="e">
        <v>#N/A</v>
      </c>
      <c r="P180" s="200" t="e">
        <v>#N/A</v>
      </c>
      <c r="Q180" s="200" t="e">
        <v>#N/A</v>
      </c>
      <c r="R180" s="200" t="e">
        <v>#N/A</v>
      </c>
      <c r="S180" s="200" t="e">
        <v>#N/A</v>
      </c>
      <c r="T180" s="201" t="e">
        <v>#N/A</v>
      </c>
    </row>
    <row r="181" spans="6:20">
      <c r="F181" s="88"/>
      <c r="G181" s="91" t="s">
        <v>321</v>
      </c>
      <c r="H181" s="198" t="str">
        <v>Liquid 1 Fugacity Coefficient</v>
      </c>
      <c r="I181" s="198" t="str">
        <v>phi_liq1</v>
      </c>
      <c r="J181" s="199">
        <v>1</v>
      </c>
      <c r="K181" s="200">
        <v>0</v>
      </c>
      <c r="L181" s="200" t="e">
        <v>#N/A</v>
      </c>
      <c r="M181" s="200" t="e">
        <v>#N/A</v>
      </c>
      <c r="N181" s="200" t="e">
        <v>#N/A</v>
      </c>
      <c r="O181" s="200" t="e">
        <v>#N/A</v>
      </c>
      <c r="P181" s="200" t="e">
        <v>#N/A</v>
      </c>
      <c r="Q181" s="200" t="e">
        <v>#N/A</v>
      </c>
      <c r="R181" s="200" t="e">
        <v>#N/A</v>
      </c>
      <c r="S181" s="200" t="e">
        <v>#N/A</v>
      </c>
      <c r="T181" s="201" t="e">
        <v>#N/A</v>
      </c>
    </row>
    <row r="182" spans="6:20">
      <c r="F182" s="88"/>
      <c r="G182" s="91" t="s">
        <v>322</v>
      </c>
      <c r="H182" s="198" t="str">
        <v>Liquid 2 Fugacity Coefficient</v>
      </c>
      <c r="I182" s="198" t="str">
        <v>phi_liq2</v>
      </c>
      <c r="J182" s="199">
        <v>1</v>
      </c>
      <c r="K182" s="200">
        <v>0</v>
      </c>
      <c r="L182" s="200" t="e">
        <v>#N/A</v>
      </c>
      <c r="M182" s="200" t="e">
        <v>#N/A</v>
      </c>
      <c r="N182" s="200" t="e">
        <v>#N/A</v>
      </c>
      <c r="O182" s="200" t="e">
        <v>#N/A</v>
      </c>
      <c r="P182" s="200" t="e">
        <v>#N/A</v>
      </c>
      <c r="Q182" s="200" t="e">
        <v>#N/A</v>
      </c>
      <c r="R182" s="200" t="e">
        <v>#N/A</v>
      </c>
      <c r="S182" s="200" t="e">
        <v>#N/A</v>
      </c>
      <c r="T182" s="201" t="e">
        <v>#N/A</v>
      </c>
    </row>
    <row r="183" spans="6:20">
      <c r="F183" s="110"/>
      <c r="G183" s="106" t="s">
        <v>323</v>
      </c>
      <c r="H183" s="202" t="str">
        <v>Fugacity</v>
      </c>
      <c r="I183" s="202" t="str">
        <v>f</v>
      </c>
      <c r="J183" s="203" t="str">
        <v>MPa</v>
      </c>
      <c r="K183" s="195">
        <v>103.03581514910249</v>
      </c>
      <c r="L183" s="195" t="e">
        <v>#N/A</v>
      </c>
      <c r="M183" s="195" t="e">
        <v>#N/A</v>
      </c>
      <c r="N183" s="195" t="e">
        <v>#N/A</v>
      </c>
      <c r="O183" s="195" t="e">
        <v>#N/A</v>
      </c>
      <c r="P183" s="195" t="e">
        <v>#N/A</v>
      </c>
      <c r="Q183" s="195" t="e">
        <v>#N/A</v>
      </c>
      <c r="R183" s="195" t="e">
        <v>#N/A</v>
      </c>
      <c r="S183" s="195" t="e">
        <v>#N/A</v>
      </c>
      <c r="T183" s="204" t="e">
        <v>#N/A</v>
      </c>
    </row>
  </sheetData>
  <mergeCells count="1">
    <mergeCell ref="F144:K145"/>
  </mergeCells>
  <phoneticPr fontId="0" type="noConversion"/>
  <pageMargins left="0.78740157499999996" right="0.78740157499999996" top="0.984251969" bottom="0.984251969" header="0.4921259845" footer="0.492125984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blPhaseEnv">
    <pageSetUpPr autoPageBreaks="0"/>
  </sheetPr>
  <dimension ref="A1:AF206"/>
  <sheetViews>
    <sheetView zoomScale="90" zoomScaleNormal="90" workbookViewId="0">
      <selection activeCell="B14" sqref="B14"/>
    </sheetView>
  </sheetViews>
  <sheetFormatPr baseColWidth="10" defaultColWidth="11.5703125" defaultRowHeight="15"/>
  <cols>
    <col min="1" max="1" width="15.7109375" customWidth="1"/>
    <col min="2" max="2" width="13.7109375" customWidth="1"/>
    <col min="3" max="4" width="9.7109375" customWidth="1"/>
    <col min="5" max="5" width="3.7109375" customWidth="1"/>
    <col min="6" max="6" width="115.7109375" style="161" customWidth="1"/>
    <col min="7" max="9" width="12.7109375" customWidth="1"/>
    <col min="10" max="11" width="18.7109375" customWidth="1"/>
    <col min="12" max="12" width="12.7109375" customWidth="1"/>
    <col min="13" max="32" width="18.7109375" customWidth="1"/>
  </cols>
  <sheetData>
    <row r="1" spans="1:32" ht="15" customHeight="1"/>
    <row r="2" spans="1:32" ht="18.75" customHeight="1">
      <c r="A2" s="6" t="s">
        <v>14</v>
      </c>
      <c r="B2" s="7"/>
      <c r="C2" s="7"/>
      <c r="D2" s="7"/>
      <c r="E2" s="7"/>
      <c r="F2" s="116"/>
      <c r="G2" s="6" t="s">
        <v>50</v>
      </c>
    </row>
    <row r="3" spans="1:32" ht="15.75" customHeight="1">
      <c r="A3" s="1"/>
      <c r="G3" s="93" t="str">
        <f>[2]!ERRORTEXT(G4)</f>
        <v/>
      </c>
    </row>
    <row r="4" spans="1:32" ht="16.350000000000001" customHeight="1">
      <c r="A4" s="2" t="s">
        <v>0</v>
      </c>
      <c r="B4" s="181"/>
      <c r="C4" s="3"/>
      <c r="D4" s="3"/>
      <c r="E4" s="3"/>
      <c r="F4" s="163"/>
      <c r="G4" s="211" t="str">
        <f t="array" ref="G4:AF206">[2]!PTDIAGEOS(B6,A13:A32,B13:B32,C13:C32,D13,B7,B8,B4,B10)</f>
        <v>Point No.</v>
      </c>
      <c r="H4" s="207" t="str">
        <v>Temperature</v>
      </c>
      <c r="I4" s="208" t="str">
        <v>Pressure</v>
      </c>
      <c r="J4" s="209" t="str">
        <v>Liquid density</v>
      </c>
      <c r="K4" s="233" t="str">
        <v>Vapor density</v>
      </c>
      <c r="L4" s="235" t="str">
        <v>Point ID</v>
      </c>
      <c r="M4" s="208" t="str">
        <v>Composition</v>
      </c>
      <c r="N4" s="208" t="str">
        <v/>
      </c>
      <c r="O4" s="208" t="e">
        <v>#N/A</v>
      </c>
      <c r="P4" s="208" t="e">
        <v>#N/A</v>
      </c>
      <c r="Q4" s="208" t="e">
        <v>#N/A</v>
      </c>
      <c r="R4" s="208" t="e">
        <v>#N/A</v>
      </c>
      <c r="S4" s="208" t="e">
        <v>#N/A</v>
      </c>
      <c r="T4" s="208" t="e">
        <v>#N/A</v>
      </c>
      <c r="U4" s="208" t="e">
        <v>#N/A</v>
      </c>
      <c r="V4" s="208" t="e">
        <v>#N/A</v>
      </c>
      <c r="W4" s="208" t="e">
        <v>#N/A</v>
      </c>
      <c r="X4" s="208" t="e">
        <v>#N/A</v>
      </c>
      <c r="Y4" s="208" t="e">
        <v>#N/A</v>
      </c>
      <c r="Z4" s="208" t="e">
        <v>#N/A</v>
      </c>
      <c r="AA4" s="208" t="e">
        <v>#N/A</v>
      </c>
      <c r="AB4" s="208" t="e">
        <v>#N/A</v>
      </c>
      <c r="AC4" s="208" t="e">
        <v>#N/A</v>
      </c>
      <c r="AD4" s="208" t="e">
        <v>#N/A</v>
      </c>
      <c r="AE4" s="208" t="e">
        <v>#N/A</v>
      </c>
      <c r="AF4" s="210" t="e">
        <v>#N/A</v>
      </c>
    </row>
    <row r="5" spans="1:32" ht="16.350000000000001" customHeight="1">
      <c r="A5" s="5"/>
      <c r="B5" s="3"/>
      <c r="C5" s="3"/>
      <c r="D5" s="3"/>
      <c r="E5" s="3"/>
      <c r="F5" s="163"/>
      <c r="G5" s="219" t="str">
        <v>i (max: 88)</v>
      </c>
      <c r="H5" s="215" t="str">
        <v>T</v>
      </c>
      <c r="I5" s="216" t="str">
        <v>p</v>
      </c>
      <c r="J5" s="217" t="str">
        <v>rho_liq</v>
      </c>
      <c r="K5" s="234" t="str">
        <v>rho_vap</v>
      </c>
      <c r="L5" s="236" t="str">
        <v/>
      </c>
      <c r="M5" s="216" t="str">
        <v>x_methane</v>
      </c>
      <c r="N5" s="216" t="str">
        <v>x_butane</v>
      </c>
      <c r="O5" s="216" t="e">
        <v>#N/A</v>
      </c>
      <c r="P5" s="216" t="e">
        <v>#N/A</v>
      </c>
      <c r="Q5" s="216" t="e">
        <v>#N/A</v>
      </c>
      <c r="R5" s="216" t="e">
        <v>#N/A</v>
      </c>
      <c r="S5" s="216" t="e">
        <v>#N/A</v>
      </c>
      <c r="T5" s="216" t="e">
        <v>#N/A</v>
      </c>
      <c r="U5" s="216" t="e">
        <v>#N/A</v>
      </c>
      <c r="V5" s="216" t="e">
        <v>#N/A</v>
      </c>
      <c r="W5" s="216" t="e">
        <v>#N/A</v>
      </c>
      <c r="X5" s="216" t="e">
        <v>#N/A</v>
      </c>
      <c r="Y5" s="216" t="e">
        <v>#N/A</v>
      </c>
      <c r="Z5" s="216" t="e">
        <v>#N/A</v>
      </c>
      <c r="AA5" s="216" t="e">
        <v>#N/A</v>
      </c>
      <c r="AB5" s="216" t="e">
        <v>#N/A</v>
      </c>
      <c r="AC5" s="216" t="e">
        <v>#N/A</v>
      </c>
      <c r="AD5" s="216" t="e">
        <v>#N/A</v>
      </c>
      <c r="AE5" s="216" t="e">
        <v>#N/A</v>
      </c>
      <c r="AF5" s="218" t="e">
        <v>#N/A</v>
      </c>
    </row>
    <row r="6" spans="1:32" ht="16.350000000000001" customHeight="1">
      <c r="A6" s="127" t="s">
        <v>205</v>
      </c>
      <c r="B6" s="181">
        <v>1</v>
      </c>
      <c r="E6" s="3"/>
      <c r="F6" s="163"/>
      <c r="G6" s="219" t="str">
        <v>1</v>
      </c>
      <c r="H6" s="215" t="str">
        <v>K</v>
      </c>
      <c r="I6" s="216" t="str">
        <v>MPa</v>
      </c>
      <c r="J6" s="217" t="str">
        <v>mol/m3</v>
      </c>
      <c r="K6" s="234" t="str">
        <v>mol/m3</v>
      </c>
      <c r="L6" s="236" t="str">
        <v/>
      </c>
      <c r="M6" s="216" t="str">
        <v>mol/mol</v>
      </c>
      <c r="N6" s="216" t="str">
        <v>mol/mol</v>
      </c>
      <c r="O6" s="216" t="e">
        <v>#N/A</v>
      </c>
      <c r="P6" s="216" t="e">
        <v>#N/A</v>
      </c>
      <c r="Q6" s="216" t="e">
        <v>#N/A</v>
      </c>
      <c r="R6" s="216" t="e">
        <v>#N/A</v>
      </c>
      <c r="S6" s="216" t="e">
        <v>#N/A</v>
      </c>
      <c r="T6" s="216" t="e">
        <v>#N/A</v>
      </c>
      <c r="U6" s="216" t="e">
        <v>#N/A</v>
      </c>
      <c r="V6" s="216" t="e">
        <v>#N/A</v>
      </c>
      <c r="W6" s="216" t="e">
        <v>#N/A</v>
      </c>
      <c r="X6" s="216" t="e">
        <v>#N/A</v>
      </c>
      <c r="Y6" s="216" t="e">
        <v>#N/A</v>
      </c>
      <c r="Z6" s="216" t="e">
        <v>#N/A</v>
      </c>
      <c r="AA6" s="216" t="e">
        <v>#N/A</v>
      </c>
      <c r="AB6" s="216" t="e">
        <v>#N/A</v>
      </c>
      <c r="AC6" s="216" t="e">
        <v>#N/A</v>
      </c>
      <c r="AD6" s="216" t="e">
        <v>#N/A</v>
      </c>
      <c r="AE6" s="216" t="e">
        <v>#N/A</v>
      </c>
      <c r="AF6" s="218" t="e">
        <v>#N/A</v>
      </c>
    </row>
    <row r="7" spans="1:32" ht="16.350000000000001" customHeight="1">
      <c r="A7" s="238" t="s">
        <v>28</v>
      </c>
      <c r="B7" s="181">
        <v>288</v>
      </c>
      <c r="C7" s="3" t="str">
        <f>[2]!PROPUNIT(A7)</f>
        <v>K</v>
      </c>
      <c r="D7" s="3"/>
      <c r="E7" s="3"/>
      <c r="F7" s="163"/>
      <c r="G7" s="213">
        <v>1</v>
      </c>
      <c r="H7" s="193">
        <v>255.05826214873531</v>
      </c>
      <c r="I7" s="185">
        <v>0.1</v>
      </c>
      <c r="J7" s="309">
        <v>10687.409301262978</v>
      </c>
      <c r="K7" s="310">
        <v>48.044722935060953</v>
      </c>
      <c r="L7" s="237">
        <v>0</v>
      </c>
      <c r="M7" s="185">
        <v>4.4212825243747445E-3</v>
      </c>
      <c r="N7" s="185">
        <v>0.99557871747562521</v>
      </c>
      <c r="O7" s="185" t="e">
        <v>#N/A</v>
      </c>
      <c r="P7" s="185" t="e">
        <v>#N/A</v>
      </c>
      <c r="Q7" s="185" t="e">
        <v>#N/A</v>
      </c>
      <c r="R7" s="185" t="e">
        <v>#N/A</v>
      </c>
      <c r="S7" s="185" t="e">
        <v>#N/A</v>
      </c>
      <c r="T7" s="185" t="e">
        <v>#N/A</v>
      </c>
      <c r="U7" s="185" t="e">
        <v>#N/A</v>
      </c>
      <c r="V7" s="185" t="e">
        <v>#N/A</v>
      </c>
      <c r="W7" s="185" t="e">
        <v>#N/A</v>
      </c>
      <c r="X7" s="185" t="e">
        <v>#N/A</v>
      </c>
      <c r="Y7" s="185" t="e">
        <v>#N/A</v>
      </c>
      <c r="Z7" s="185" t="e">
        <v>#N/A</v>
      </c>
      <c r="AA7" s="185" t="e">
        <v>#N/A</v>
      </c>
      <c r="AB7" s="185" t="e">
        <v>#N/A</v>
      </c>
      <c r="AC7" s="185" t="e">
        <v>#N/A</v>
      </c>
      <c r="AD7" s="185" t="e">
        <v>#N/A</v>
      </c>
      <c r="AE7" s="185" t="e">
        <v>#N/A</v>
      </c>
      <c r="AF7" s="201" t="e">
        <v>#N/A</v>
      </c>
    </row>
    <row r="8" spans="1:32" ht="16.350000000000001" customHeight="1">
      <c r="A8" s="238" t="s">
        <v>29</v>
      </c>
      <c r="B8" s="181">
        <v>4</v>
      </c>
      <c r="C8" s="118" t="str">
        <f>[2]!PROPUNIT(A8)</f>
        <v>MPa</v>
      </c>
      <c r="D8" s="3"/>
      <c r="E8" s="3"/>
      <c r="F8" s="163"/>
      <c r="G8" s="213">
        <v>2</v>
      </c>
      <c r="H8" s="193">
        <v>257.20449996356075</v>
      </c>
      <c r="I8" s="185">
        <v>0.11000000000000001</v>
      </c>
      <c r="J8" s="309">
        <v>10650.910091952766</v>
      </c>
      <c r="K8" s="310">
        <v>52.480272259956465</v>
      </c>
      <c r="L8" s="237">
        <v>0</v>
      </c>
      <c r="M8" s="185">
        <v>4.7577931318876299E-3</v>
      </c>
      <c r="N8" s="185">
        <v>0.99524220686811238</v>
      </c>
      <c r="O8" s="185" t="e">
        <v>#N/A</v>
      </c>
      <c r="P8" s="185" t="e">
        <v>#N/A</v>
      </c>
      <c r="Q8" s="185" t="e">
        <v>#N/A</v>
      </c>
      <c r="R8" s="185" t="e">
        <v>#N/A</v>
      </c>
      <c r="S8" s="185" t="e">
        <v>#N/A</v>
      </c>
      <c r="T8" s="185" t="e">
        <v>#N/A</v>
      </c>
      <c r="U8" s="185" t="e">
        <v>#N/A</v>
      </c>
      <c r="V8" s="185" t="e">
        <v>#N/A</v>
      </c>
      <c r="W8" s="185" t="e">
        <v>#N/A</v>
      </c>
      <c r="X8" s="185" t="e">
        <v>#N/A</v>
      </c>
      <c r="Y8" s="185" t="e">
        <v>#N/A</v>
      </c>
      <c r="Z8" s="185" t="e">
        <v>#N/A</v>
      </c>
      <c r="AA8" s="185" t="e">
        <v>#N/A</v>
      </c>
      <c r="AB8" s="185" t="e">
        <v>#N/A</v>
      </c>
      <c r="AC8" s="185" t="e">
        <v>#N/A</v>
      </c>
      <c r="AD8" s="185" t="e">
        <v>#N/A</v>
      </c>
      <c r="AE8" s="185" t="e">
        <v>#N/A</v>
      </c>
      <c r="AF8" s="201" t="e">
        <v>#N/A</v>
      </c>
    </row>
    <row r="9" spans="1:32" ht="16.350000000000001" customHeight="1">
      <c r="D9" s="3"/>
      <c r="E9" s="3"/>
      <c r="F9" s="163"/>
      <c r="G9" s="213">
        <v>3</v>
      </c>
      <c r="H9" s="193">
        <v>259.39039538046887</v>
      </c>
      <c r="I9" s="185">
        <v>0.12100000000000002</v>
      </c>
      <c r="J9" s="309">
        <v>10613.63359040013</v>
      </c>
      <c r="K9" s="310">
        <v>57.326132206154689</v>
      </c>
      <c r="L9" s="237">
        <v>0</v>
      </c>
      <c r="M9" s="185">
        <v>5.1209763232839874E-3</v>
      </c>
      <c r="N9" s="185">
        <v>0.99487902367671599</v>
      </c>
      <c r="O9" s="185" t="e">
        <v>#N/A</v>
      </c>
      <c r="P9" s="185" t="e">
        <v>#N/A</v>
      </c>
      <c r="Q9" s="185" t="e">
        <v>#N/A</v>
      </c>
      <c r="R9" s="185" t="e">
        <v>#N/A</v>
      </c>
      <c r="S9" s="185" t="e">
        <v>#N/A</v>
      </c>
      <c r="T9" s="185" t="e">
        <v>#N/A</v>
      </c>
      <c r="U9" s="185" t="e">
        <v>#N/A</v>
      </c>
      <c r="V9" s="185" t="e">
        <v>#N/A</v>
      </c>
      <c r="W9" s="185" t="e">
        <v>#N/A</v>
      </c>
      <c r="X9" s="185" t="e">
        <v>#N/A</v>
      </c>
      <c r="Y9" s="185" t="e">
        <v>#N/A</v>
      </c>
      <c r="Z9" s="185" t="e">
        <v>#N/A</v>
      </c>
      <c r="AA9" s="185" t="e">
        <v>#N/A</v>
      </c>
      <c r="AB9" s="185" t="e">
        <v>#N/A</v>
      </c>
      <c r="AC9" s="185" t="e">
        <v>#N/A</v>
      </c>
      <c r="AD9" s="185" t="e">
        <v>#N/A</v>
      </c>
      <c r="AE9" s="185" t="e">
        <v>#N/A</v>
      </c>
      <c r="AF9" s="201" t="e">
        <v>#N/A</v>
      </c>
    </row>
    <row r="10" spans="1:32" ht="16.350000000000001" customHeight="1">
      <c r="A10" s="127" t="s">
        <v>374</v>
      </c>
      <c r="B10" s="181" t="b">
        <v>1</v>
      </c>
      <c r="C10" s="114"/>
      <c r="D10" s="118"/>
      <c r="E10" s="3"/>
      <c r="F10" s="163"/>
      <c r="G10" s="213">
        <v>4</v>
      </c>
      <c r="H10" s="193">
        <v>261.616870036438</v>
      </c>
      <c r="I10" s="185">
        <v>0.13310000000000002</v>
      </c>
      <c r="J10" s="309">
        <v>10575.554261570933</v>
      </c>
      <c r="K10" s="310">
        <v>62.620699786125122</v>
      </c>
      <c r="L10" s="237">
        <v>0</v>
      </c>
      <c r="M10" s="185">
        <v>5.5131106415873066E-3</v>
      </c>
      <c r="N10" s="185">
        <v>0.99448688935841267</v>
      </c>
      <c r="O10" s="185" t="e">
        <v>#N/A</v>
      </c>
      <c r="P10" s="185" t="e">
        <v>#N/A</v>
      </c>
      <c r="Q10" s="185" t="e">
        <v>#N/A</v>
      </c>
      <c r="R10" s="185" t="e">
        <v>#N/A</v>
      </c>
      <c r="S10" s="185" t="e">
        <v>#N/A</v>
      </c>
      <c r="T10" s="185" t="e">
        <v>#N/A</v>
      </c>
      <c r="U10" s="185" t="e">
        <v>#N/A</v>
      </c>
      <c r="V10" s="185" t="e">
        <v>#N/A</v>
      </c>
      <c r="W10" s="185" t="e">
        <v>#N/A</v>
      </c>
      <c r="X10" s="185" t="e">
        <v>#N/A</v>
      </c>
      <c r="Y10" s="185" t="e">
        <v>#N/A</v>
      </c>
      <c r="Z10" s="185" t="e">
        <v>#N/A</v>
      </c>
      <c r="AA10" s="185" t="e">
        <v>#N/A</v>
      </c>
      <c r="AB10" s="185" t="e">
        <v>#N/A</v>
      </c>
      <c r="AC10" s="185" t="e">
        <v>#N/A</v>
      </c>
      <c r="AD10" s="185" t="e">
        <v>#N/A</v>
      </c>
      <c r="AE10" s="185" t="e">
        <v>#N/A</v>
      </c>
      <c r="AF10" s="201" t="e">
        <v>#N/A</v>
      </c>
    </row>
    <row r="11" spans="1:32" ht="16.350000000000001" customHeight="1">
      <c r="A11" s="3"/>
      <c r="B11" s="3"/>
      <c r="E11" s="3"/>
      <c r="F11" s="163"/>
      <c r="G11" s="213">
        <v>5</v>
      </c>
      <c r="H11" s="193">
        <v>264.06453910741334</v>
      </c>
      <c r="I11" s="185">
        <v>0.14750869738681047</v>
      </c>
      <c r="J11" s="309">
        <v>10533.557556434833</v>
      </c>
      <c r="K11" s="310">
        <v>68.881969211393894</v>
      </c>
      <c r="L11" s="237">
        <v>0</v>
      </c>
      <c r="M11" s="185">
        <v>5.9713256149205446E-3</v>
      </c>
      <c r="N11" s="185">
        <v>0.99402867438507947</v>
      </c>
      <c r="O11" s="185" t="e">
        <v>#N/A</v>
      </c>
      <c r="P11" s="185" t="e">
        <v>#N/A</v>
      </c>
      <c r="Q11" s="185" t="e">
        <v>#N/A</v>
      </c>
      <c r="R11" s="185" t="e">
        <v>#N/A</v>
      </c>
      <c r="S11" s="185" t="e">
        <v>#N/A</v>
      </c>
      <c r="T11" s="185" t="e">
        <v>#N/A</v>
      </c>
      <c r="U11" s="185" t="e">
        <v>#N/A</v>
      </c>
      <c r="V11" s="185" t="e">
        <v>#N/A</v>
      </c>
      <c r="W11" s="185" t="e">
        <v>#N/A</v>
      </c>
      <c r="X11" s="185" t="e">
        <v>#N/A</v>
      </c>
      <c r="Y11" s="185" t="e">
        <v>#N/A</v>
      </c>
      <c r="Z11" s="185" t="e">
        <v>#N/A</v>
      </c>
      <c r="AA11" s="185" t="e">
        <v>#N/A</v>
      </c>
      <c r="AB11" s="185" t="e">
        <v>#N/A</v>
      </c>
      <c r="AC11" s="185" t="e">
        <v>#N/A</v>
      </c>
      <c r="AD11" s="185" t="e">
        <v>#N/A</v>
      </c>
      <c r="AE11" s="185" t="e">
        <v>#N/A</v>
      </c>
      <c r="AF11" s="201" t="e">
        <v>#N/A</v>
      </c>
    </row>
    <row r="12" spans="1:32" ht="16.350000000000001" customHeight="1">
      <c r="A12" s="149" t="s">
        <v>1</v>
      </c>
      <c r="B12" s="149" t="s">
        <v>354</v>
      </c>
      <c r="C12" s="149" t="s">
        <v>87</v>
      </c>
      <c r="D12" s="149" t="s">
        <v>88</v>
      </c>
      <c r="E12" s="3"/>
      <c r="F12" s="163"/>
      <c r="G12" s="213">
        <v>6</v>
      </c>
      <c r="H12" s="193">
        <v>266.56058190709484</v>
      </c>
      <c r="I12" s="185">
        <v>0.16347005188921304</v>
      </c>
      <c r="J12" s="309">
        <v>10490.579814007719</v>
      </c>
      <c r="K12" s="310">
        <v>75.769199068206348</v>
      </c>
      <c r="L12" s="237">
        <v>0</v>
      </c>
      <c r="M12" s="185">
        <v>6.4693392900448737E-3</v>
      </c>
      <c r="N12" s="185">
        <v>0.9935306607099551</v>
      </c>
      <c r="O12" s="185" t="e">
        <v>#N/A</v>
      </c>
      <c r="P12" s="185" t="e">
        <v>#N/A</v>
      </c>
      <c r="Q12" s="185" t="e">
        <v>#N/A</v>
      </c>
      <c r="R12" s="185" t="e">
        <v>#N/A</v>
      </c>
      <c r="S12" s="185" t="e">
        <v>#N/A</v>
      </c>
      <c r="T12" s="185" t="e">
        <v>#N/A</v>
      </c>
      <c r="U12" s="185" t="e">
        <v>#N/A</v>
      </c>
      <c r="V12" s="185" t="e">
        <v>#N/A</v>
      </c>
      <c r="W12" s="185" t="e">
        <v>#N/A</v>
      </c>
      <c r="X12" s="185" t="e">
        <v>#N/A</v>
      </c>
      <c r="Y12" s="185" t="e">
        <v>#N/A</v>
      </c>
      <c r="Z12" s="185" t="e">
        <v>#N/A</v>
      </c>
      <c r="AA12" s="185" t="e">
        <v>#N/A</v>
      </c>
      <c r="AB12" s="185" t="e">
        <v>#N/A</v>
      </c>
      <c r="AC12" s="185" t="e">
        <v>#N/A</v>
      </c>
      <c r="AD12" s="185" t="e">
        <v>#N/A</v>
      </c>
      <c r="AE12" s="185" t="e">
        <v>#N/A</v>
      </c>
      <c r="AF12" s="201" t="e">
        <v>#N/A</v>
      </c>
    </row>
    <row r="13" spans="1:32" ht="16.350000000000001" customHeight="1">
      <c r="A13" s="177" t="s">
        <v>242</v>
      </c>
      <c r="B13" s="114">
        <f>1-SUM(B14:B32)</f>
        <v>0.5</v>
      </c>
      <c r="C13" s="179">
        <v>1</v>
      </c>
      <c r="D13" s="181">
        <v>1</v>
      </c>
      <c r="E13" s="3"/>
      <c r="F13" s="163"/>
      <c r="G13" s="213">
        <v>7</v>
      </c>
      <c r="H13" s="193">
        <v>269.10586292826139</v>
      </c>
      <c r="I13" s="185">
        <v>0.18114883491034164</v>
      </c>
      <c r="J13" s="309">
        <v>10446.590103575772</v>
      </c>
      <c r="K13" s="310">
        <v>83.344995094154697</v>
      </c>
      <c r="L13" s="237">
        <v>0</v>
      </c>
      <c r="M13" s="185">
        <v>7.0108456714198892E-3</v>
      </c>
      <c r="N13" s="185">
        <v>0.99298915432858015</v>
      </c>
      <c r="O13" s="185" t="e">
        <v>#N/A</v>
      </c>
      <c r="P13" s="185" t="e">
        <v>#N/A</v>
      </c>
      <c r="Q13" s="185" t="e">
        <v>#N/A</v>
      </c>
      <c r="R13" s="185" t="e">
        <v>#N/A</v>
      </c>
      <c r="S13" s="185" t="e">
        <v>#N/A</v>
      </c>
      <c r="T13" s="185" t="e">
        <v>#N/A</v>
      </c>
      <c r="U13" s="185" t="e">
        <v>#N/A</v>
      </c>
      <c r="V13" s="185" t="e">
        <v>#N/A</v>
      </c>
      <c r="W13" s="185" t="e">
        <v>#N/A</v>
      </c>
      <c r="X13" s="185" t="e">
        <v>#N/A</v>
      </c>
      <c r="Y13" s="185" t="e">
        <v>#N/A</v>
      </c>
      <c r="Z13" s="185" t="e">
        <v>#N/A</v>
      </c>
      <c r="AA13" s="185" t="e">
        <v>#N/A</v>
      </c>
      <c r="AB13" s="185" t="e">
        <v>#N/A</v>
      </c>
      <c r="AC13" s="185" t="e">
        <v>#N/A</v>
      </c>
      <c r="AD13" s="185" t="e">
        <v>#N/A</v>
      </c>
      <c r="AE13" s="185" t="e">
        <v>#N/A</v>
      </c>
      <c r="AF13" s="201" t="e">
        <v>#N/A</v>
      </c>
    </row>
    <row r="14" spans="1:32" ht="16.350000000000001" customHeight="1">
      <c r="A14" s="177" t="s">
        <v>317</v>
      </c>
      <c r="B14" s="179">
        <v>0.5</v>
      </c>
      <c r="C14" s="179">
        <v>1</v>
      </c>
      <c r="D14" s="3"/>
      <c r="E14" s="3"/>
      <c r="F14" s="163"/>
      <c r="G14" s="213">
        <v>8</v>
      </c>
      <c r="H14" s="193">
        <v>271.70119451190885</v>
      </c>
      <c r="I14" s="185">
        <v>0.20072662851523318</v>
      </c>
      <c r="J14" s="309">
        <v>10401.556731540459</v>
      </c>
      <c r="K14" s="310">
        <v>91.678221168584543</v>
      </c>
      <c r="L14" s="237">
        <v>0</v>
      </c>
      <c r="M14" s="185">
        <v>7.599909072716831E-3</v>
      </c>
      <c r="N14" s="185">
        <v>0.99240009092728321</v>
      </c>
      <c r="O14" s="185" t="e">
        <v>#N/A</v>
      </c>
      <c r="P14" s="185" t="e">
        <v>#N/A</v>
      </c>
      <c r="Q14" s="185" t="e">
        <v>#N/A</v>
      </c>
      <c r="R14" s="185" t="e">
        <v>#N/A</v>
      </c>
      <c r="S14" s="185" t="e">
        <v>#N/A</v>
      </c>
      <c r="T14" s="185" t="e">
        <v>#N/A</v>
      </c>
      <c r="U14" s="185" t="e">
        <v>#N/A</v>
      </c>
      <c r="V14" s="185" t="e">
        <v>#N/A</v>
      </c>
      <c r="W14" s="185" t="e">
        <v>#N/A</v>
      </c>
      <c r="X14" s="185" t="e">
        <v>#N/A</v>
      </c>
      <c r="Y14" s="185" t="e">
        <v>#N/A</v>
      </c>
      <c r="Z14" s="185" t="e">
        <v>#N/A</v>
      </c>
      <c r="AA14" s="185" t="e">
        <v>#N/A</v>
      </c>
      <c r="AB14" s="185" t="e">
        <v>#N/A</v>
      </c>
      <c r="AC14" s="185" t="e">
        <v>#N/A</v>
      </c>
      <c r="AD14" s="185" t="e">
        <v>#N/A</v>
      </c>
      <c r="AE14" s="185" t="e">
        <v>#N/A</v>
      </c>
      <c r="AF14" s="201" t="e">
        <v>#N/A</v>
      </c>
    </row>
    <row r="15" spans="1:32" ht="16.350000000000001" customHeight="1">
      <c r="A15" s="177"/>
      <c r="B15" s="179"/>
      <c r="C15" s="179"/>
      <c r="D15" s="3"/>
      <c r="E15" s="3"/>
      <c r="F15" s="163"/>
      <c r="G15" s="213">
        <v>9</v>
      </c>
      <c r="H15" s="193">
        <v>274.34732605367134</v>
      </c>
      <c r="I15" s="185">
        <v>0.22240339272539583</v>
      </c>
      <c r="J15" s="309">
        <v>10355.447248936676</v>
      </c>
      <c r="K15" s="310">
        <v>100.84462706016765</v>
      </c>
      <c r="L15" s="237">
        <v>0</v>
      </c>
      <c r="M15" s="185">
        <v>8.2410044902427905E-3</v>
      </c>
      <c r="N15" s="185">
        <v>0.99175899550975721</v>
      </c>
      <c r="O15" s="185" t="e">
        <v>#N/A</v>
      </c>
      <c r="P15" s="185" t="e">
        <v>#N/A</v>
      </c>
      <c r="Q15" s="185" t="e">
        <v>#N/A</v>
      </c>
      <c r="R15" s="185" t="e">
        <v>#N/A</v>
      </c>
      <c r="S15" s="185" t="e">
        <v>#N/A</v>
      </c>
      <c r="T15" s="185" t="e">
        <v>#N/A</v>
      </c>
      <c r="U15" s="185" t="e">
        <v>#N/A</v>
      </c>
      <c r="V15" s="185" t="e">
        <v>#N/A</v>
      </c>
      <c r="W15" s="185" t="e">
        <v>#N/A</v>
      </c>
      <c r="X15" s="185" t="e">
        <v>#N/A</v>
      </c>
      <c r="Y15" s="185" t="e">
        <v>#N/A</v>
      </c>
      <c r="Z15" s="185" t="e">
        <v>#N/A</v>
      </c>
      <c r="AA15" s="185" t="e">
        <v>#N/A</v>
      </c>
      <c r="AB15" s="185" t="e">
        <v>#N/A</v>
      </c>
      <c r="AC15" s="185" t="e">
        <v>#N/A</v>
      </c>
      <c r="AD15" s="185" t="e">
        <v>#N/A</v>
      </c>
      <c r="AE15" s="185" t="e">
        <v>#N/A</v>
      </c>
      <c r="AF15" s="201" t="e">
        <v>#N/A</v>
      </c>
    </row>
    <row r="16" spans="1:32" ht="16.350000000000001" customHeight="1">
      <c r="A16" s="177"/>
      <c r="B16" s="179"/>
      <c r="C16" s="179"/>
      <c r="D16" s="3"/>
      <c r="E16" s="3"/>
      <c r="F16" s="163"/>
      <c r="G16" s="213">
        <v>10</v>
      </c>
      <c r="H16" s="193">
        <v>277.04492492783231</v>
      </c>
      <c r="I16" s="185">
        <v>0.24639908634897131</v>
      </c>
      <c r="J16" s="309">
        <v>10308.228583636266</v>
      </c>
      <c r="K16" s="310">
        <v>110.92751449576365</v>
      </c>
      <c r="L16" s="237">
        <v>0</v>
      </c>
      <c r="M16" s="185">
        <v>8.9390610411745845E-3</v>
      </c>
      <c r="N16" s="185">
        <v>0.99106093895882541</v>
      </c>
      <c r="O16" s="185" t="e">
        <v>#N/A</v>
      </c>
      <c r="P16" s="185" t="e">
        <v>#N/A</v>
      </c>
      <c r="Q16" s="185" t="e">
        <v>#N/A</v>
      </c>
      <c r="R16" s="185" t="e">
        <v>#N/A</v>
      </c>
      <c r="S16" s="185" t="e">
        <v>#N/A</v>
      </c>
      <c r="T16" s="185" t="e">
        <v>#N/A</v>
      </c>
      <c r="U16" s="185" t="e">
        <v>#N/A</v>
      </c>
      <c r="V16" s="185" t="e">
        <v>#N/A</v>
      </c>
      <c r="W16" s="185" t="e">
        <v>#N/A</v>
      </c>
      <c r="X16" s="185" t="e">
        <v>#N/A</v>
      </c>
      <c r="Y16" s="185" t="e">
        <v>#N/A</v>
      </c>
      <c r="Z16" s="185" t="e">
        <v>#N/A</v>
      </c>
      <c r="AA16" s="185" t="e">
        <v>#N/A</v>
      </c>
      <c r="AB16" s="185" t="e">
        <v>#N/A</v>
      </c>
      <c r="AC16" s="185" t="e">
        <v>#N/A</v>
      </c>
      <c r="AD16" s="185" t="e">
        <v>#N/A</v>
      </c>
      <c r="AE16" s="185" t="e">
        <v>#N/A</v>
      </c>
      <c r="AF16" s="201" t="e">
        <v>#N/A</v>
      </c>
    </row>
    <row r="17" spans="1:32" ht="16.350000000000001" customHeight="1">
      <c r="A17" s="177"/>
      <c r="B17" s="179"/>
      <c r="C17" s="179"/>
      <c r="D17" s="3"/>
      <c r="E17" s="3"/>
      <c r="F17" s="163"/>
      <c r="G17" s="213">
        <v>11</v>
      </c>
      <c r="H17" s="193">
        <v>279.79456781265804</v>
      </c>
      <c r="I17" s="185">
        <v>0.27295549654997275</v>
      </c>
      <c r="J17" s="309">
        <v>10259.866969669076</v>
      </c>
      <c r="K17" s="310">
        <v>122.01851350520376</v>
      </c>
      <c r="L17" s="237">
        <v>0</v>
      </c>
      <c r="M17" s="185">
        <v>9.6995136892542057E-3</v>
      </c>
      <c r="N17" s="185">
        <v>0.99030048631074574</v>
      </c>
      <c r="O17" s="185" t="e">
        <v>#N/A</v>
      </c>
      <c r="P17" s="185" t="e">
        <v>#N/A</v>
      </c>
      <c r="Q17" s="185" t="e">
        <v>#N/A</v>
      </c>
      <c r="R17" s="185" t="e">
        <v>#N/A</v>
      </c>
      <c r="S17" s="185" t="e">
        <v>#N/A</v>
      </c>
      <c r="T17" s="185" t="e">
        <v>#N/A</v>
      </c>
      <c r="U17" s="185" t="e">
        <v>#N/A</v>
      </c>
      <c r="V17" s="185" t="e">
        <v>#N/A</v>
      </c>
      <c r="W17" s="185" t="e">
        <v>#N/A</v>
      </c>
      <c r="X17" s="185" t="e">
        <v>#N/A</v>
      </c>
      <c r="Y17" s="185" t="e">
        <v>#N/A</v>
      </c>
      <c r="Z17" s="185" t="e">
        <v>#N/A</v>
      </c>
      <c r="AA17" s="185" t="e">
        <v>#N/A</v>
      </c>
      <c r="AB17" s="185" t="e">
        <v>#N/A</v>
      </c>
      <c r="AC17" s="185" t="e">
        <v>#N/A</v>
      </c>
      <c r="AD17" s="185" t="e">
        <v>#N/A</v>
      </c>
      <c r="AE17" s="185" t="e">
        <v>#N/A</v>
      </c>
      <c r="AF17" s="201" t="e">
        <v>#N/A</v>
      </c>
    </row>
    <row r="18" spans="1:32" ht="16.350000000000001" customHeight="1">
      <c r="A18" s="177"/>
      <c r="B18" s="179"/>
      <c r="C18" s="179"/>
      <c r="D18" s="3"/>
      <c r="E18" s="3"/>
      <c r="F18" s="163"/>
      <c r="G18" s="213">
        <v>12</v>
      </c>
      <c r="H18" s="193">
        <v>282.59672294549841</v>
      </c>
      <c r="I18" s="185">
        <v>0.30233813178649815</v>
      </c>
      <c r="J18" s="309">
        <v>10210.328009166959</v>
      </c>
      <c r="K18" s="310">
        <v>134.21841499883942</v>
      </c>
      <c r="L18" s="237">
        <v>0</v>
      </c>
      <c r="M18" s="185">
        <v>1.0528359655414411E-2</v>
      </c>
      <c r="N18" s="185">
        <v>0.98947164034458557</v>
      </c>
      <c r="O18" s="185" t="e">
        <v>#N/A</v>
      </c>
      <c r="P18" s="185" t="e">
        <v>#N/A</v>
      </c>
      <c r="Q18" s="185" t="e">
        <v>#N/A</v>
      </c>
      <c r="R18" s="185" t="e">
        <v>#N/A</v>
      </c>
      <c r="S18" s="185" t="e">
        <v>#N/A</v>
      </c>
      <c r="T18" s="185" t="e">
        <v>#N/A</v>
      </c>
      <c r="U18" s="185" t="e">
        <v>#N/A</v>
      </c>
      <c r="V18" s="185" t="e">
        <v>#N/A</v>
      </c>
      <c r="W18" s="185" t="e">
        <v>#N/A</v>
      </c>
      <c r="X18" s="185" t="e">
        <v>#N/A</v>
      </c>
      <c r="Y18" s="185" t="e">
        <v>#N/A</v>
      </c>
      <c r="Z18" s="185" t="e">
        <v>#N/A</v>
      </c>
      <c r="AA18" s="185" t="e">
        <v>#N/A</v>
      </c>
      <c r="AB18" s="185" t="e">
        <v>#N/A</v>
      </c>
      <c r="AC18" s="185" t="e">
        <v>#N/A</v>
      </c>
      <c r="AD18" s="185" t="e">
        <v>#N/A</v>
      </c>
      <c r="AE18" s="185" t="e">
        <v>#N/A</v>
      </c>
      <c r="AF18" s="201" t="e">
        <v>#N/A</v>
      </c>
    </row>
    <row r="19" spans="1:32" ht="16.350000000000001" customHeight="1">
      <c r="A19" s="178"/>
      <c r="B19" s="179"/>
      <c r="C19" s="179"/>
      <c r="D19" s="3"/>
      <c r="E19" s="3"/>
      <c r="F19" s="163"/>
      <c r="G19" s="213">
        <v>13</v>
      </c>
      <c r="H19" s="193">
        <v>285.45172982479306</v>
      </c>
      <c r="I19" s="185">
        <v>0.33483821778178474</v>
      </c>
      <c r="J19" s="309">
        <v>10159.576752047238</v>
      </c>
      <c r="K19" s="310">
        <v>147.63808657229765</v>
      </c>
      <c r="L19" s="237">
        <v>0</v>
      </c>
      <c r="M19" s="185">
        <v>1.1432221707722023E-2</v>
      </c>
      <c r="N19" s="185">
        <v>0.98856777829227793</v>
      </c>
      <c r="O19" s="185" t="e">
        <v>#N/A</v>
      </c>
      <c r="P19" s="185" t="e">
        <v>#N/A</v>
      </c>
      <c r="Q19" s="185" t="e">
        <v>#N/A</v>
      </c>
      <c r="R19" s="185" t="e">
        <v>#N/A</v>
      </c>
      <c r="S19" s="185" t="e">
        <v>#N/A</v>
      </c>
      <c r="T19" s="185" t="e">
        <v>#N/A</v>
      </c>
      <c r="U19" s="185" t="e">
        <v>#N/A</v>
      </c>
      <c r="V19" s="185" t="e">
        <v>#N/A</v>
      </c>
      <c r="W19" s="185" t="e">
        <v>#N/A</v>
      </c>
      <c r="X19" s="185" t="e">
        <v>#N/A</v>
      </c>
      <c r="Y19" s="185" t="e">
        <v>#N/A</v>
      </c>
      <c r="Z19" s="185" t="e">
        <v>#N/A</v>
      </c>
      <c r="AA19" s="185" t="e">
        <v>#N/A</v>
      </c>
      <c r="AB19" s="185" t="e">
        <v>#N/A</v>
      </c>
      <c r="AC19" s="185" t="e">
        <v>#N/A</v>
      </c>
      <c r="AD19" s="185" t="e">
        <v>#N/A</v>
      </c>
      <c r="AE19" s="185" t="e">
        <v>#N/A</v>
      </c>
      <c r="AF19" s="201" t="e">
        <v>#N/A</v>
      </c>
    </row>
    <row r="20" spans="1:32" ht="16.350000000000001" customHeight="1">
      <c r="A20" s="178"/>
      <c r="B20" s="179"/>
      <c r="C20" s="179"/>
      <c r="D20" s="3"/>
      <c r="E20" s="3"/>
      <c r="F20" s="163"/>
      <c r="G20" s="213">
        <v>14</v>
      </c>
      <c r="H20" s="193">
        <v>288</v>
      </c>
      <c r="I20" s="185">
        <v>0.36616765112530603</v>
      </c>
      <c r="J20" s="309">
        <v>10114.028249628273</v>
      </c>
      <c r="K20" s="310">
        <v>160.51111286611956</v>
      </c>
      <c r="L20" s="237">
        <v>4</v>
      </c>
      <c r="M20" s="185">
        <v>1.2292680948567248E-2</v>
      </c>
      <c r="N20" s="185">
        <v>0.98770731905143272</v>
      </c>
      <c r="O20" s="185" t="e">
        <v>#N/A</v>
      </c>
      <c r="P20" s="185" t="e">
        <v>#N/A</v>
      </c>
      <c r="Q20" s="185" t="e">
        <v>#N/A</v>
      </c>
      <c r="R20" s="185" t="e">
        <v>#N/A</v>
      </c>
      <c r="S20" s="185" t="e">
        <v>#N/A</v>
      </c>
      <c r="T20" s="185" t="e">
        <v>#N/A</v>
      </c>
      <c r="U20" s="185" t="e">
        <v>#N/A</v>
      </c>
      <c r="V20" s="185" t="e">
        <v>#N/A</v>
      </c>
      <c r="W20" s="185" t="e">
        <v>#N/A</v>
      </c>
      <c r="X20" s="185" t="e">
        <v>#N/A</v>
      </c>
      <c r="Y20" s="185" t="e">
        <v>#N/A</v>
      </c>
      <c r="Z20" s="185" t="e">
        <v>#N/A</v>
      </c>
      <c r="AA20" s="185" t="e">
        <v>#N/A</v>
      </c>
      <c r="AB20" s="185" t="e">
        <v>#N/A</v>
      </c>
      <c r="AC20" s="185" t="e">
        <v>#N/A</v>
      </c>
      <c r="AD20" s="185" t="e">
        <v>#N/A</v>
      </c>
      <c r="AE20" s="185" t="e">
        <v>#N/A</v>
      </c>
      <c r="AF20" s="201" t="e">
        <v>#N/A</v>
      </c>
    </row>
    <row r="21" spans="1:32" ht="16.350000000000001" customHeight="1">
      <c r="A21" s="178"/>
      <c r="B21" s="179"/>
      <c r="C21" s="179"/>
      <c r="D21" s="3"/>
      <c r="E21" s="3"/>
      <c r="F21" s="163"/>
      <c r="G21" s="213">
        <v>15</v>
      </c>
      <c r="H21" s="193">
        <v>290.95465153471616</v>
      </c>
      <c r="I21" s="185">
        <v>0.40540609090301782</v>
      </c>
      <c r="J21" s="309">
        <v>10060.904208777669</v>
      </c>
      <c r="K21" s="310">
        <v>176.55991395959674</v>
      </c>
      <c r="L21" s="237">
        <v>0</v>
      </c>
      <c r="M21" s="185">
        <v>1.335776929487502E-2</v>
      </c>
      <c r="N21" s="185">
        <v>0.98664223070512502</v>
      </c>
      <c r="O21" s="185" t="e">
        <v>#N/A</v>
      </c>
      <c r="P21" s="185" t="e">
        <v>#N/A</v>
      </c>
      <c r="Q21" s="185" t="e">
        <v>#N/A</v>
      </c>
      <c r="R21" s="185" t="e">
        <v>#N/A</v>
      </c>
      <c r="S21" s="185" t="e">
        <v>#N/A</v>
      </c>
      <c r="T21" s="185" t="e">
        <v>#N/A</v>
      </c>
      <c r="U21" s="185" t="e">
        <v>#N/A</v>
      </c>
      <c r="V21" s="185" t="e">
        <v>#N/A</v>
      </c>
      <c r="W21" s="185" t="e">
        <v>#N/A</v>
      </c>
      <c r="X21" s="185" t="e">
        <v>#N/A</v>
      </c>
      <c r="Y21" s="185" t="e">
        <v>#N/A</v>
      </c>
      <c r="Z21" s="185" t="e">
        <v>#N/A</v>
      </c>
      <c r="AA21" s="185" t="e">
        <v>#N/A</v>
      </c>
      <c r="AB21" s="185" t="e">
        <v>#N/A</v>
      </c>
      <c r="AC21" s="185" t="e">
        <v>#N/A</v>
      </c>
      <c r="AD21" s="185" t="e">
        <v>#N/A</v>
      </c>
      <c r="AE21" s="185" t="e">
        <v>#N/A</v>
      </c>
      <c r="AF21" s="201" t="e">
        <v>#N/A</v>
      </c>
    </row>
    <row r="22" spans="1:32" ht="16.350000000000001" customHeight="1">
      <c r="A22" s="178"/>
      <c r="B22" s="179"/>
      <c r="C22" s="179"/>
      <c r="D22" s="3"/>
      <c r="E22" s="3"/>
      <c r="F22" s="163"/>
      <c r="G22" s="213">
        <v>16</v>
      </c>
      <c r="H22" s="193">
        <v>293.96216589366304</v>
      </c>
      <c r="I22" s="185">
        <v>0.44876240537058376</v>
      </c>
      <c r="J22" s="309">
        <v>10006.465650008688</v>
      </c>
      <c r="K22" s="310">
        <v>194.21316123228124</v>
      </c>
      <c r="L22" s="237">
        <v>0</v>
      </c>
      <c r="M22" s="185">
        <v>1.4521094293690334E-2</v>
      </c>
      <c r="N22" s="185">
        <v>0.98547890570630969</v>
      </c>
      <c r="O22" s="185" t="e">
        <v>#N/A</v>
      </c>
      <c r="P22" s="185" t="e">
        <v>#N/A</v>
      </c>
      <c r="Q22" s="185" t="e">
        <v>#N/A</v>
      </c>
      <c r="R22" s="185" t="e">
        <v>#N/A</v>
      </c>
      <c r="S22" s="185" t="e">
        <v>#N/A</v>
      </c>
      <c r="T22" s="185" t="e">
        <v>#N/A</v>
      </c>
      <c r="U22" s="185" t="e">
        <v>#N/A</v>
      </c>
      <c r="V22" s="185" t="e">
        <v>#N/A</v>
      </c>
      <c r="W22" s="185" t="e">
        <v>#N/A</v>
      </c>
      <c r="X22" s="185" t="e">
        <v>#N/A</v>
      </c>
      <c r="Y22" s="185" t="e">
        <v>#N/A</v>
      </c>
      <c r="Z22" s="185" t="e">
        <v>#N/A</v>
      </c>
      <c r="AA22" s="185" t="e">
        <v>#N/A</v>
      </c>
      <c r="AB22" s="185" t="e">
        <v>#N/A</v>
      </c>
      <c r="AC22" s="185" t="e">
        <v>#N/A</v>
      </c>
      <c r="AD22" s="185" t="e">
        <v>#N/A</v>
      </c>
      <c r="AE22" s="185" t="e">
        <v>#N/A</v>
      </c>
      <c r="AF22" s="201" t="e">
        <v>#N/A</v>
      </c>
    </row>
    <row r="23" spans="1:32" ht="16.350000000000001" customHeight="1">
      <c r="A23" s="178"/>
      <c r="B23" s="179"/>
      <c r="C23" s="179"/>
      <c r="D23" s="3"/>
      <c r="E23" s="3"/>
      <c r="F23" s="163"/>
      <c r="G23" s="213">
        <v>17</v>
      </c>
      <c r="H23" s="193">
        <v>297.0221430588681</v>
      </c>
      <c r="I23" s="185">
        <v>0.49664795272792533</v>
      </c>
      <c r="J23" s="309">
        <v>9950.6764815687857</v>
      </c>
      <c r="K23" s="310">
        <v>213.6312876615124</v>
      </c>
      <c r="L23" s="237">
        <v>0</v>
      </c>
      <c r="M23" s="185">
        <v>1.5792461476267464E-2</v>
      </c>
      <c r="N23" s="185">
        <v>0.98420753852373255</v>
      </c>
      <c r="O23" s="185" t="e">
        <v>#N/A</v>
      </c>
      <c r="P23" s="185" t="e">
        <v>#N/A</v>
      </c>
      <c r="Q23" s="185" t="e">
        <v>#N/A</v>
      </c>
      <c r="R23" s="185" t="e">
        <v>#N/A</v>
      </c>
      <c r="S23" s="185" t="e">
        <v>#N/A</v>
      </c>
      <c r="T23" s="185" t="e">
        <v>#N/A</v>
      </c>
      <c r="U23" s="185" t="e">
        <v>#N/A</v>
      </c>
      <c r="V23" s="185" t="e">
        <v>#N/A</v>
      </c>
      <c r="W23" s="185" t="e">
        <v>#N/A</v>
      </c>
      <c r="X23" s="185" t="e">
        <v>#N/A</v>
      </c>
      <c r="Y23" s="185" t="e">
        <v>#N/A</v>
      </c>
      <c r="Z23" s="185" t="e">
        <v>#N/A</v>
      </c>
      <c r="AA23" s="185" t="e">
        <v>#N/A</v>
      </c>
      <c r="AB23" s="185" t="e">
        <v>#N/A</v>
      </c>
      <c r="AC23" s="185" t="e">
        <v>#N/A</v>
      </c>
      <c r="AD23" s="185" t="e">
        <v>#N/A</v>
      </c>
      <c r="AE23" s="185" t="e">
        <v>#N/A</v>
      </c>
      <c r="AF23" s="201" t="e">
        <v>#N/A</v>
      </c>
    </row>
    <row r="24" spans="1:32" ht="16.350000000000001" customHeight="1">
      <c r="A24" s="178"/>
      <c r="B24" s="179"/>
      <c r="C24" s="181"/>
      <c r="D24" s="3"/>
      <c r="E24" s="3"/>
      <c r="F24" s="163"/>
      <c r="G24" s="213">
        <v>18</v>
      </c>
      <c r="H24" s="193">
        <v>300.13390658063264</v>
      </c>
      <c r="I24" s="185">
        <v>0.54951049716256029</v>
      </c>
      <c r="J24" s="309">
        <v>9893.5007986457331</v>
      </c>
      <c r="K24" s="310">
        <v>234.99074683998376</v>
      </c>
      <c r="L24" s="237">
        <v>0</v>
      </c>
      <c r="M24" s="185">
        <v>1.7182741055978452E-2</v>
      </c>
      <c r="N24" s="185">
        <v>0.9828172589440215</v>
      </c>
      <c r="O24" s="185" t="e">
        <v>#N/A</v>
      </c>
      <c r="P24" s="185" t="e">
        <v>#N/A</v>
      </c>
      <c r="Q24" s="185" t="e">
        <v>#N/A</v>
      </c>
      <c r="R24" s="185" t="e">
        <v>#N/A</v>
      </c>
      <c r="S24" s="185" t="e">
        <v>#N/A</v>
      </c>
      <c r="T24" s="185" t="e">
        <v>#N/A</v>
      </c>
      <c r="U24" s="185" t="e">
        <v>#N/A</v>
      </c>
      <c r="V24" s="185" t="e">
        <v>#N/A</v>
      </c>
      <c r="W24" s="185" t="e">
        <v>#N/A</v>
      </c>
      <c r="X24" s="185" t="e">
        <v>#N/A</v>
      </c>
      <c r="Y24" s="185" t="e">
        <v>#N/A</v>
      </c>
      <c r="Z24" s="185" t="e">
        <v>#N/A</v>
      </c>
      <c r="AA24" s="185" t="e">
        <v>#N/A</v>
      </c>
      <c r="AB24" s="185" t="e">
        <v>#N/A</v>
      </c>
      <c r="AC24" s="185" t="e">
        <v>#N/A</v>
      </c>
      <c r="AD24" s="185" t="e">
        <v>#N/A</v>
      </c>
      <c r="AE24" s="185" t="e">
        <v>#N/A</v>
      </c>
      <c r="AF24" s="201" t="e">
        <v>#N/A</v>
      </c>
    </row>
    <row r="25" spans="1:32" ht="16.350000000000001" customHeight="1">
      <c r="A25" s="178"/>
      <c r="B25" s="179"/>
      <c r="C25" s="181"/>
      <c r="D25" s="3"/>
      <c r="E25" s="3"/>
      <c r="F25" s="163"/>
      <c r="G25" s="213">
        <v>19</v>
      </c>
      <c r="H25" s="193">
        <v>303.29647836651674</v>
      </c>
      <c r="I25" s="185">
        <v>0.60783670731890527</v>
      </c>
      <c r="J25" s="309">
        <v>9834.9027962260861</v>
      </c>
      <c r="K25" s="310">
        <v>258.48573117919301</v>
      </c>
      <c r="L25" s="237">
        <v>0</v>
      </c>
      <c r="M25" s="185">
        <v>1.8704001257743592E-2</v>
      </c>
      <c r="N25" s="185">
        <v>0.98129599874225637</v>
      </c>
      <c r="O25" s="185" t="e">
        <v>#N/A</v>
      </c>
      <c r="P25" s="185" t="e">
        <v>#N/A</v>
      </c>
      <c r="Q25" s="185" t="e">
        <v>#N/A</v>
      </c>
      <c r="R25" s="185" t="e">
        <v>#N/A</v>
      </c>
      <c r="S25" s="185" t="e">
        <v>#N/A</v>
      </c>
      <c r="T25" s="185" t="e">
        <v>#N/A</v>
      </c>
      <c r="U25" s="185" t="e">
        <v>#N/A</v>
      </c>
      <c r="V25" s="185" t="e">
        <v>#N/A</v>
      </c>
      <c r="W25" s="185" t="e">
        <v>#N/A</v>
      </c>
      <c r="X25" s="185" t="e">
        <v>#N/A</v>
      </c>
      <c r="Y25" s="185" t="e">
        <v>#N/A</v>
      </c>
      <c r="Z25" s="185" t="e">
        <v>#N/A</v>
      </c>
      <c r="AA25" s="185" t="e">
        <v>#N/A</v>
      </c>
      <c r="AB25" s="185" t="e">
        <v>#N/A</v>
      </c>
      <c r="AC25" s="185" t="e">
        <v>#N/A</v>
      </c>
      <c r="AD25" s="185" t="e">
        <v>#N/A</v>
      </c>
      <c r="AE25" s="185" t="e">
        <v>#N/A</v>
      </c>
      <c r="AF25" s="201" t="e">
        <v>#N/A</v>
      </c>
    </row>
    <row r="26" spans="1:32" ht="16.350000000000001" customHeight="1">
      <c r="A26" s="178"/>
      <c r="B26" s="179"/>
      <c r="C26" s="181"/>
      <c r="D26" s="3"/>
      <c r="E26" s="3"/>
      <c r="F26" s="163"/>
      <c r="G26" s="213">
        <v>20</v>
      </c>
      <c r="H26" s="193">
        <v>306.50850460228742</v>
      </c>
      <c r="I26" s="185">
        <v>0.67215378962628858</v>
      </c>
      <c r="J26" s="309">
        <v>9774.8475184777253</v>
      </c>
      <c r="K26" s="310">
        <v>284.32974378434187</v>
      </c>
      <c r="L26" s="237">
        <v>0</v>
      </c>
      <c r="M26" s="185">
        <v>2.0369637616257645E-2</v>
      </c>
      <c r="N26" s="185">
        <v>0.97963036238374235</v>
      </c>
      <c r="O26" s="185" t="e">
        <v>#N/A</v>
      </c>
      <c r="P26" s="185" t="e">
        <v>#N/A</v>
      </c>
      <c r="Q26" s="185" t="e">
        <v>#N/A</v>
      </c>
      <c r="R26" s="185" t="e">
        <v>#N/A</v>
      </c>
      <c r="S26" s="185" t="e">
        <v>#N/A</v>
      </c>
      <c r="T26" s="185" t="e">
        <v>#N/A</v>
      </c>
      <c r="U26" s="185" t="e">
        <v>#N/A</v>
      </c>
      <c r="V26" s="185" t="e">
        <v>#N/A</v>
      </c>
      <c r="W26" s="185" t="e">
        <v>#N/A</v>
      </c>
      <c r="X26" s="185" t="e">
        <v>#N/A</v>
      </c>
      <c r="Y26" s="185" t="e">
        <v>#N/A</v>
      </c>
      <c r="Z26" s="185" t="e">
        <v>#N/A</v>
      </c>
      <c r="AA26" s="185" t="e">
        <v>#N/A</v>
      </c>
      <c r="AB26" s="185" t="e">
        <v>#N/A</v>
      </c>
      <c r="AC26" s="185" t="e">
        <v>#N/A</v>
      </c>
      <c r="AD26" s="185" t="e">
        <v>#N/A</v>
      </c>
      <c r="AE26" s="185" t="e">
        <v>#N/A</v>
      </c>
      <c r="AF26" s="201" t="e">
        <v>#N/A</v>
      </c>
    </row>
    <row r="27" spans="1:32" ht="16.350000000000001" customHeight="1">
      <c r="A27" s="178"/>
      <c r="B27" s="179"/>
      <c r="C27" s="181"/>
      <c r="D27" s="3"/>
      <c r="E27" s="3"/>
      <c r="F27" s="163"/>
      <c r="G27" s="213">
        <v>21</v>
      </c>
      <c r="H27" s="193">
        <v>309.76821895175317</v>
      </c>
      <c r="I27" s="185">
        <v>0.743031646623874</v>
      </c>
      <c r="J27" s="309">
        <v>9713.3008555507913</v>
      </c>
      <c r="K27" s="310">
        <v>312.75763226115379</v>
      </c>
      <c r="L27" s="237">
        <v>0</v>
      </c>
      <c r="M27" s="185">
        <v>2.2194538905187626E-2</v>
      </c>
      <c r="N27" s="185">
        <v>0.97780546109481237</v>
      </c>
      <c r="O27" s="185" t="e">
        <v>#N/A</v>
      </c>
      <c r="P27" s="185" t="e">
        <v>#N/A</v>
      </c>
      <c r="Q27" s="185" t="e">
        <v>#N/A</v>
      </c>
      <c r="R27" s="185" t="e">
        <v>#N/A</v>
      </c>
      <c r="S27" s="185" t="e">
        <v>#N/A</v>
      </c>
      <c r="T27" s="185" t="e">
        <v>#N/A</v>
      </c>
      <c r="U27" s="185" t="e">
        <v>#N/A</v>
      </c>
      <c r="V27" s="185" t="e">
        <v>#N/A</v>
      </c>
      <c r="W27" s="185" t="e">
        <v>#N/A</v>
      </c>
      <c r="X27" s="185" t="e">
        <v>#N/A</v>
      </c>
      <c r="Y27" s="185" t="e">
        <v>#N/A</v>
      </c>
      <c r="Z27" s="185" t="e">
        <v>#N/A</v>
      </c>
      <c r="AA27" s="185" t="e">
        <v>#N/A</v>
      </c>
      <c r="AB27" s="185" t="e">
        <v>#N/A</v>
      </c>
      <c r="AC27" s="185" t="e">
        <v>#N/A</v>
      </c>
      <c r="AD27" s="185" t="e">
        <v>#N/A</v>
      </c>
      <c r="AE27" s="185" t="e">
        <v>#N/A</v>
      </c>
      <c r="AF27" s="201" t="e">
        <v>#N/A</v>
      </c>
    </row>
    <row r="28" spans="1:32" ht="16.350000000000001" customHeight="1">
      <c r="A28" s="178"/>
      <c r="B28" s="179"/>
      <c r="C28" s="181"/>
      <c r="D28" s="3"/>
      <c r="E28" s="3"/>
      <c r="F28" s="163"/>
      <c r="G28" s="213">
        <v>22</v>
      </c>
      <c r="H28" s="193">
        <v>313.07338374259609</v>
      </c>
      <c r="I28" s="185">
        <v>0.82108452850999769</v>
      </c>
      <c r="J28" s="309">
        <v>9650.2298631768335</v>
      </c>
      <c r="K28" s="310">
        <v>344.02772240889817</v>
      </c>
      <c r="L28" s="237">
        <v>0</v>
      </c>
      <c r="M28" s="185">
        <v>2.4195267247102754E-2</v>
      </c>
      <c r="N28" s="185">
        <v>0.97580473275289725</v>
      </c>
      <c r="O28" s="185" t="e">
        <v>#N/A</v>
      </c>
      <c r="P28" s="185" t="e">
        <v>#N/A</v>
      </c>
      <c r="Q28" s="185" t="e">
        <v>#N/A</v>
      </c>
      <c r="R28" s="185" t="e">
        <v>#N/A</v>
      </c>
      <c r="S28" s="185" t="e">
        <v>#N/A</v>
      </c>
      <c r="T28" s="185" t="e">
        <v>#N/A</v>
      </c>
      <c r="U28" s="185" t="e">
        <v>#N/A</v>
      </c>
      <c r="V28" s="185" t="e">
        <v>#N/A</v>
      </c>
      <c r="W28" s="185" t="e">
        <v>#N/A</v>
      </c>
      <c r="X28" s="185" t="e">
        <v>#N/A</v>
      </c>
      <c r="Y28" s="185" t="e">
        <v>#N/A</v>
      </c>
      <c r="Z28" s="185" t="e">
        <v>#N/A</v>
      </c>
      <c r="AA28" s="185" t="e">
        <v>#N/A</v>
      </c>
      <c r="AB28" s="185" t="e">
        <v>#N/A</v>
      </c>
      <c r="AC28" s="185" t="e">
        <v>#N/A</v>
      </c>
      <c r="AD28" s="185" t="e">
        <v>#N/A</v>
      </c>
      <c r="AE28" s="185" t="e">
        <v>#N/A</v>
      </c>
      <c r="AF28" s="201" t="e">
        <v>#N/A</v>
      </c>
    </row>
    <row r="29" spans="1:32" ht="16.350000000000001" customHeight="1">
      <c r="A29" s="178"/>
      <c r="B29" s="179"/>
      <c r="C29" s="181"/>
      <c r="D29" s="3"/>
      <c r="E29" s="3"/>
      <c r="F29" s="163"/>
      <c r="G29" s="213">
        <v>23</v>
      </c>
      <c r="H29" s="193">
        <v>316.42122376321748</v>
      </c>
      <c r="I29" s="185">
        <v>0.90697229238330912</v>
      </c>
      <c r="J29" s="309">
        <v>9585.6031306760833</v>
      </c>
      <c r="K29" s="310">
        <v>378.42416512966957</v>
      </c>
      <c r="L29" s="237">
        <v>0</v>
      </c>
      <c r="M29" s="185">
        <v>2.6390261204940826E-2</v>
      </c>
      <c r="N29" s="185">
        <v>0.97360973879505919</v>
      </c>
      <c r="O29" s="185" t="e">
        <v>#N/A</v>
      </c>
      <c r="P29" s="185" t="e">
        <v>#N/A</v>
      </c>
      <c r="Q29" s="185" t="e">
        <v>#N/A</v>
      </c>
      <c r="R29" s="185" t="e">
        <v>#N/A</v>
      </c>
      <c r="S29" s="185" t="e">
        <v>#N/A</v>
      </c>
      <c r="T29" s="185" t="e">
        <v>#N/A</v>
      </c>
      <c r="U29" s="185" t="e">
        <v>#N/A</v>
      </c>
      <c r="V29" s="185" t="e">
        <v>#N/A</v>
      </c>
      <c r="W29" s="185" t="e">
        <v>#N/A</v>
      </c>
      <c r="X29" s="185" t="e">
        <v>#N/A</v>
      </c>
      <c r="Y29" s="185" t="e">
        <v>#N/A</v>
      </c>
      <c r="Z29" s="185" t="e">
        <v>#N/A</v>
      </c>
      <c r="AA29" s="185" t="e">
        <v>#N/A</v>
      </c>
      <c r="AB29" s="185" t="e">
        <v>#N/A</v>
      </c>
      <c r="AC29" s="185" t="e">
        <v>#N/A</v>
      </c>
      <c r="AD29" s="185" t="e">
        <v>#N/A</v>
      </c>
      <c r="AE29" s="185" t="e">
        <v>#N/A</v>
      </c>
      <c r="AF29" s="201" t="e">
        <v>#N/A</v>
      </c>
    </row>
    <row r="30" spans="1:32" ht="16.350000000000001" customHeight="1">
      <c r="A30" s="178"/>
      <c r="B30" s="179"/>
      <c r="C30" s="181"/>
      <c r="D30" s="3"/>
      <c r="G30" s="213">
        <v>24</v>
      </c>
      <c r="H30" s="193">
        <v>319.80835187193259</v>
      </c>
      <c r="I30" s="185">
        <v>1.0014011262963913</v>
      </c>
      <c r="J30" s="309">
        <v>9519.3912021139513</v>
      </c>
      <c r="K30" s="310">
        <v>416.25951784709889</v>
      </c>
      <c r="L30" s="237">
        <v>0</v>
      </c>
      <c r="M30" s="185">
        <v>2.8800064751960806E-2</v>
      </c>
      <c r="N30" s="185">
        <v>0.97119993524803916</v>
      </c>
      <c r="O30" s="185" t="e">
        <v>#N/A</v>
      </c>
      <c r="P30" s="185" t="e">
        <v>#N/A</v>
      </c>
      <c r="Q30" s="185" t="e">
        <v>#N/A</v>
      </c>
      <c r="R30" s="185" t="e">
        <v>#N/A</v>
      </c>
      <c r="S30" s="185" t="e">
        <v>#N/A</v>
      </c>
      <c r="T30" s="185" t="e">
        <v>#N/A</v>
      </c>
      <c r="U30" s="185" t="e">
        <v>#N/A</v>
      </c>
      <c r="V30" s="185" t="e">
        <v>#N/A</v>
      </c>
      <c r="W30" s="185" t="e">
        <v>#N/A</v>
      </c>
      <c r="X30" s="185" t="e">
        <v>#N/A</v>
      </c>
      <c r="Y30" s="185" t="e">
        <v>#N/A</v>
      </c>
      <c r="Z30" s="185" t="e">
        <v>#N/A</v>
      </c>
      <c r="AA30" s="185" t="e">
        <v>#N/A</v>
      </c>
      <c r="AB30" s="185" t="e">
        <v>#N/A</v>
      </c>
      <c r="AC30" s="185" t="e">
        <v>#N/A</v>
      </c>
      <c r="AD30" s="185" t="e">
        <v>#N/A</v>
      </c>
      <c r="AE30" s="185" t="e">
        <v>#N/A</v>
      </c>
      <c r="AF30" s="201" t="e">
        <v>#N/A</v>
      </c>
    </row>
    <row r="31" spans="1:32" ht="16.350000000000001" customHeight="1">
      <c r="A31" s="178"/>
      <c r="B31" s="179"/>
      <c r="C31" s="181"/>
      <c r="D31" s="3"/>
      <c r="G31" s="213">
        <v>25</v>
      </c>
      <c r="H31" s="193">
        <v>323.23068561014139</v>
      </c>
      <c r="I31" s="185">
        <v>1.1051235651440525</v>
      </c>
      <c r="J31" s="309">
        <v>9451.567054414596</v>
      </c>
      <c r="K31" s="310">
        <v>457.87758386264869</v>
      </c>
      <c r="L31" s="237">
        <v>0</v>
      </c>
      <c r="M31" s="185">
        <v>3.1447585281344288E-2</v>
      </c>
      <c r="N31" s="185">
        <v>0.96855241471865572</v>
      </c>
      <c r="O31" s="185" t="e">
        <v>#N/A</v>
      </c>
      <c r="P31" s="185" t="e">
        <v>#N/A</v>
      </c>
      <c r="Q31" s="185" t="e">
        <v>#N/A</v>
      </c>
      <c r="R31" s="185" t="e">
        <v>#N/A</v>
      </c>
      <c r="S31" s="185" t="e">
        <v>#N/A</v>
      </c>
      <c r="T31" s="185" t="e">
        <v>#N/A</v>
      </c>
      <c r="U31" s="185" t="e">
        <v>#N/A</v>
      </c>
      <c r="V31" s="185" t="e">
        <v>#N/A</v>
      </c>
      <c r="W31" s="185" t="e">
        <v>#N/A</v>
      </c>
      <c r="X31" s="185" t="e">
        <v>#N/A</v>
      </c>
      <c r="Y31" s="185" t="e">
        <v>#N/A</v>
      </c>
      <c r="Z31" s="185" t="e">
        <v>#N/A</v>
      </c>
      <c r="AA31" s="185" t="e">
        <v>#N/A</v>
      </c>
      <c r="AB31" s="185" t="e">
        <v>#N/A</v>
      </c>
      <c r="AC31" s="185" t="e">
        <v>#N/A</v>
      </c>
      <c r="AD31" s="185" t="e">
        <v>#N/A</v>
      </c>
      <c r="AE31" s="185" t="e">
        <v>#N/A</v>
      </c>
      <c r="AF31" s="201" t="e">
        <v>#N/A</v>
      </c>
    </row>
    <row r="32" spans="1:32" ht="16.350000000000001" customHeight="1">
      <c r="A32" s="178"/>
      <c r="B32" s="179"/>
      <c r="C32" s="181"/>
      <c r="G32" s="213">
        <v>26</v>
      </c>
      <c r="H32" s="193">
        <v>326.68335400876521</v>
      </c>
      <c r="I32" s="185">
        <v>1.2189375910159341</v>
      </c>
      <c r="J32" s="309">
        <v>9382.1066352300277</v>
      </c>
      <c r="K32" s="310">
        <v>503.65653538624633</v>
      </c>
      <c r="L32" s="237">
        <v>0</v>
      </c>
      <c r="M32" s="185">
        <v>3.4358384061709768E-2</v>
      </c>
      <c r="N32" s="185">
        <v>0.96564161593829023</v>
      </c>
      <c r="O32" s="185" t="e">
        <v>#N/A</v>
      </c>
      <c r="P32" s="185" t="e">
        <v>#N/A</v>
      </c>
      <c r="Q32" s="185" t="e">
        <v>#N/A</v>
      </c>
      <c r="R32" s="185" t="e">
        <v>#N/A</v>
      </c>
      <c r="S32" s="185" t="e">
        <v>#N/A</v>
      </c>
      <c r="T32" s="185" t="e">
        <v>#N/A</v>
      </c>
      <c r="U32" s="185" t="e">
        <v>#N/A</v>
      </c>
      <c r="V32" s="185" t="e">
        <v>#N/A</v>
      </c>
      <c r="W32" s="185" t="e">
        <v>#N/A</v>
      </c>
      <c r="X32" s="185" t="e">
        <v>#N/A</v>
      </c>
      <c r="Y32" s="185" t="e">
        <v>#N/A</v>
      </c>
      <c r="Z32" s="185" t="e">
        <v>#N/A</v>
      </c>
      <c r="AA32" s="185" t="e">
        <v>#N/A</v>
      </c>
      <c r="AB32" s="185" t="e">
        <v>#N/A</v>
      </c>
      <c r="AC32" s="185" t="e">
        <v>#N/A</v>
      </c>
      <c r="AD32" s="185" t="e">
        <v>#N/A</v>
      </c>
      <c r="AE32" s="185" t="e">
        <v>#N/A</v>
      </c>
      <c r="AF32" s="201" t="e">
        <v>#N/A</v>
      </c>
    </row>
    <row r="33" spans="1:32" ht="16.350000000000001" customHeight="1">
      <c r="G33" s="213">
        <v>27</v>
      </c>
      <c r="H33" s="193">
        <v>330.16059380072397</v>
      </c>
      <c r="I33" s="185">
        <v>1.343684572186933</v>
      </c>
      <c r="J33" s="309">
        <v>9310.9894621152944</v>
      </c>
      <c r="K33" s="310">
        <v>554.01234851750621</v>
      </c>
      <c r="L33" s="237">
        <v>0</v>
      </c>
      <c r="M33" s="185">
        <v>3.7561002755270988E-2</v>
      </c>
      <c r="N33" s="185">
        <v>0.96243899724472903</v>
      </c>
      <c r="O33" s="185" t="e">
        <v>#N/A</v>
      </c>
      <c r="P33" s="185" t="e">
        <v>#N/A</v>
      </c>
      <c r="Q33" s="185" t="e">
        <v>#N/A</v>
      </c>
      <c r="R33" s="185" t="e">
        <v>#N/A</v>
      </c>
      <c r="S33" s="185" t="e">
        <v>#N/A</v>
      </c>
      <c r="T33" s="185" t="e">
        <v>#N/A</v>
      </c>
      <c r="U33" s="185" t="e">
        <v>#N/A</v>
      </c>
      <c r="V33" s="185" t="e">
        <v>#N/A</v>
      </c>
      <c r="W33" s="185" t="e">
        <v>#N/A</v>
      </c>
      <c r="X33" s="185" t="e">
        <v>#N/A</v>
      </c>
      <c r="Y33" s="185" t="e">
        <v>#N/A</v>
      </c>
      <c r="Z33" s="185" t="e">
        <v>#N/A</v>
      </c>
      <c r="AA33" s="185" t="e">
        <v>#N/A</v>
      </c>
      <c r="AB33" s="185" t="e">
        <v>#N/A</v>
      </c>
      <c r="AC33" s="185" t="e">
        <v>#N/A</v>
      </c>
      <c r="AD33" s="185" t="e">
        <v>#N/A</v>
      </c>
      <c r="AE33" s="185" t="e">
        <v>#N/A</v>
      </c>
      <c r="AF33" s="201" t="e">
        <v>#N/A</v>
      </c>
    </row>
    <row r="34" spans="1:32" ht="16.350000000000001" customHeight="1">
      <c r="G34" s="213">
        <v>28</v>
      </c>
      <c r="H34" s="193">
        <v>333.65563431870413</v>
      </c>
      <c r="I34" s="185">
        <v>1.4802457529845208</v>
      </c>
      <c r="J34" s="309">
        <v>9238.1992830481286</v>
      </c>
      <c r="K34" s="310">
        <v>609.40258124350999</v>
      </c>
      <c r="L34" s="237">
        <v>0</v>
      </c>
      <c r="M34" s="185">
        <v>4.1087329760650493E-2</v>
      </c>
      <c r="N34" s="185">
        <v>0.95891267023934956</v>
      </c>
      <c r="O34" s="185" t="e">
        <v>#N/A</v>
      </c>
      <c r="P34" s="185" t="e">
        <v>#N/A</v>
      </c>
      <c r="Q34" s="185" t="e">
        <v>#N/A</v>
      </c>
      <c r="R34" s="185" t="e">
        <v>#N/A</v>
      </c>
      <c r="S34" s="185" t="e">
        <v>#N/A</v>
      </c>
      <c r="T34" s="185" t="e">
        <v>#N/A</v>
      </c>
      <c r="U34" s="185" t="e">
        <v>#N/A</v>
      </c>
      <c r="V34" s="185" t="e">
        <v>#N/A</v>
      </c>
      <c r="W34" s="185" t="e">
        <v>#N/A</v>
      </c>
      <c r="X34" s="185" t="e">
        <v>#N/A</v>
      </c>
      <c r="Y34" s="185" t="e">
        <v>#N/A</v>
      </c>
      <c r="Z34" s="185" t="e">
        <v>#N/A</v>
      </c>
      <c r="AA34" s="185" t="e">
        <v>#N/A</v>
      </c>
      <c r="AB34" s="185" t="e">
        <v>#N/A</v>
      </c>
      <c r="AC34" s="185" t="e">
        <v>#N/A</v>
      </c>
      <c r="AD34" s="185" t="e">
        <v>#N/A</v>
      </c>
      <c r="AE34" s="185" t="e">
        <v>#N/A</v>
      </c>
      <c r="AF34" s="201" t="e">
        <v>#N/A</v>
      </c>
    </row>
    <row r="35" spans="1:32" ht="16.350000000000001" customHeight="1">
      <c r="A35" s="6" t="s">
        <v>79</v>
      </c>
      <c r="G35" s="213">
        <v>29</v>
      </c>
      <c r="H35" s="193">
        <v>337.1605704976264</v>
      </c>
      <c r="I35" s="185">
        <v>1.6295369626435074</v>
      </c>
      <c r="J35" s="309">
        <v>9163.7247964266553</v>
      </c>
      <c r="K35" s="310">
        <v>670.3305285541951</v>
      </c>
      <c r="L35" s="237">
        <v>0</v>
      </c>
      <c r="M35" s="185">
        <v>4.4973010182585614E-2</v>
      </c>
      <c r="N35" s="185">
        <v>0.95502698981741441</v>
      </c>
      <c r="O35" s="185" t="e">
        <v>#N/A</v>
      </c>
      <c r="P35" s="185" t="e">
        <v>#N/A</v>
      </c>
      <c r="Q35" s="185" t="e">
        <v>#N/A</v>
      </c>
      <c r="R35" s="185" t="e">
        <v>#N/A</v>
      </c>
      <c r="S35" s="185" t="e">
        <v>#N/A</v>
      </c>
      <c r="T35" s="185" t="e">
        <v>#N/A</v>
      </c>
      <c r="U35" s="185" t="e">
        <v>#N/A</v>
      </c>
      <c r="V35" s="185" t="e">
        <v>#N/A</v>
      </c>
      <c r="W35" s="185" t="e">
        <v>#N/A</v>
      </c>
      <c r="X35" s="185" t="e">
        <v>#N/A</v>
      </c>
      <c r="Y35" s="185" t="e">
        <v>#N/A</v>
      </c>
      <c r="Z35" s="185" t="e">
        <v>#N/A</v>
      </c>
      <c r="AA35" s="185" t="e">
        <v>#N/A</v>
      </c>
      <c r="AB35" s="185" t="e">
        <v>#N/A</v>
      </c>
      <c r="AC35" s="185" t="e">
        <v>#N/A</v>
      </c>
      <c r="AD35" s="185" t="e">
        <v>#N/A</v>
      </c>
      <c r="AE35" s="185" t="e">
        <v>#N/A</v>
      </c>
      <c r="AF35" s="201" t="e">
        <v>#N/A</v>
      </c>
    </row>
    <row r="36" spans="1:32" ht="16.350000000000001" customHeight="1">
      <c r="A36" s="239">
        <v>0</v>
      </c>
      <c r="B36" s="241" t="s">
        <v>80</v>
      </c>
      <c r="C36" s="86"/>
      <c r="D36" s="87"/>
      <c r="G36" s="213">
        <v>30</v>
      </c>
      <c r="H36" s="193">
        <v>340.66622365304312</v>
      </c>
      <c r="I36" s="185">
        <v>1.7925011674953049</v>
      </c>
      <c r="J36" s="309">
        <v>9087.5604263686091</v>
      </c>
      <c r="K36" s="310">
        <v>737.3497921319464</v>
      </c>
      <c r="L36" s="237">
        <v>0</v>
      </c>
      <c r="M36" s="185">
        <v>4.9257903117430904E-2</v>
      </c>
      <c r="N36" s="185">
        <v>0.95074209688256905</v>
      </c>
      <c r="O36" s="185" t="e">
        <v>#N/A</v>
      </c>
      <c r="P36" s="185" t="e">
        <v>#N/A</v>
      </c>
      <c r="Q36" s="185" t="e">
        <v>#N/A</v>
      </c>
      <c r="R36" s="185" t="e">
        <v>#N/A</v>
      </c>
      <c r="S36" s="185" t="e">
        <v>#N/A</v>
      </c>
      <c r="T36" s="185" t="e">
        <v>#N/A</v>
      </c>
      <c r="U36" s="185" t="e">
        <v>#N/A</v>
      </c>
      <c r="V36" s="185" t="e">
        <v>#N/A</v>
      </c>
      <c r="W36" s="185" t="e">
        <v>#N/A</v>
      </c>
      <c r="X36" s="185" t="e">
        <v>#N/A</v>
      </c>
      <c r="Y36" s="185" t="e">
        <v>#N/A</v>
      </c>
      <c r="Z36" s="185" t="e">
        <v>#N/A</v>
      </c>
      <c r="AA36" s="185" t="e">
        <v>#N/A</v>
      </c>
      <c r="AB36" s="185" t="e">
        <v>#N/A</v>
      </c>
      <c r="AC36" s="185" t="e">
        <v>#N/A</v>
      </c>
      <c r="AD36" s="185" t="e">
        <v>#N/A</v>
      </c>
      <c r="AE36" s="185" t="e">
        <v>#N/A</v>
      </c>
      <c r="AF36" s="201" t="e">
        <v>#N/A</v>
      </c>
    </row>
    <row r="37" spans="1:32" ht="16.350000000000001" customHeight="1">
      <c r="A37" s="88">
        <v>1</v>
      </c>
      <c r="B37" s="29" t="s">
        <v>81</v>
      </c>
      <c r="C37" s="240"/>
      <c r="D37" s="30"/>
      <c r="G37" s="213">
        <v>31</v>
      </c>
      <c r="H37" s="193">
        <v>344.16199011153412</v>
      </c>
      <c r="I37" s="185">
        <v>1.9700984513865496</v>
      </c>
      <c r="J37" s="309">
        <v>9009.7071466035795</v>
      </c>
      <c r="K37" s="310">
        <v>811.06930574489024</v>
      </c>
      <c r="L37" s="237">
        <v>0</v>
      </c>
      <c r="M37" s="185">
        <v>5.398658961884422E-2</v>
      </c>
      <c r="N37" s="185">
        <v>0.94601341038115583</v>
      </c>
      <c r="O37" s="185" t="e">
        <v>#N/A</v>
      </c>
      <c r="P37" s="185" t="e">
        <v>#N/A</v>
      </c>
      <c r="Q37" s="185" t="e">
        <v>#N/A</v>
      </c>
      <c r="R37" s="185" t="e">
        <v>#N/A</v>
      </c>
      <c r="S37" s="185" t="e">
        <v>#N/A</v>
      </c>
      <c r="T37" s="185" t="e">
        <v>#N/A</v>
      </c>
      <c r="U37" s="185" t="e">
        <v>#N/A</v>
      </c>
      <c r="V37" s="185" t="e">
        <v>#N/A</v>
      </c>
      <c r="W37" s="185" t="e">
        <v>#N/A</v>
      </c>
      <c r="X37" s="185" t="e">
        <v>#N/A</v>
      </c>
      <c r="Y37" s="185" t="e">
        <v>#N/A</v>
      </c>
      <c r="Z37" s="185" t="e">
        <v>#N/A</v>
      </c>
      <c r="AA37" s="185" t="e">
        <v>#N/A</v>
      </c>
      <c r="AB37" s="185" t="e">
        <v>#N/A</v>
      </c>
      <c r="AC37" s="185" t="e">
        <v>#N/A</v>
      </c>
      <c r="AD37" s="185" t="e">
        <v>#N/A</v>
      </c>
      <c r="AE37" s="185" t="e">
        <v>#N/A</v>
      </c>
      <c r="AF37" s="201" t="e">
        <v>#N/A</v>
      </c>
    </row>
    <row r="38" spans="1:32" ht="16.350000000000001" customHeight="1">
      <c r="A38" s="88">
        <v>2</v>
      </c>
      <c r="B38" s="29" t="s">
        <v>82</v>
      </c>
      <c r="C38" s="240"/>
      <c r="D38" s="30"/>
      <c r="G38" s="213">
        <v>32</v>
      </c>
      <c r="H38" s="193">
        <v>347.63567838129433</v>
      </c>
      <c r="I38" s="185">
        <v>2.1632929803895493</v>
      </c>
      <c r="J38" s="309">
        <v>8930.1733433949812</v>
      </c>
      <c r="K38" s="310">
        <v>892.15886153474082</v>
      </c>
      <c r="L38" s="237">
        <v>0</v>
      </c>
      <c r="M38" s="185">
        <v>5.9208934131503355E-2</v>
      </c>
      <c r="N38" s="185">
        <v>0.94079106586849659</v>
      </c>
      <c r="O38" s="185" t="e">
        <v>#N/A</v>
      </c>
      <c r="P38" s="185" t="e">
        <v>#N/A</v>
      </c>
      <c r="Q38" s="185" t="e">
        <v>#N/A</v>
      </c>
      <c r="R38" s="185" t="e">
        <v>#N/A</v>
      </c>
      <c r="S38" s="185" t="e">
        <v>#N/A</v>
      </c>
      <c r="T38" s="185" t="e">
        <v>#N/A</v>
      </c>
      <c r="U38" s="185" t="e">
        <v>#N/A</v>
      </c>
      <c r="V38" s="185" t="e">
        <v>#N/A</v>
      </c>
      <c r="W38" s="185" t="e">
        <v>#N/A</v>
      </c>
      <c r="X38" s="185" t="e">
        <v>#N/A</v>
      </c>
      <c r="Y38" s="185" t="e">
        <v>#N/A</v>
      </c>
      <c r="Z38" s="185" t="e">
        <v>#N/A</v>
      </c>
      <c r="AA38" s="185" t="e">
        <v>#N/A</v>
      </c>
      <c r="AB38" s="185" t="e">
        <v>#N/A</v>
      </c>
      <c r="AC38" s="185" t="e">
        <v>#N/A</v>
      </c>
      <c r="AD38" s="185" t="e">
        <v>#N/A</v>
      </c>
      <c r="AE38" s="185" t="e">
        <v>#N/A</v>
      </c>
      <c r="AF38" s="201" t="e">
        <v>#N/A</v>
      </c>
    </row>
    <row r="39" spans="1:32" ht="16.350000000000001" customHeight="1">
      <c r="A39" s="88">
        <v>3</v>
      </c>
      <c r="B39" s="29" t="s">
        <v>83</v>
      </c>
      <c r="C39" s="240"/>
      <c r="D39" s="30"/>
      <c r="G39" s="213">
        <v>33</v>
      </c>
      <c r="H39" s="193">
        <v>351.07333642583529</v>
      </c>
      <c r="I39" s="185">
        <v>2.3730364988512953</v>
      </c>
      <c r="J39" s="309">
        <v>8848.9757037629333</v>
      </c>
      <c r="K39" s="310">
        <v>981.3551869388308</v>
      </c>
      <c r="L39" s="237">
        <v>0</v>
      </c>
      <c r="M39" s="185">
        <v>6.4980701354585765E-2</v>
      </c>
      <c r="N39" s="185">
        <v>0.93501929864541422</v>
      </c>
      <c r="O39" s="185" t="e">
        <v>#N/A</v>
      </c>
      <c r="P39" s="185" t="e">
        <v>#N/A</v>
      </c>
      <c r="Q39" s="185" t="e">
        <v>#N/A</v>
      </c>
      <c r="R39" s="185" t="e">
        <v>#N/A</v>
      </c>
      <c r="S39" s="185" t="e">
        <v>#N/A</v>
      </c>
      <c r="T39" s="185" t="e">
        <v>#N/A</v>
      </c>
      <c r="U39" s="185" t="e">
        <v>#N/A</v>
      </c>
      <c r="V39" s="185" t="e">
        <v>#N/A</v>
      </c>
      <c r="W39" s="185" t="e">
        <v>#N/A</v>
      </c>
      <c r="X39" s="185" t="e">
        <v>#N/A</v>
      </c>
      <c r="Y39" s="185" t="e">
        <v>#N/A</v>
      </c>
      <c r="Z39" s="185" t="e">
        <v>#N/A</v>
      </c>
      <c r="AA39" s="185" t="e">
        <v>#N/A</v>
      </c>
      <c r="AB39" s="185" t="e">
        <v>#N/A</v>
      </c>
      <c r="AC39" s="185" t="e">
        <v>#N/A</v>
      </c>
      <c r="AD39" s="185" t="e">
        <v>#N/A</v>
      </c>
      <c r="AE39" s="185" t="e">
        <v>#N/A</v>
      </c>
      <c r="AF39" s="201" t="e">
        <v>#N/A</v>
      </c>
    </row>
    <row r="40" spans="1:32" ht="16.350000000000001" customHeight="1">
      <c r="A40" s="88">
        <v>4</v>
      </c>
      <c r="B40" s="29" t="s">
        <v>85</v>
      </c>
      <c r="C40" s="240"/>
      <c r="D40" s="30"/>
      <c r="G40" s="213">
        <v>34</v>
      </c>
      <c r="H40" s="193">
        <v>354.45907179675919</v>
      </c>
      <c r="I40" s="185">
        <v>2.600247927360634</v>
      </c>
      <c r="J40" s="309">
        <v>8766.1401065162318</v>
      </c>
      <c r="K40" s="310">
        <v>1079.4686271394053</v>
      </c>
      <c r="L40" s="237">
        <v>0</v>
      </c>
      <c r="M40" s="185">
        <v>7.1364229516192312E-2</v>
      </c>
      <c r="N40" s="185">
        <v>0.92863577048380774</v>
      </c>
      <c r="O40" s="185" t="e">
        <v>#N/A</v>
      </c>
      <c r="P40" s="185" t="e">
        <v>#N/A</v>
      </c>
      <c r="Q40" s="185" t="e">
        <v>#N/A</v>
      </c>
      <c r="R40" s="185" t="e">
        <v>#N/A</v>
      </c>
      <c r="S40" s="185" t="e">
        <v>#N/A</v>
      </c>
      <c r="T40" s="185" t="e">
        <v>#N/A</v>
      </c>
      <c r="U40" s="185" t="e">
        <v>#N/A</v>
      </c>
      <c r="V40" s="185" t="e">
        <v>#N/A</v>
      </c>
      <c r="W40" s="185" t="e">
        <v>#N/A</v>
      </c>
      <c r="X40" s="185" t="e">
        <v>#N/A</v>
      </c>
      <c r="Y40" s="185" t="e">
        <v>#N/A</v>
      </c>
      <c r="Z40" s="185" t="e">
        <v>#N/A</v>
      </c>
      <c r="AA40" s="185" t="e">
        <v>#N/A</v>
      </c>
      <c r="AB40" s="185" t="e">
        <v>#N/A</v>
      </c>
      <c r="AC40" s="185" t="e">
        <v>#N/A</v>
      </c>
      <c r="AD40" s="185" t="e">
        <v>#N/A</v>
      </c>
      <c r="AE40" s="185" t="e">
        <v>#N/A</v>
      </c>
      <c r="AF40" s="201" t="e">
        <v>#N/A</v>
      </c>
    </row>
    <row r="41" spans="1:32">
      <c r="A41" s="110">
        <v>5</v>
      </c>
      <c r="B41" s="242" t="s">
        <v>84</v>
      </c>
      <c r="C41" s="54"/>
      <c r="D41" s="55"/>
      <c r="G41" s="213">
        <v>35</v>
      </c>
      <c r="H41" s="193">
        <v>357.77486893701951</v>
      </c>
      <c r="I41" s="185">
        <v>2.8457887062543832</v>
      </c>
      <c r="J41" s="309">
        <v>8681.7024737843694</v>
      </c>
      <c r="K41" s="310">
        <v>1187.3904939717572</v>
      </c>
      <c r="L41" s="237">
        <v>0</v>
      </c>
      <c r="M41" s="185">
        <v>7.8429160139439499E-2</v>
      </c>
      <c r="N41" s="185">
        <v>0.92157083986056054</v>
      </c>
      <c r="O41" s="185" t="e">
        <v>#N/A</v>
      </c>
      <c r="P41" s="185" t="e">
        <v>#N/A</v>
      </c>
      <c r="Q41" s="185" t="e">
        <v>#N/A</v>
      </c>
      <c r="R41" s="185" t="e">
        <v>#N/A</v>
      </c>
      <c r="S41" s="185" t="e">
        <v>#N/A</v>
      </c>
      <c r="T41" s="185" t="e">
        <v>#N/A</v>
      </c>
      <c r="U41" s="185" t="e">
        <v>#N/A</v>
      </c>
      <c r="V41" s="185" t="e">
        <v>#N/A</v>
      </c>
      <c r="W41" s="185" t="e">
        <v>#N/A</v>
      </c>
      <c r="X41" s="185" t="e">
        <v>#N/A</v>
      </c>
      <c r="Y41" s="185" t="e">
        <v>#N/A</v>
      </c>
      <c r="Z41" s="185" t="e">
        <v>#N/A</v>
      </c>
      <c r="AA41" s="185" t="e">
        <v>#N/A</v>
      </c>
      <c r="AB41" s="185" t="e">
        <v>#N/A</v>
      </c>
      <c r="AC41" s="185" t="e">
        <v>#N/A</v>
      </c>
      <c r="AD41" s="185" t="e">
        <v>#N/A</v>
      </c>
      <c r="AE41" s="185" t="e">
        <v>#N/A</v>
      </c>
      <c r="AF41" s="201" t="e">
        <v>#N/A</v>
      </c>
    </row>
    <row r="42" spans="1:32">
      <c r="G42" s="213">
        <v>36</v>
      </c>
      <c r="H42" s="193">
        <v>361.00040988321302</v>
      </c>
      <c r="I42" s="185">
        <v>3.1104336715957652</v>
      </c>
      <c r="J42" s="309">
        <v>8595.7095022911872</v>
      </c>
      <c r="K42" s="310">
        <v>1306.1011495914172</v>
      </c>
      <c r="L42" s="237">
        <v>0</v>
      </c>
      <c r="M42" s="185">
        <v>8.6253223929268708E-2</v>
      </c>
      <c r="N42" s="185">
        <v>0.91374677607073129</v>
      </c>
      <c r="O42" s="185" t="e">
        <v>#N/A</v>
      </c>
      <c r="P42" s="185" t="e">
        <v>#N/A</v>
      </c>
      <c r="Q42" s="185" t="e">
        <v>#N/A</v>
      </c>
      <c r="R42" s="185" t="e">
        <v>#N/A</v>
      </c>
      <c r="S42" s="185" t="e">
        <v>#N/A</v>
      </c>
      <c r="T42" s="185" t="e">
        <v>#N/A</v>
      </c>
      <c r="U42" s="185" t="e">
        <v>#N/A</v>
      </c>
      <c r="V42" s="185" t="e">
        <v>#N/A</v>
      </c>
      <c r="W42" s="185" t="e">
        <v>#N/A</v>
      </c>
      <c r="X42" s="185" t="e">
        <v>#N/A</v>
      </c>
      <c r="Y42" s="185" t="e">
        <v>#N/A</v>
      </c>
      <c r="Z42" s="185" t="e">
        <v>#N/A</v>
      </c>
      <c r="AA42" s="185" t="e">
        <v>#N/A</v>
      </c>
      <c r="AB42" s="185" t="e">
        <v>#N/A</v>
      </c>
      <c r="AC42" s="185" t="e">
        <v>#N/A</v>
      </c>
      <c r="AD42" s="185" t="e">
        <v>#N/A</v>
      </c>
      <c r="AE42" s="185" t="e">
        <v>#N/A</v>
      </c>
      <c r="AF42" s="201" t="e">
        <v>#N/A</v>
      </c>
    </row>
    <row r="43" spans="1:32">
      <c r="G43" s="213">
        <v>37</v>
      </c>
      <c r="H43" s="193">
        <v>364.1129067873303</v>
      </c>
      <c r="I43" s="185">
        <v>3.3948374870776661</v>
      </c>
      <c r="J43" s="309">
        <v>8508.219134689356</v>
      </c>
      <c r="K43" s="310">
        <v>1436.6789025926548</v>
      </c>
      <c r="L43" s="237">
        <v>0</v>
      </c>
      <c r="M43" s="185">
        <v>9.4923082857939475E-2</v>
      </c>
      <c r="N43" s="185">
        <v>0.90507691714206051</v>
      </c>
      <c r="O43" s="185" t="e">
        <v>#N/A</v>
      </c>
      <c r="P43" s="185" t="e">
        <v>#N/A</v>
      </c>
      <c r="Q43" s="185" t="e">
        <v>#N/A</v>
      </c>
      <c r="R43" s="185" t="e">
        <v>#N/A</v>
      </c>
      <c r="S43" s="185" t="e">
        <v>#N/A</v>
      </c>
      <c r="T43" s="185" t="e">
        <v>#N/A</v>
      </c>
      <c r="U43" s="185" t="e">
        <v>#N/A</v>
      </c>
      <c r="V43" s="185" t="e">
        <v>#N/A</v>
      </c>
      <c r="W43" s="185" t="e">
        <v>#N/A</v>
      </c>
      <c r="X43" s="185" t="e">
        <v>#N/A</v>
      </c>
      <c r="Y43" s="185" t="e">
        <v>#N/A</v>
      </c>
      <c r="Z43" s="185" t="e">
        <v>#N/A</v>
      </c>
      <c r="AA43" s="185" t="e">
        <v>#N/A</v>
      </c>
      <c r="AB43" s="185" t="e">
        <v>#N/A</v>
      </c>
      <c r="AC43" s="185" t="e">
        <v>#N/A</v>
      </c>
      <c r="AD43" s="185" t="e">
        <v>#N/A</v>
      </c>
      <c r="AE43" s="185" t="e">
        <v>#N/A</v>
      </c>
      <c r="AF43" s="201" t="e">
        <v>#N/A</v>
      </c>
    </row>
    <row r="44" spans="1:32">
      <c r="G44" s="213">
        <v>38</v>
      </c>
      <c r="H44" s="193">
        <v>367.08695690637916</v>
      </c>
      <c r="I44" s="185">
        <v>3.6994970062734414</v>
      </c>
      <c r="J44" s="309">
        <v>8419.3005674831056</v>
      </c>
      <c r="K44" s="310">
        <v>1580.3098067717253</v>
      </c>
      <c r="L44" s="237">
        <v>0</v>
      </c>
      <c r="M44" s="185">
        <v>0.10453523033243024</v>
      </c>
      <c r="N44" s="185">
        <v>0.89546476966756972</v>
      </c>
      <c r="O44" s="185" t="e">
        <v>#N/A</v>
      </c>
      <c r="P44" s="185" t="e">
        <v>#N/A</v>
      </c>
      <c r="Q44" s="185" t="e">
        <v>#N/A</v>
      </c>
      <c r="R44" s="185" t="e">
        <v>#N/A</v>
      </c>
      <c r="S44" s="185" t="e">
        <v>#N/A</v>
      </c>
      <c r="T44" s="185" t="e">
        <v>#N/A</v>
      </c>
      <c r="U44" s="185" t="e">
        <v>#N/A</v>
      </c>
      <c r="V44" s="185" t="e">
        <v>#N/A</v>
      </c>
      <c r="W44" s="185" t="e">
        <v>#N/A</v>
      </c>
      <c r="X44" s="185" t="e">
        <v>#N/A</v>
      </c>
      <c r="Y44" s="185" t="e">
        <v>#N/A</v>
      </c>
      <c r="Z44" s="185" t="e">
        <v>#N/A</v>
      </c>
      <c r="AA44" s="185" t="e">
        <v>#N/A</v>
      </c>
      <c r="AB44" s="185" t="e">
        <v>#N/A</v>
      </c>
      <c r="AC44" s="185" t="e">
        <v>#N/A</v>
      </c>
      <c r="AD44" s="185" t="e">
        <v>#N/A</v>
      </c>
      <c r="AE44" s="185" t="e">
        <v>#N/A</v>
      </c>
      <c r="AF44" s="201" t="e">
        <v>#N/A</v>
      </c>
    </row>
    <row r="45" spans="1:32">
      <c r="G45" s="213">
        <v>39</v>
      </c>
      <c r="H45" s="193">
        <v>369.69355987038819</v>
      </c>
      <c r="I45" s="185">
        <v>4</v>
      </c>
      <c r="J45" s="309">
        <v>8335.7406458695659</v>
      </c>
      <c r="K45" s="310">
        <v>1726.1153665336426</v>
      </c>
      <c r="L45" s="237">
        <v>5</v>
      </c>
      <c r="M45" s="185">
        <v>0.11437156172903919</v>
      </c>
      <c r="N45" s="185">
        <v>0.88562843827096083</v>
      </c>
      <c r="O45" s="185" t="e">
        <v>#N/A</v>
      </c>
      <c r="P45" s="185" t="e">
        <v>#N/A</v>
      </c>
      <c r="Q45" s="185" t="e">
        <v>#N/A</v>
      </c>
      <c r="R45" s="185" t="e">
        <v>#N/A</v>
      </c>
      <c r="S45" s="185" t="e">
        <v>#N/A</v>
      </c>
      <c r="T45" s="185" t="e">
        <v>#N/A</v>
      </c>
      <c r="U45" s="185" t="e">
        <v>#N/A</v>
      </c>
      <c r="V45" s="185" t="e">
        <v>#N/A</v>
      </c>
      <c r="W45" s="185" t="e">
        <v>#N/A</v>
      </c>
      <c r="X45" s="185" t="e">
        <v>#N/A</v>
      </c>
      <c r="Y45" s="185" t="e">
        <v>#N/A</v>
      </c>
      <c r="Z45" s="185" t="e">
        <v>#N/A</v>
      </c>
      <c r="AA45" s="185" t="e">
        <v>#N/A</v>
      </c>
      <c r="AB45" s="185" t="e">
        <v>#N/A</v>
      </c>
      <c r="AC45" s="185" t="e">
        <v>#N/A</v>
      </c>
      <c r="AD45" s="185" t="e">
        <v>#N/A</v>
      </c>
      <c r="AE45" s="185" t="e">
        <v>#N/A</v>
      </c>
      <c r="AF45" s="201" t="e">
        <v>#N/A</v>
      </c>
    </row>
    <row r="46" spans="1:32">
      <c r="G46" s="213">
        <v>40</v>
      </c>
      <c r="H46" s="193">
        <v>372.31929504540233</v>
      </c>
      <c r="I46" s="185">
        <v>4.3443143954388281</v>
      </c>
      <c r="J46" s="309">
        <v>8244.3018556725583</v>
      </c>
      <c r="K46" s="310">
        <v>1898.6828750408667</v>
      </c>
      <c r="L46" s="237">
        <v>0</v>
      </c>
      <c r="M46" s="185">
        <v>0.1261116319097047</v>
      </c>
      <c r="N46" s="185">
        <v>0.87388836809029535</v>
      </c>
      <c r="O46" s="185" t="e">
        <v>#N/A</v>
      </c>
      <c r="P46" s="185" t="e">
        <v>#N/A</v>
      </c>
      <c r="Q46" s="185" t="e">
        <v>#N/A</v>
      </c>
      <c r="R46" s="185" t="e">
        <v>#N/A</v>
      </c>
      <c r="S46" s="185" t="e">
        <v>#N/A</v>
      </c>
      <c r="T46" s="185" t="e">
        <v>#N/A</v>
      </c>
      <c r="U46" s="185" t="e">
        <v>#N/A</v>
      </c>
      <c r="V46" s="185" t="e">
        <v>#N/A</v>
      </c>
      <c r="W46" s="185" t="e">
        <v>#N/A</v>
      </c>
      <c r="X46" s="185" t="e">
        <v>#N/A</v>
      </c>
      <c r="Y46" s="185" t="e">
        <v>#N/A</v>
      </c>
      <c r="Z46" s="185" t="e">
        <v>#N/A</v>
      </c>
      <c r="AA46" s="185" t="e">
        <v>#N/A</v>
      </c>
      <c r="AB46" s="185" t="e">
        <v>#N/A</v>
      </c>
      <c r="AC46" s="185" t="e">
        <v>#N/A</v>
      </c>
      <c r="AD46" s="185" t="e">
        <v>#N/A</v>
      </c>
      <c r="AE46" s="185" t="e">
        <v>#N/A</v>
      </c>
      <c r="AF46" s="201" t="e">
        <v>#N/A</v>
      </c>
    </row>
    <row r="47" spans="1:32">
      <c r="G47" s="213">
        <v>41</v>
      </c>
      <c r="H47" s="193">
        <v>374.71638875680054</v>
      </c>
      <c r="I47" s="185">
        <v>4.7090377082388883</v>
      </c>
      <c r="J47" s="309">
        <v>8151.6926460234163</v>
      </c>
      <c r="K47" s="310">
        <v>2088.4992818792175</v>
      </c>
      <c r="L47" s="237">
        <v>0</v>
      </c>
      <c r="M47" s="185">
        <v>0.13914219883652726</v>
      </c>
      <c r="N47" s="185">
        <v>0.86085780116347277</v>
      </c>
      <c r="O47" s="185" t="e">
        <v>#N/A</v>
      </c>
      <c r="P47" s="185" t="e">
        <v>#N/A</v>
      </c>
      <c r="Q47" s="185" t="e">
        <v>#N/A</v>
      </c>
      <c r="R47" s="185" t="e">
        <v>#N/A</v>
      </c>
      <c r="S47" s="185" t="e">
        <v>#N/A</v>
      </c>
      <c r="T47" s="185" t="e">
        <v>#N/A</v>
      </c>
      <c r="U47" s="185" t="e">
        <v>#N/A</v>
      </c>
      <c r="V47" s="185" t="e">
        <v>#N/A</v>
      </c>
      <c r="W47" s="185" t="e">
        <v>#N/A</v>
      </c>
      <c r="X47" s="185" t="e">
        <v>#N/A</v>
      </c>
      <c r="Y47" s="185" t="e">
        <v>#N/A</v>
      </c>
      <c r="Z47" s="185" t="e">
        <v>#N/A</v>
      </c>
      <c r="AA47" s="185" t="e">
        <v>#N/A</v>
      </c>
      <c r="AB47" s="185" t="e">
        <v>#N/A</v>
      </c>
      <c r="AC47" s="185" t="e">
        <v>#N/A</v>
      </c>
      <c r="AD47" s="185" t="e">
        <v>#N/A</v>
      </c>
      <c r="AE47" s="185" t="e">
        <v>#N/A</v>
      </c>
      <c r="AF47" s="201" t="e">
        <v>#N/A</v>
      </c>
    </row>
    <row r="48" spans="1:32">
      <c r="G48" s="213">
        <v>42</v>
      </c>
      <c r="H48" s="193">
        <v>376.84862394510395</v>
      </c>
      <c r="I48" s="185">
        <v>5.0936461962738537</v>
      </c>
      <c r="J48" s="309">
        <v>8058.0127392281202</v>
      </c>
      <c r="K48" s="310">
        <v>2297.2897189791734</v>
      </c>
      <c r="L48" s="237">
        <v>0</v>
      </c>
      <c r="M48" s="185">
        <v>0.15360846352787222</v>
      </c>
      <c r="N48" s="185">
        <v>0.84639153647212773</v>
      </c>
      <c r="O48" s="185" t="e">
        <v>#N/A</v>
      </c>
      <c r="P48" s="185" t="e">
        <v>#N/A</v>
      </c>
      <c r="Q48" s="185" t="e">
        <v>#N/A</v>
      </c>
      <c r="R48" s="185" t="e">
        <v>#N/A</v>
      </c>
      <c r="S48" s="185" t="e">
        <v>#N/A</v>
      </c>
      <c r="T48" s="185" t="e">
        <v>#N/A</v>
      </c>
      <c r="U48" s="185" t="e">
        <v>#N/A</v>
      </c>
      <c r="V48" s="185" t="e">
        <v>#N/A</v>
      </c>
      <c r="W48" s="185" t="e">
        <v>#N/A</v>
      </c>
      <c r="X48" s="185" t="e">
        <v>#N/A</v>
      </c>
      <c r="Y48" s="185" t="e">
        <v>#N/A</v>
      </c>
      <c r="Z48" s="185" t="e">
        <v>#N/A</v>
      </c>
      <c r="AA48" s="185" t="e">
        <v>#N/A</v>
      </c>
      <c r="AB48" s="185" t="e">
        <v>#N/A</v>
      </c>
      <c r="AC48" s="185" t="e">
        <v>#N/A</v>
      </c>
      <c r="AD48" s="185" t="e">
        <v>#N/A</v>
      </c>
      <c r="AE48" s="185" t="e">
        <v>#N/A</v>
      </c>
      <c r="AF48" s="201" t="e">
        <v>#N/A</v>
      </c>
    </row>
    <row r="49" spans="7:32">
      <c r="G49" s="213">
        <v>43</v>
      </c>
      <c r="H49" s="193">
        <v>378.67718931023035</v>
      </c>
      <c r="I49" s="185">
        <v>5.4972634515666963</v>
      </c>
      <c r="J49" s="309">
        <v>7963.3656071288051</v>
      </c>
      <c r="K49" s="310">
        <v>2526.9525747160424</v>
      </c>
      <c r="L49" s="237">
        <v>0</v>
      </c>
      <c r="M49" s="185">
        <v>0.1696710859480606</v>
      </c>
      <c r="N49" s="185">
        <v>0.83032891405193943</v>
      </c>
      <c r="O49" s="185" t="e">
        <v>#N/A</v>
      </c>
      <c r="P49" s="185" t="e">
        <v>#N/A</v>
      </c>
      <c r="Q49" s="185" t="e">
        <v>#N/A</v>
      </c>
      <c r="R49" s="185" t="e">
        <v>#N/A</v>
      </c>
      <c r="S49" s="185" t="e">
        <v>#N/A</v>
      </c>
      <c r="T49" s="185" t="e">
        <v>#N/A</v>
      </c>
      <c r="U49" s="185" t="e">
        <v>#N/A</v>
      </c>
      <c r="V49" s="185" t="e">
        <v>#N/A</v>
      </c>
      <c r="W49" s="185" t="e">
        <v>#N/A</v>
      </c>
      <c r="X49" s="185" t="e">
        <v>#N/A</v>
      </c>
      <c r="Y49" s="185" t="e">
        <v>#N/A</v>
      </c>
      <c r="Z49" s="185" t="e">
        <v>#N/A</v>
      </c>
      <c r="AA49" s="185" t="e">
        <v>#N/A</v>
      </c>
      <c r="AB49" s="185" t="e">
        <v>#N/A</v>
      </c>
      <c r="AC49" s="185" t="e">
        <v>#N/A</v>
      </c>
      <c r="AD49" s="185" t="e">
        <v>#N/A</v>
      </c>
      <c r="AE49" s="185" t="e">
        <v>#N/A</v>
      </c>
      <c r="AF49" s="201" t="e">
        <v>#N/A</v>
      </c>
    </row>
    <row r="50" spans="7:32">
      <c r="G50" s="213">
        <v>44</v>
      </c>
      <c r="H50" s="193">
        <v>380.16090672816347</v>
      </c>
      <c r="I50" s="185">
        <v>5.9186418081265186</v>
      </c>
      <c r="J50" s="309">
        <v>7867.8603946500762</v>
      </c>
      <c r="K50" s="310">
        <v>2779.5785369874352</v>
      </c>
      <c r="L50" s="237">
        <v>0</v>
      </c>
      <c r="M50" s="185">
        <v>0.18750776232402547</v>
      </c>
      <c r="N50" s="185">
        <v>0.81249223767597456</v>
      </c>
      <c r="O50" s="185" t="e">
        <v>#N/A</v>
      </c>
      <c r="P50" s="185" t="e">
        <v>#N/A</v>
      </c>
      <c r="Q50" s="185" t="e">
        <v>#N/A</v>
      </c>
      <c r="R50" s="185" t="e">
        <v>#N/A</v>
      </c>
      <c r="S50" s="185" t="e">
        <v>#N/A</v>
      </c>
      <c r="T50" s="185" t="e">
        <v>#N/A</v>
      </c>
      <c r="U50" s="185" t="e">
        <v>#N/A</v>
      </c>
      <c r="V50" s="185" t="e">
        <v>#N/A</v>
      </c>
      <c r="W50" s="185" t="e">
        <v>#N/A</v>
      </c>
      <c r="X50" s="185" t="e">
        <v>#N/A</v>
      </c>
      <c r="Y50" s="185" t="e">
        <v>#N/A</v>
      </c>
      <c r="Z50" s="185" t="e">
        <v>#N/A</v>
      </c>
      <c r="AA50" s="185" t="e">
        <v>#N/A</v>
      </c>
      <c r="AB50" s="185" t="e">
        <v>#N/A</v>
      </c>
      <c r="AC50" s="185" t="e">
        <v>#N/A</v>
      </c>
      <c r="AD50" s="185" t="e">
        <v>#N/A</v>
      </c>
      <c r="AE50" s="185" t="e">
        <v>#N/A</v>
      </c>
      <c r="AF50" s="201" t="e">
        <v>#N/A</v>
      </c>
    </row>
    <row r="51" spans="7:32">
      <c r="G51" s="213">
        <v>45</v>
      </c>
      <c r="H51" s="193">
        <v>381.25653713325943</v>
      </c>
      <c r="I51" s="185">
        <v>6.3561570134160243</v>
      </c>
      <c r="J51" s="309">
        <v>7771.6212849412977</v>
      </c>
      <c r="K51" s="310">
        <v>3057.4673502534401</v>
      </c>
      <c r="L51" s="237">
        <v>0</v>
      </c>
      <c r="M51" s="185">
        <v>0.20731463754244983</v>
      </c>
      <c r="N51" s="185">
        <v>0.79268536245755017</v>
      </c>
      <c r="O51" s="185" t="e">
        <v>#N/A</v>
      </c>
      <c r="P51" s="185" t="e">
        <v>#N/A</v>
      </c>
      <c r="Q51" s="185" t="e">
        <v>#N/A</v>
      </c>
      <c r="R51" s="185" t="e">
        <v>#N/A</v>
      </c>
      <c r="S51" s="185" t="e">
        <v>#N/A</v>
      </c>
      <c r="T51" s="185" t="e">
        <v>#N/A</v>
      </c>
      <c r="U51" s="185" t="e">
        <v>#N/A</v>
      </c>
      <c r="V51" s="185" t="e">
        <v>#N/A</v>
      </c>
      <c r="W51" s="185" t="e">
        <v>#N/A</v>
      </c>
      <c r="X51" s="185" t="e">
        <v>#N/A</v>
      </c>
      <c r="Y51" s="185" t="e">
        <v>#N/A</v>
      </c>
      <c r="Z51" s="185" t="e">
        <v>#N/A</v>
      </c>
      <c r="AA51" s="185" t="e">
        <v>#N/A</v>
      </c>
      <c r="AB51" s="185" t="e">
        <v>#N/A</v>
      </c>
      <c r="AC51" s="185" t="e">
        <v>#N/A</v>
      </c>
      <c r="AD51" s="185" t="e">
        <v>#N/A</v>
      </c>
      <c r="AE51" s="185" t="e">
        <v>#N/A</v>
      </c>
      <c r="AF51" s="201" t="e">
        <v>#N/A</v>
      </c>
    </row>
    <row r="52" spans="7:32">
      <c r="G52" s="213">
        <v>46</v>
      </c>
      <c r="H52" s="193">
        <v>381.91928812050372</v>
      </c>
      <c r="I52" s="185">
        <v>6.8078421291563798</v>
      </c>
      <c r="J52" s="309">
        <v>7674.8019263201413</v>
      </c>
      <c r="K52" s="310">
        <v>3363.1484090032986</v>
      </c>
      <c r="L52" s="237">
        <v>0</v>
      </c>
      <c r="M52" s="185">
        <v>0.22930804095914889</v>
      </c>
      <c r="N52" s="185">
        <v>0.77069195904085108</v>
      </c>
      <c r="O52" s="185" t="e">
        <v>#N/A</v>
      </c>
      <c r="P52" s="185" t="e">
        <v>#N/A</v>
      </c>
      <c r="Q52" s="185" t="e">
        <v>#N/A</v>
      </c>
      <c r="R52" s="185" t="e">
        <v>#N/A</v>
      </c>
      <c r="S52" s="185" t="e">
        <v>#N/A</v>
      </c>
      <c r="T52" s="185" t="e">
        <v>#N/A</v>
      </c>
      <c r="U52" s="185" t="e">
        <v>#N/A</v>
      </c>
      <c r="V52" s="185" t="e">
        <v>#N/A</v>
      </c>
      <c r="W52" s="185" t="e">
        <v>#N/A</v>
      </c>
      <c r="X52" s="185" t="e">
        <v>#N/A</v>
      </c>
      <c r="Y52" s="185" t="e">
        <v>#N/A</v>
      </c>
      <c r="Z52" s="185" t="e">
        <v>#N/A</v>
      </c>
      <c r="AA52" s="185" t="e">
        <v>#N/A</v>
      </c>
      <c r="AB52" s="185" t="e">
        <v>#N/A</v>
      </c>
      <c r="AC52" s="185" t="e">
        <v>#N/A</v>
      </c>
      <c r="AD52" s="185" t="e">
        <v>#N/A</v>
      </c>
      <c r="AE52" s="185" t="e">
        <v>#N/A</v>
      </c>
      <c r="AF52" s="201" t="e">
        <v>#N/A</v>
      </c>
    </row>
    <row r="53" spans="7:32">
      <c r="G53" s="213">
        <v>47</v>
      </c>
      <c r="H53" s="193">
        <v>382.10831592482896</v>
      </c>
      <c r="I53" s="185">
        <v>7.2070305346306069</v>
      </c>
      <c r="J53" s="309">
        <v>7590.9939161000439</v>
      </c>
      <c r="K53" s="310">
        <v>3651.1881407468131</v>
      </c>
      <c r="L53" s="237">
        <v>2</v>
      </c>
      <c r="M53" s="185">
        <v>0.250211840102322</v>
      </c>
      <c r="N53" s="185">
        <v>0.749788159897678</v>
      </c>
      <c r="O53" s="185" t="e">
        <v>#N/A</v>
      </c>
      <c r="P53" s="185" t="e">
        <v>#N/A</v>
      </c>
      <c r="Q53" s="185" t="e">
        <v>#N/A</v>
      </c>
      <c r="R53" s="185" t="e">
        <v>#N/A</v>
      </c>
      <c r="S53" s="185" t="e">
        <v>#N/A</v>
      </c>
      <c r="T53" s="185" t="e">
        <v>#N/A</v>
      </c>
      <c r="U53" s="185" t="e">
        <v>#N/A</v>
      </c>
      <c r="V53" s="185" t="e">
        <v>#N/A</v>
      </c>
      <c r="W53" s="185" t="e">
        <v>#N/A</v>
      </c>
      <c r="X53" s="185" t="e">
        <v>#N/A</v>
      </c>
      <c r="Y53" s="185" t="e">
        <v>#N/A</v>
      </c>
      <c r="Z53" s="185" t="e">
        <v>#N/A</v>
      </c>
      <c r="AA53" s="185" t="e">
        <v>#N/A</v>
      </c>
      <c r="AB53" s="185" t="e">
        <v>#N/A</v>
      </c>
      <c r="AC53" s="185" t="e">
        <v>#N/A</v>
      </c>
      <c r="AD53" s="185" t="e">
        <v>#N/A</v>
      </c>
      <c r="AE53" s="185" t="e">
        <v>#N/A</v>
      </c>
      <c r="AF53" s="201" t="e">
        <v>#N/A</v>
      </c>
    </row>
    <row r="54" spans="7:32">
      <c r="G54" s="213">
        <v>48</v>
      </c>
      <c r="H54" s="193">
        <v>381.76453902793179</v>
      </c>
      <c r="I54" s="185">
        <v>7.7447937252323698</v>
      </c>
      <c r="J54" s="309">
        <v>7480.2255457483734</v>
      </c>
      <c r="K54" s="310">
        <v>4069.271988406967</v>
      </c>
      <c r="L54" s="237">
        <v>0</v>
      </c>
      <c r="M54" s="185">
        <v>0.2808368849571572</v>
      </c>
      <c r="N54" s="185">
        <v>0.7191631150428428</v>
      </c>
      <c r="O54" s="185" t="e">
        <v>#N/A</v>
      </c>
      <c r="P54" s="185" t="e">
        <v>#N/A</v>
      </c>
      <c r="Q54" s="185" t="e">
        <v>#N/A</v>
      </c>
      <c r="R54" s="185" t="e">
        <v>#N/A</v>
      </c>
      <c r="S54" s="185" t="e">
        <v>#N/A</v>
      </c>
      <c r="T54" s="185" t="e">
        <v>#N/A</v>
      </c>
      <c r="U54" s="185" t="e">
        <v>#N/A</v>
      </c>
      <c r="V54" s="185" t="e">
        <v>#N/A</v>
      </c>
      <c r="W54" s="185" t="e">
        <v>#N/A</v>
      </c>
      <c r="X54" s="185" t="e">
        <v>#N/A</v>
      </c>
      <c r="Y54" s="185" t="e">
        <v>#N/A</v>
      </c>
      <c r="Z54" s="185" t="e">
        <v>#N/A</v>
      </c>
      <c r="AA54" s="185" t="e">
        <v>#N/A</v>
      </c>
      <c r="AB54" s="185" t="e">
        <v>#N/A</v>
      </c>
      <c r="AC54" s="185" t="e">
        <v>#N/A</v>
      </c>
      <c r="AD54" s="185" t="e">
        <v>#N/A</v>
      </c>
      <c r="AE54" s="185" t="e">
        <v>#N/A</v>
      </c>
      <c r="AF54" s="201" t="e">
        <v>#N/A</v>
      </c>
    </row>
    <row r="55" spans="7:32">
      <c r="G55" s="213">
        <v>49</v>
      </c>
      <c r="H55" s="193">
        <v>380.8592171694587</v>
      </c>
      <c r="I55" s="185">
        <v>8.2258190375977609</v>
      </c>
      <c r="J55" s="309">
        <v>7382.7639424568542</v>
      </c>
      <c r="K55" s="310">
        <v>4476.1255464317064</v>
      </c>
      <c r="L55" s="237">
        <v>0</v>
      </c>
      <c r="M55" s="185">
        <v>0.31094791410950284</v>
      </c>
      <c r="N55" s="185">
        <v>0.68905208589049716</v>
      </c>
      <c r="O55" s="185" t="e">
        <v>#N/A</v>
      </c>
      <c r="P55" s="185" t="e">
        <v>#N/A</v>
      </c>
      <c r="Q55" s="185" t="e">
        <v>#N/A</v>
      </c>
      <c r="R55" s="185" t="e">
        <v>#N/A</v>
      </c>
      <c r="S55" s="185" t="e">
        <v>#N/A</v>
      </c>
      <c r="T55" s="185" t="e">
        <v>#N/A</v>
      </c>
      <c r="U55" s="185" t="e">
        <v>#N/A</v>
      </c>
      <c r="V55" s="185" t="e">
        <v>#N/A</v>
      </c>
      <c r="W55" s="185" t="e">
        <v>#N/A</v>
      </c>
      <c r="X55" s="185" t="e">
        <v>#N/A</v>
      </c>
      <c r="Y55" s="185" t="e">
        <v>#N/A</v>
      </c>
      <c r="Z55" s="185" t="e">
        <v>#N/A</v>
      </c>
      <c r="AA55" s="185" t="e">
        <v>#N/A</v>
      </c>
      <c r="AB55" s="185" t="e">
        <v>#N/A</v>
      </c>
      <c r="AC55" s="185" t="e">
        <v>#N/A</v>
      </c>
      <c r="AD55" s="185" t="e">
        <v>#N/A</v>
      </c>
      <c r="AE55" s="185" t="e">
        <v>#N/A</v>
      </c>
      <c r="AF55" s="201" t="e">
        <v>#N/A</v>
      </c>
    </row>
    <row r="56" spans="7:32">
      <c r="G56" s="213">
        <v>50</v>
      </c>
      <c r="H56" s="193">
        <v>379.34763771063075</v>
      </c>
      <c r="I56" s="185">
        <v>8.7134303121625454</v>
      </c>
      <c r="J56" s="309">
        <v>7284.6665716221632</v>
      </c>
      <c r="K56" s="310">
        <v>4923.7419348611056</v>
      </c>
      <c r="L56" s="237">
        <v>0</v>
      </c>
      <c r="M56" s="185">
        <v>0.34445809934231059</v>
      </c>
      <c r="N56" s="185">
        <v>0.65554190065768947</v>
      </c>
      <c r="O56" s="185" t="e">
        <v>#N/A</v>
      </c>
      <c r="P56" s="185" t="e">
        <v>#N/A</v>
      </c>
      <c r="Q56" s="185" t="e">
        <v>#N/A</v>
      </c>
      <c r="R56" s="185" t="e">
        <v>#N/A</v>
      </c>
      <c r="S56" s="185" t="e">
        <v>#N/A</v>
      </c>
      <c r="T56" s="185" t="e">
        <v>#N/A</v>
      </c>
      <c r="U56" s="185" t="e">
        <v>#N/A</v>
      </c>
      <c r="V56" s="185" t="e">
        <v>#N/A</v>
      </c>
      <c r="W56" s="185" t="e">
        <v>#N/A</v>
      </c>
      <c r="X56" s="185" t="e">
        <v>#N/A</v>
      </c>
      <c r="Y56" s="185" t="e">
        <v>#N/A</v>
      </c>
      <c r="Z56" s="185" t="e">
        <v>#N/A</v>
      </c>
      <c r="AA56" s="185" t="e">
        <v>#N/A</v>
      </c>
      <c r="AB56" s="185" t="e">
        <v>#N/A</v>
      </c>
      <c r="AC56" s="185" t="e">
        <v>#N/A</v>
      </c>
      <c r="AD56" s="185" t="e">
        <v>#N/A</v>
      </c>
      <c r="AE56" s="185" t="e">
        <v>#N/A</v>
      </c>
      <c r="AF56" s="201" t="e">
        <v>#N/A</v>
      </c>
    </row>
    <row r="57" spans="7:32">
      <c r="G57" s="213">
        <v>51</v>
      </c>
      <c r="H57" s="193">
        <v>378.10897854535341</v>
      </c>
      <c r="I57" s="185">
        <v>9.0144801166175927</v>
      </c>
      <c r="J57" s="309">
        <v>7223.5671080766851</v>
      </c>
      <c r="K57" s="310">
        <v>5219.0075959645728</v>
      </c>
      <c r="L57" s="237">
        <v>0</v>
      </c>
      <c r="M57" s="185">
        <v>0.36683731843977579</v>
      </c>
      <c r="N57" s="185">
        <v>0.63316268156022426</v>
      </c>
      <c r="O57" s="185" t="e">
        <v>#N/A</v>
      </c>
      <c r="P57" s="185" t="e">
        <v>#N/A</v>
      </c>
      <c r="Q57" s="185" t="e">
        <v>#N/A</v>
      </c>
      <c r="R57" s="185" t="e">
        <v>#N/A</v>
      </c>
      <c r="S57" s="185" t="e">
        <v>#N/A</v>
      </c>
      <c r="T57" s="185" t="e">
        <v>#N/A</v>
      </c>
      <c r="U57" s="185" t="e">
        <v>#N/A</v>
      </c>
      <c r="V57" s="185" t="e">
        <v>#N/A</v>
      </c>
      <c r="W57" s="185" t="e">
        <v>#N/A</v>
      </c>
      <c r="X57" s="185" t="e">
        <v>#N/A</v>
      </c>
      <c r="Y57" s="185" t="e">
        <v>#N/A</v>
      </c>
      <c r="Z57" s="185" t="e">
        <v>#N/A</v>
      </c>
      <c r="AA57" s="185" t="e">
        <v>#N/A</v>
      </c>
      <c r="AB57" s="185" t="e">
        <v>#N/A</v>
      </c>
      <c r="AC57" s="185" t="e">
        <v>#N/A</v>
      </c>
      <c r="AD57" s="185" t="e">
        <v>#N/A</v>
      </c>
      <c r="AE57" s="185" t="e">
        <v>#N/A</v>
      </c>
      <c r="AF57" s="201" t="e">
        <v>#N/A</v>
      </c>
    </row>
    <row r="58" spans="7:32">
      <c r="G58" s="213">
        <v>52</v>
      </c>
      <c r="H58" s="193">
        <v>376.92841546075277</v>
      </c>
      <c r="I58" s="185">
        <v>9.2588736528792541</v>
      </c>
      <c r="J58" s="309">
        <v>7172.8279147910025</v>
      </c>
      <c r="K58" s="310">
        <v>5469.7696133703557</v>
      </c>
      <c r="L58" s="237">
        <v>0</v>
      </c>
      <c r="M58" s="185">
        <v>0.38607072537877934</v>
      </c>
      <c r="N58" s="185">
        <v>0.6139292746212206</v>
      </c>
      <c r="O58" s="185" t="e">
        <v>#N/A</v>
      </c>
      <c r="P58" s="185" t="e">
        <v>#N/A</v>
      </c>
      <c r="Q58" s="185" t="e">
        <v>#N/A</v>
      </c>
      <c r="R58" s="185" t="e">
        <v>#N/A</v>
      </c>
      <c r="S58" s="185" t="e">
        <v>#N/A</v>
      </c>
      <c r="T58" s="185" t="e">
        <v>#N/A</v>
      </c>
      <c r="U58" s="185" t="e">
        <v>#N/A</v>
      </c>
      <c r="V58" s="185" t="e">
        <v>#N/A</v>
      </c>
      <c r="W58" s="185" t="e">
        <v>#N/A</v>
      </c>
      <c r="X58" s="185" t="e">
        <v>#N/A</v>
      </c>
      <c r="Y58" s="185" t="e">
        <v>#N/A</v>
      </c>
      <c r="Z58" s="185" t="e">
        <v>#N/A</v>
      </c>
      <c r="AA58" s="185" t="e">
        <v>#N/A</v>
      </c>
      <c r="AB58" s="185" t="e">
        <v>#N/A</v>
      </c>
      <c r="AC58" s="185" t="e">
        <v>#N/A</v>
      </c>
      <c r="AD58" s="185" t="e">
        <v>#N/A</v>
      </c>
      <c r="AE58" s="185" t="e">
        <v>#N/A</v>
      </c>
      <c r="AF58" s="201" t="e">
        <v>#N/A</v>
      </c>
    </row>
    <row r="59" spans="7:32">
      <c r="G59" s="213">
        <v>53</v>
      </c>
      <c r="H59" s="193">
        <v>374.68014302888344</v>
      </c>
      <c r="I59" s="185">
        <v>9.6533388901262907</v>
      </c>
      <c r="J59" s="309">
        <v>7085.9998221005799</v>
      </c>
      <c r="K59" s="310">
        <v>5896.3011375146234</v>
      </c>
      <c r="L59" s="237">
        <v>0</v>
      </c>
      <c r="M59" s="185">
        <v>0.41945139166729251</v>
      </c>
      <c r="N59" s="185">
        <v>0.58054860833270749</v>
      </c>
      <c r="O59" s="185" t="e">
        <v>#N/A</v>
      </c>
      <c r="P59" s="185" t="e">
        <v>#N/A</v>
      </c>
      <c r="Q59" s="185" t="e">
        <v>#N/A</v>
      </c>
      <c r="R59" s="185" t="e">
        <v>#N/A</v>
      </c>
      <c r="S59" s="185" t="e">
        <v>#N/A</v>
      </c>
      <c r="T59" s="185" t="e">
        <v>#N/A</v>
      </c>
      <c r="U59" s="185" t="e">
        <v>#N/A</v>
      </c>
      <c r="V59" s="185" t="e">
        <v>#N/A</v>
      </c>
      <c r="W59" s="185" t="e">
        <v>#N/A</v>
      </c>
      <c r="X59" s="185" t="e">
        <v>#N/A</v>
      </c>
      <c r="Y59" s="185" t="e">
        <v>#N/A</v>
      </c>
      <c r="Z59" s="185" t="e">
        <v>#N/A</v>
      </c>
      <c r="AA59" s="185" t="e">
        <v>#N/A</v>
      </c>
      <c r="AB59" s="185" t="e">
        <v>#N/A</v>
      </c>
      <c r="AC59" s="185" t="e">
        <v>#N/A</v>
      </c>
      <c r="AD59" s="185" t="e">
        <v>#N/A</v>
      </c>
      <c r="AE59" s="185" t="e">
        <v>#N/A</v>
      </c>
      <c r="AF59" s="201" t="e">
        <v>#N/A</v>
      </c>
    </row>
    <row r="60" spans="7:32">
      <c r="G60" s="213">
        <v>54</v>
      </c>
      <c r="H60" s="193">
        <v>373.82873422193092</v>
      </c>
      <c r="I60" s="185">
        <v>9.7852289250172095</v>
      </c>
      <c r="J60" s="309">
        <v>7054.5579746802787</v>
      </c>
      <c r="K60" s="310">
        <v>6045.2300950267345</v>
      </c>
      <c r="L60" s="237">
        <v>0</v>
      </c>
      <c r="M60" s="185">
        <v>0.43137169768128952</v>
      </c>
      <c r="N60" s="185">
        <v>0.56862830231871042</v>
      </c>
      <c r="O60" s="185" t="e">
        <v>#N/A</v>
      </c>
      <c r="P60" s="185" t="e">
        <v>#N/A</v>
      </c>
      <c r="Q60" s="185" t="e">
        <v>#N/A</v>
      </c>
      <c r="R60" s="185" t="e">
        <v>#N/A</v>
      </c>
      <c r="S60" s="185" t="e">
        <v>#N/A</v>
      </c>
      <c r="T60" s="185" t="e">
        <v>#N/A</v>
      </c>
      <c r="U60" s="185" t="e">
        <v>#N/A</v>
      </c>
      <c r="V60" s="185" t="e">
        <v>#N/A</v>
      </c>
      <c r="W60" s="185" t="e">
        <v>#N/A</v>
      </c>
      <c r="X60" s="185" t="e">
        <v>#N/A</v>
      </c>
      <c r="Y60" s="185" t="e">
        <v>#N/A</v>
      </c>
      <c r="Z60" s="185" t="e">
        <v>#N/A</v>
      </c>
      <c r="AA60" s="185" t="e">
        <v>#N/A</v>
      </c>
      <c r="AB60" s="185" t="e">
        <v>#N/A</v>
      </c>
      <c r="AC60" s="185" t="e">
        <v>#N/A</v>
      </c>
      <c r="AD60" s="185" t="e">
        <v>#N/A</v>
      </c>
      <c r="AE60" s="185" t="e">
        <v>#N/A</v>
      </c>
      <c r="AF60" s="201" t="e">
        <v>#N/A</v>
      </c>
    </row>
    <row r="61" spans="7:32">
      <c r="G61" s="213">
        <v>55</v>
      </c>
      <c r="H61" s="193">
        <v>372.30828779571362</v>
      </c>
      <c r="I61" s="185">
        <v>10.002329812246966</v>
      </c>
      <c r="J61" s="309">
        <v>6997.8575632000538</v>
      </c>
      <c r="K61" s="310">
        <v>6297.8638488196275</v>
      </c>
      <c r="L61" s="237">
        <v>0</v>
      </c>
      <c r="M61" s="185">
        <v>0.45205249509335105</v>
      </c>
      <c r="N61" s="185">
        <v>0.5479475049066489</v>
      </c>
      <c r="O61" s="185" t="e">
        <v>#N/A</v>
      </c>
      <c r="P61" s="185" t="e">
        <v>#N/A</v>
      </c>
      <c r="Q61" s="185" t="e">
        <v>#N/A</v>
      </c>
      <c r="R61" s="185" t="e">
        <v>#N/A</v>
      </c>
      <c r="S61" s="185" t="e">
        <v>#N/A</v>
      </c>
      <c r="T61" s="185" t="e">
        <v>#N/A</v>
      </c>
      <c r="U61" s="185" t="e">
        <v>#N/A</v>
      </c>
      <c r="V61" s="185" t="e">
        <v>#N/A</v>
      </c>
      <c r="W61" s="185" t="e">
        <v>#N/A</v>
      </c>
      <c r="X61" s="185" t="e">
        <v>#N/A</v>
      </c>
      <c r="Y61" s="185" t="e">
        <v>#N/A</v>
      </c>
      <c r="Z61" s="185" t="e">
        <v>#N/A</v>
      </c>
      <c r="AA61" s="185" t="e">
        <v>#N/A</v>
      </c>
      <c r="AB61" s="185" t="e">
        <v>#N/A</v>
      </c>
      <c r="AC61" s="185" t="e">
        <v>#N/A</v>
      </c>
      <c r="AD61" s="185" t="e">
        <v>#N/A</v>
      </c>
      <c r="AE61" s="185" t="e">
        <v>#N/A</v>
      </c>
      <c r="AF61" s="201" t="e">
        <v>#N/A</v>
      </c>
    </row>
    <row r="62" spans="7:32">
      <c r="G62" s="213">
        <v>56</v>
      </c>
      <c r="H62" s="193">
        <v>371.75907286401383</v>
      </c>
      <c r="I62" s="185">
        <v>10.075627243123716</v>
      </c>
      <c r="J62" s="309">
        <v>6976.2789762739703</v>
      </c>
      <c r="K62" s="310">
        <v>6385.4047281687162</v>
      </c>
      <c r="L62" s="237">
        <v>0</v>
      </c>
      <c r="M62" s="185">
        <v>0.45942033260245491</v>
      </c>
      <c r="N62" s="185">
        <v>0.54057966739754515</v>
      </c>
      <c r="O62" s="185" t="e">
        <v>#N/A</v>
      </c>
      <c r="P62" s="185" t="e">
        <v>#N/A</v>
      </c>
      <c r="Q62" s="185" t="e">
        <v>#N/A</v>
      </c>
      <c r="R62" s="185" t="e">
        <v>#N/A</v>
      </c>
      <c r="S62" s="185" t="e">
        <v>#N/A</v>
      </c>
      <c r="T62" s="185" t="e">
        <v>#N/A</v>
      </c>
      <c r="U62" s="185" t="e">
        <v>#N/A</v>
      </c>
      <c r="V62" s="185" t="e">
        <v>#N/A</v>
      </c>
      <c r="W62" s="185" t="e">
        <v>#N/A</v>
      </c>
      <c r="X62" s="185" t="e">
        <v>#N/A</v>
      </c>
      <c r="Y62" s="185" t="e">
        <v>#N/A</v>
      </c>
      <c r="Z62" s="185" t="e">
        <v>#N/A</v>
      </c>
      <c r="AA62" s="185" t="e">
        <v>#N/A</v>
      </c>
      <c r="AB62" s="185" t="e">
        <v>#N/A</v>
      </c>
      <c r="AC62" s="185" t="e">
        <v>#N/A</v>
      </c>
      <c r="AD62" s="185" t="e">
        <v>#N/A</v>
      </c>
      <c r="AE62" s="185" t="e">
        <v>#N/A</v>
      </c>
      <c r="AF62" s="201" t="e">
        <v>#N/A</v>
      </c>
    </row>
    <row r="63" spans="7:32">
      <c r="G63" s="213">
        <v>57</v>
      </c>
      <c r="H63" s="193">
        <v>370.82177758927588</v>
      </c>
      <c r="I63" s="185">
        <v>10.195118790121873</v>
      </c>
      <c r="J63" s="309">
        <v>6934.1542482546138</v>
      </c>
      <c r="K63" s="310">
        <v>6530.7278017675117</v>
      </c>
      <c r="L63" s="237">
        <v>0</v>
      </c>
      <c r="M63" s="185">
        <v>0.47216594975036086</v>
      </c>
      <c r="N63" s="185">
        <v>0.52783405024963914</v>
      </c>
      <c r="O63" s="185" t="e">
        <v>#N/A</v>
      </c>
      <c r="P63" s="185" t="e">
        <v>#N/A</v>
      </c>
      <c r="Q63" s="185" t="e">
        <v>#N/A</v>
      </c>
      <c r="R63" s="185" t="e">
        <v>#N/A</v>
      </c>
      <c r="S63" s="185" t="e">
        <v>#N/A</v>
      </c>
      <c r="T63" s="185" t="e">
        <v>#N/A</v>
      </c>
      <c r="U63" s="185" t="e">
        <v>#N/A</v>
      </c>
      <c r="V63" s="185" t="e">
        <v>#N/A</v>
      </c>
      <c r="W63" s="185" t="e">
        <v>#N/A</v>
      </c>
      <c r="X63" s="185" t="e">
        <v>#N/A</v>
      </c>
      <c r="Y63" s="185" t="e">
        <v>#N/A</v>
      </c>
      <c r="Z63" s="185" t="e">
        <v>#N/A</v>
      </c>
      <c r="AA63" s="185" t="e">
        <v>#N/A</v>
      </c>
      <c r="AB63" s="185" t="e">
        <v>#N/A</v>
      </c>
      <c r="AC63" s="185" t="e">
        <v>#N/A</v>
      </c>
      <c r="AD63" s="185" t="e">
        <v>#N/A</v>
      </c>
      <c r="AE63" s="185" t="e">
        <v>#N/A</v>
      </c>
      <c r="AF63" s="201" t="e">
        <v>#N/A</v>
      </c>
    </row>
    <row r="64" spans="7:32">
      <c r="G64" s="213">
        <v>58</v>
      </c>
      <c r="H64" s="193">
        <v>370.50146471230244</v>
      </c>
      <c r="I64" s="185">
        <v>10.234453227484758</v>
      </c>
      <c r="J64" s="309">
        <v>6915.1550249100728</v>
      </c>
      <c r="K64" s="310">
        <v>6579.2937538837778</v>
      </c>
      <c r="L64" s="237">
        <v>0</v>
      </c>
      <c r="M64" s="185">
        <v>0.4767874626395846</v>
      </c>
      <c r="N64" s="185">
        <v>0.5232125373604154</v>
      </c>
      <c r="O64" s="185" t="e">
        <v>#N/A</v>
      </c>
      <c r="P64" s="185" t="e">
        <v>#N/A</v>
      </c>
      <c r="Q64" s="185" t="e">
        <v>#N/A</v>
      </c>
      <c r="R64" s="185" t="e">
        <v>#N/A</v>
      </c>
      <c r="S64" s="185" t="e">
        <v>#N/A</v>
      </c>
      <c r="T64" s="185" t="e">
        <v>#N/A</v>
      </c>
      <c r="U64" s="185" t="e">
        <v>#N/A</v>
      </c>
      <c r="V64" s="185" t="e">
        <v>#N/A</v>
      </c>
      <c r="W64" s="185" t="e">
        <v>#N/A</v>
      </c>
      <c r="X64" s="185" t="e">
        <v>#N/A</v>
      </c>
      <c r="Y64" s="185" t="e">
        <v>#N/A</v>
      </c>
      <c r="Z64" s="185" t="e">
        <v>#N/A</v>
      </c>
      <c r="AA64" s="185" t="e">
        <v>#N/A</v>
      </c>
      <c r="AB64" s="185" t="e">
        <v>#N/A</v>
      </c>
      <c r="AC64" s="185" t="e">
        <v>#N/A</v>
      </c>
      <c r="AD64" s="185" t="e">
        <v>#N/A</v>
      </c>
      <c r="AE64" s="185" t="e">
        <v>#N/A</v>
      </c>
      <c r="AF64" s="201" t="e">
        <v>#N/A</v>
      </c>
    </row>
    <row r="65" spans="7:32">
      <c r="G65" s="213">
        <v>59</v>
      </c>
      <c r="H65" s="193">
        <v>367.18154567320261</v>
      </c>
      <c r="I65" s="185">
        <v>10.593134466921029</v>
      </c>
      <c r="J65" s="309">
        <v>6783.4210450389992</v>
      </c>
      <c r="K65" s="310">
        <v>7047.7845261154343</v>
      </c>
      <c r="L65" s="237">
        <v>0</v>
      </c>
      <c r="M65" s="185">
        <v>0.51853227782811129</v>
      </c>
      <c r="N65" s="185">
        <v>0.48146772217188871</v>
      </c>
      <c r="O65" s="185" t="e">
        <v>#N/A</v>
      </c>
      <c r="P65" s="185" t="e">
        <v>#N/A</v>
      </c>
      <c r="Q65" s="185" t="e">
        <v>#N/A</v>
      </c>
      <c r="R65" s="185" t="e">
        <v>#N/A</v>
      </c>
      <c r="S65" s="185" t="e">
        <v>#N/A</v>
      </c>
      <c r="T65" s="185" t="e">
        <v>#N/A</v>
      </c>
      <c r="U65" s="185" t="e">
        <v>#N/A</v>
      </c>
      <c r="V65" s="185" t="e">
        <v>#N/A</v>
      </c>
      <c r="W65" s="185" t="e">
        <v>#N/A</v>
      </c>
      <c r="X65" s="185" t="e">
        <v>#N/A</v>
      </c>
      <c r="Y65" s="185" t="e">
        <v>#N/A</v>
      </c>
      <c r="Z65" s="185" t="e">
        <v>#N/A</v>
      </c>
      <c r="AA65" s="185" t="e">
        <v>#N/A</v>
      </c>
      <c r="AB65" s="185" t="e">
        <v>#N/A</v>
      </c>
      <c r="AC65" s="185" t="e">
        <v>#N/A</v>
      </c>
      <c r="AD65" s="185" t="e">
        <v>#N/A</v>
      </c>
      <c r="AE65" s="185" t="e">
        <v>#N/A</v>
      </c>
      <c r="AF65" s="201" t="e">
        <v>#N/A</v>
      </c>
    </row>
    <row r="66" spans="7:32">
      <c r="G66" s="213">
        <v>60</v>
      </c>
      <c r="H66" s="193">
        <v>366.47197717321478</v>
      </c>
      <c r="I66" s="185">
        <v>10.662058300348775</v>
      </c>
      <c r="J66" s="309">
        <v>6778.6397872533889</v>
      </c>
      <c r="K66" s="310">
        <v>7142.1630079713104</v>
      </c>
      <c r="L66" s="237">
        <v>0</v>
      </c>
      <c r="M66" s="185">
        <v>0.52553445422888401</v>
      </c>
      <c r="N66" s="185">
        <v>0.47446554577111599</v>
      </c>
      <c r="O66" s="185" t="e">
        <v>#N/A</v>
      </c>
      <c r="P66" s="185" t="e">
        <v>#N/A</v>
      </c>
      <c r="Q66" s="185" t="e">
        <v>#N/A</v>
      </c>
      <c r="R66" s="185" t="e">
        <v>#N/A</v>
      </c>
      <c r="S66" s="185" t="e">
        <v>#N/A</v>
      </c>
      <c r="T66" s="185" t="e">
        <v>#N/A</v>
      </c>
      <c r="U66" s="185" t="e">
        <v>#N/A</v>
      </c>
      <c r="V66" s="185" t="e">
        <v>#N/A</v>
      </c>
      <c r="W66" s="185" t="e">
        <v>#N/A</v>
      </c>
      <c r="X66" s="185" t="e">
        <v>#N/A</v>
      </c>
      <c r="Y66" s="185" t="e">
        <v>#N/A</v>
      </c>
      <c r="Z66" s="185" t="e">
        <v>#N/A</v>
      </c>
      <c r="AA66" s="185" t="e">
        <v>#N/A</v>
      </c>
      <c r="AB66" s="185" t="e">
        <v>#N/A</v>
      </c>
      <c r="AC66" s="185" t="e">
        <v>#N/A</v>
      </c>
      <c r="AD66" s="185" t="e">
        <v>#N/A</v>
      </c>
      <c r="AE66" s="185" t="e">
        <v>#N/A</v>
      </c>
      <c r="AF66" s="201" t="e">
        <v>#N/A</v>
      </c>
    </row>
    <row r="67" spans="7:32">
      <c r="G67" s="213">
        <v>61</v>
      </c>
      <c r="H67" s="193">
        <v>366.05274693644753</v>
      </c>
      <c r="I67" s="185">
        <v>10.701127960116171</v>
      </c>
      <c r="J67" s="309">
        <v>6770.325712371824</v>
      </c>
      <c r="K67" s="310">
        <v>7196.7563999947888</v>
      </c>
      <c r="L67" s="237">
        <v>0</v>
      </c>
      <c r="M67" s="185">
        <v>0.52999360420421049</v>
      </c>
      <c r="N67" s="185">
        <v>0.47000639579578951</v>
      </c>
      <c r="O67" s="185" t="e">
        <v>#N/A</v>
      </c>
      <c r="P67" s="185" t="e">
        <v>#N/A</v>
      </c>
      <c r="Q67" s="185" t="e">
        <v>#N/A</v>
      </c>
      <c r="R67" s="185" t="e">
        <v>#N/A</v>
      </c>
      <c r="S67" s="185" t="e">
        <v>#N/A</v>
      </c>
      <c r="T67" s="185" t="e">
        <v>#N/A</v>
      </c>
      <c r="U67" s="185" t="e">
        <v>#N/A</v>
      </c>
      <c r="V67" s="185" t="e">
        <v>#N/A</v>
      </c>
      <c r="W67" s="185" t="e">
        <v>#N/A</v>
      </c>
      <c r="X67" s="185" t="e">
        <v>#N/A</v>
      </c>
      <c r="Y67" s="185" t="e">
        <v>#N/A</v>
      </c>
      <c r="Z67" s="185" t="e">
        <v>#N/A</v>
      </c>
      <c r="AA67" s="185" t="e">
        <v>#N/A</v>
      </c>
      <c r="AB67" s="185" t="e">
        <v>#N/A</v>
      </c>
      <c r="AC67" s="185" t="e">
        <v>#N/A</v>
      </c>
      <c r="AD67" s="185" t="e">
        <v>#N/A</v>
      </c>
      <c r="AE67" s="185" t="e">
        <v>#N/A</v>
      </c>
      <c r="AF67" s="201" t="e">
        <v>#N/A</v>
      </c>
    </row>
    <row r="68" spans="7:32">
      <c r="G68" s="213">
        <v>62</v>
      </c>
      <c r="H68" s="193">
        <v>364.81426220952926</v>
      </c>
      <c r="I68" s="185">
        <v>10.810155130904224</v>
      </c>
      <c r="J68" s="309">
        <v>6736.8506843568794</v>
      </c>
      <c r="K68" s="310">
        <v>7353.4884614652165</v>
      </c>
      <c r="L68" s="237">
        <v>0</v>
      </c>
      <c r="M68" s="185">
        <v>0.54355223145542464</v>
      </c>
      <c r="N68" s="185">
        <v>0.45644776854457536</v>
      </c>
      <c r="O68" s="185" t="e">
        <v>#N/A</v>
      </c>
      <c r="P68" s="185" t="e">
        <v>#N/A</v>
      </c>
      <c r="Q68" s="185" t="e">
        <v>#N/A</v>
      </c>
      <c r="R68" s="185" t="e">
        <v>#N/A</v>
      </c>
      <c r="S68" s="185" t="e">
        <v>#N/A</v>
      </c>
      <c r="T68" s="185" t="e">
        <v>#N/A</v>
      </c>
      <c r="U68" s="185" t="e">
        <v>#N/A</v>
      </c>
      <c r="V68" s="185" t="e">
        <v>#N/A</v>
      </c>
      <c r="W68" s="185" t="e">
        <v>#N/A</v>
      </c>
      <c r="X68" s="185" t="e">
        <v>#N/A</v>
      </c>
      <c r="Y68" s="185" t="e">
        <v>#N/A</v>
      </c>
      <c r="Z68" s="185" t="e">
        <v>#N/A</v>
      </c>
      <c r="AA68" s="185" t="e">
        <v>#N/A</v>
      </c>
      <c r="AB68" s="185" t="e">
        <v>#N/A</v>
      </c>
      <c r="AC68" s="185" t="e">
        <v>#N/A</v>
      </c>
      <c r="AD68" s="185" t="e">
        <v>#N/A</v>
      </c>
      <c r="AE68" s="185" t="e">
        <v>#N/A</v>
      </c>
      <c r="AF68" s="201" t="e">
        <v>#N/A</v>
      </c>
    </row>
    <row r="69" spans="7:32">
      <c r="G69" s="213">
        <v>63</v>
      </c>
      <c r="H69" s="193">
        <v>362.93310580741087</v>
      </c>
      <c r="I69" s="185">
        <v>10.958990069729381</v>
      </c>
      <c r="J69" s="309">
        <v>6679.3962360290725</v>
      </c>
      <c r="K69" s="310">
        <v>7579.6335713323624</v>
      </c>
      <c r="L69" s="237">
        <v>0</v>
      </c>
      <c r="M69" s="185">
        <v>0.56396801455378109</v>
      </c>
      <c r="N69" s="185">
        <v>0.43603198544621891</v>
      </c>
      <c r="O69" s="185" t="e">
        <v>#N/A</v>
      </c>
      <c r="P69" s="185" t="e">
        <v>#N/A</v>
      </c>
      <c r="Q69" s="185" t="e">
        <v>#N/A</v>
      </c>
      <c r="R69" s="185" t="e">
        <v>#N/A</v>
      </c>
      <c r="S69" s="185" t="e">
        <v>#N/A</v>
      </c>
      <c r="T69" s="185" t="e">
        <v>#N/A</v>
      </c>
      <c r="U69" s="185" t="e">
        <v>#N/A</v>
      </c>
      <c r="V69" s="185" t="e">
        <v>#N/A</v>
      </c>
      <c r="W69" s="185" t="e">
        <v>#N/A</v>
      </c>
      <c r="X69" s="185" t="e">
        <v>#N/A</v>
      </c>
      <c r="Y69" s="185" t="e">
        <v>#N/A</v>
      </c>
      <c r="Z69" s="185" t="e">
        <v>#N/A</v>
      </c>
      <c r="AA69" s="185" t="e">
        <v>#N/A</v>
      </c>
      <c r="AB69" s="185" t="e">
        <v>#N/A</v>
      </c>
      <c r="AC69" s="185" t="e">
        <v>#N/A</v>
      </c>
      <c r="AD69" s="185" t="e">
        <v>#N/A</v>
      </c>
      <c r="AE69" s="185" t="e">
        <v>#N/A</v>
      </c>
      <c r="AF69" s="201" t="e">
        <v>#N/A</v>
      </c>
    </row>
    <row r="70" spans="7:32">
      <c r="G70" s="213">
        <v>64</v>
      </c>
      <c r="H70" s="193">
        <v>359.96770877024142</v>
      </c>
      <c r="I70" s="185">
        <v>11.156709626515871</v>
      </c>
      <c r="J70" s="309">
        <v>6591.2724201983565</v>
      </c>
      <c r="K70" s="310">
        <v>7910.0961235118566</v>
      </c>
      <c r="L70" s="237">
        <v>0</v>
      </c>
      <c r="M70" s="185">
        <v>0.59448712633249357</v>
      </c>
      <c r="N70" s="185">
        <v>0.40551287366750643</v>
      </c>
      <c r="O70" s="185" t="e">
        <v>#N/A</v>
      </c>
      <c r="P70" s="185" t="e">
        <v>#N/A</v>
      </c>
      <c r="Q70" s="185" t="e">
        <v>#N/A</v>
      </c>
      <c r="R70" s="185" t="e">
        <v>#N/A</v>
      </c>
      <c r="S70" s="185" t="e">
        <v>#N/A</v>
      </c>
      <c r="T70" s="185" t="e">
        <v>#N/A</v>
      </c>
      <c r="U70" s="185" t="e">
        <v>#N/A</v>
      </c>
      <c r="V70" s="185" t="e">
        <v>#N/A</v>
      </c>
      <c r="W70" s="185" t="e">
        <v>#N/A</v>
      </c>
      <c r="X70" s="185" t="e">
        <v>#N/A</v>
      </c>
      <c r="Y70" s="185" t="e">
        <v>#N/A</v>
      </c>
      <c r="Z70" s="185" t="e">
        <v>#N/A</v>
      </c>
      <c r="AA70" s="185" t="e">
        <v>#N/A</v>
      </c>
      <c r="AB70" s="185" t="e">
        <v>#N/A</v>
      </c>
      <c r="AC70" s="185" t="e">
        <v>#N/A</v>
      </c>
      <c r="AD70" s="185" t="e">
        <v>#N/A</v>
      </c>
      <c r="AE70" s="185" t="e">
        <v>#N/A</v>
      </c>
      <c r="AF70" s="201" t="e">
        <v>#N/A</v>
      </c>
    </row>
    <row r="71" spans="7:32">
      <c r="G71" s="213">
        <v>65</v>
      </c>
      <c r="H71" s="193">
        <v>358.07394083821504</v>
      </c>
      <c r="I71" s="185">
        <v>11.26182956784443</v>
      </c>
      <c r="J71" s="309">
        <v>6539.6446269433345</v>
      </c>
      <c r="K71" s="310">
        <v>8106.3814311977249</v>
      </c>
      <c r="L71" s="237">
        <v>0</v>
      </c>
      <c r="M71" s="185">
        <v>0.6127388008717698</v>
      </c>
      <c r="N71" s="185">
        <v>0.3872611991282302</v>
      </c>
      <c r="O71" s="185" t="e">
        <v>#N/A</v>
      </c>
      <c r="P71" s="185" t="e">
        <v>#N/A</v>
      </c>
      <c r="Q71" s="185" t="e">
        <v>#N/A</v>
      </c>
      <c r="R71" s="185" t="e">
        <v>#N/A</v>
      </c>
      <c r="S71" s="185" t="e">
        <v>#N/A</v>
      </c>
      <c r="T71" s="185" t="e">
        <v>#N/A</v>
      </c>
      <c r="U71" s="185" t="e">
        <v>#N/A</v>
      </c>
      <c r="V71" s="185" t="e">
        <v>#N/A</v>
      </c>
      <c r="W71" s="185" t="e">
        <v>#N/A</v>
      </c>
      <c r="X71" s="185" t="e">
        <v>#N/A</v>
      </c>
      <c r="Y71" s="185" t="e">
        <v>#N/A</v>
      </c>
      <c r="Z71" s="185" t="e">
        <v>#N/A</v>
      </c>
      <c r="AA71" s="185" t="e">
        <v>#N/A</v>
      </c>
      <c r="AB71" s="185" t="e">
        <v>#N/A</v>
      </c>
      <c r="AC71" s="185" t="e">
        <v>#N/A</v>
      </c>
      <c r="AD71" s="185" t="e">
        <v>#N/A</v>
      </c>
      <c r="AE71" s="185" t="e">
        <v>#N/A</v>
      </c>
      <c r="AF71" s="201" t="e">
        <v>#N/A</v>
      </c>
    </row>
    <row r="72" spans="7:32">
      <c r="G72" s="213">
        <v>66</v>
      </c>
      <c r="H72" s="193">
        <v>355.68192834785265</v>
      </c>
      <c r="I72" s="185">
        <v>11.373735737713028</v>
      </c>
      <c r="J72" s="309">
        <v>6480.5906724041015</v>
      </c>
      <c r="K72" s="310">
        <v>8339.9274457542324</v>
      </c>
      <c r="L72" s="237">
        <v>0</v>
      </c>
      <c r="M72" s="185">
        <v>0.63439803647290105</v>
      </c>
      <c r="N72" s="185">
        <v>0.36560196352709895</v>
      </c>
      <c r="O72" s="185" t="e">
        <v>#N/A</v>
      </c>
      <c r="P72" s="185" t="e">
        <v>#N/A</v>
      </c>
      <c r="Q72" s="185" t="e">
        <v>#N/A</v>
      </c>
      <c r="R72" s="185" t="e">
        <v>#N/A</v>
      </c>
      <c r="S72" s="185" t="e">
        <v>#N/A</v>
      </c>
      <c r="T72" s="185" t="e">
        <v>#N/A</v>
      </c>
      <c r="U72" s="185" t="e">
        <v>#N/A</v>
      </c>
      <c r="V72" s="185" t="e">
        <v>#N/A</v>
      </c>
      <c r="W72" s="185" t="e">
        <v>#N/A</v>
      </c>
      <c r="X72" s="185" t="e">
        <v>#N/A</v>
      </c>
      <c r="Y72" s="185" t="e">
        <v>#N/A</v>
      </c>
      <c r="Z72" s="185" t="e">
        <v>#N/A</v>
      </c>
      <c r="AA72" s="185" t="e">
        <v>#N/A</v>
      </c>
      <c r="AB72" s="185" t="e">
        <v>#N/A</v>
      </c>
      <c r="AC72" s="185" t="e">
        <v>#N/A</v>
      </c>
      <c r="AD72" s="185" t="e">
        <v>#N/A</v>
      </c>
      <c r="AE72" s="185" t="e">
        <v>#N/A</v>
      </c>
      <c r="AF72" s="201" t="e">
        <v>#N/A</v>
      </c>
    </row>
    <row r="73" spans="7:32">
      <c r="G73" s="213">
        <v>67</v>
      </c>
      <c r="H73" s="193">
        <v>349.21765318941254</v>
      </c>
      <c r="I73" s="185">
        <v>11.578604371691494</v>
      </c>
      <c r="J73" s="309">
        <v>6353.9316365532741</v>
      </c>
      <c r="K73" s="310">
        <v>8905.080921250732</v>
      </c>
      <c r="L73" s="237">
        <v>0</v>
      </c>
      <c r="M73" s="185">
        <v>0.68574422276783475</v>
      </c>
      <c r="N73" s="185">
        <v>0.31425577723216525</v>
      </c>
      <c r="O73" s="185" t="e">
        <v>#N/A</v>
      </c>
      <c r="P73" s="185" t="e">
        <v>#N/A</v>
      </c>
      <c r="Q73" s="185" t="e">
        <v>#N/A</v>
      </c>
      <c r="R73" s="185" t="e">
        <v>#N/A</v>
      </c>
      <c r="S73" s="185" t="e">
        <v>#N/A</v>
      </c>
      <c r="T73" s="185" t="e">
        <v>#N/A</v>
      </c>
      <c r="U73" s="185" t="e">
        <v>#N/A</v>
      </c>
      <c r="V73" s="185" t="e">
        <v>#N/A</v>
      </c>
      <c r="W73" s="185" t="e">
        <v>#N/A</v>
      </c>
      <c r="X73" s="185" t="e">
        <v>#N/A</v>
      </c>
      <c r="Y73" s="185" t="e">
        <v>#N/A</v>
      </c>
      <c r="Z73" s="185" t="e">
        <v>#N/A</v>
      </c>
      <c r="AA73" s="185" t="e">
        <v>#N/A</v>
      </c>
      <c r="AB73" s="185" t="e">
        <v>#N/A</v>
      </c>
      <c r="AC73" s="185" t="e">
        <v>#N/A</v>
      </c>
      <c r="AD73" s="185" t="e">
        <v>#N/A</v>
      </c>
      <c r="AE73" s="185" t="e">
        <v>#N/A</v>
      </c>
      <c r="AF73" s="201" t="e">
        <v>#N/A</v>
      </c>
    </row>
    <row r="74" spans="7:32">
      <c r="G74" s="213">
        <v>68</v>
      </c>
      <c r="H74" s="193">
        <v>344.35751495281488</v>
      </c>
      <c r="I74" s="185">
        <v>11.657456658294972</v>
      </c>
      <c r="J74" s="309">
        <v>6284.4796054654125</v>
      </c>
      <c r="K74" s="310">
        <v>9280.4204481434572</v>
      </c>
      <c r="L74" s="237">
        <v>0</v>
      </c>
      <c r="M74" s="185">
        <v>0.71846805543455161</v>
      </c>
      <c r="N74" s="185">
        <v>0.28153194456544839</v>
      </c>
      <c r="O74" s="185" t="e">
        <v>#N/A</v>
      </c>
      <c r="P74" s="185" t="e">
        <v>#N/A</v>
      </c>
      <c r="Q74" s="185" t="e">
        <v>#N/A</v>
      </c>
      <c r="R74" s="185" t="e">
        <v>#N/A</v>
      </c>
      <c r="S74" s="185" t="e">
        <v>#N/A</v>
      </c>
      <c r="T74" s="185" t="e">
        <v>#N/A</v>
      </c>
      <c r="U74" s="185" t="e">
        <v>#N/A</v>
      </c>
      <c r="V74" s="185" t="e">
        <v>#N/A</v>
      </c>
      <c r="W74" s="185" t="e">
        <v>#N/A</v>
      </c>
      <c r="X74" s="185" t="e">
        <v>#N/A</v>
      </c>
      <c r="Y74" s="185" t="e">
        <v>#N/A</v>
      </c>
      <c r="Z74" s="185" t="e">
        <v>#N/A</v>
      </c>
      <c r="AA74" s="185" t="e">
        <v>#N/A</v>
      </c>
      <c r="AB74" s="185" t="e">
        <v>#N/A</v>
      </c>
      <c r="AC74" s="185" t="e">
        <v>#N/A</v>
      </c>
      <c r="AD74" s="185" t="e">
        <v>#N/A</v>
      </c>
      <c r="AE74" s="185" t="e">
        <v>#N/A</v>
      </c>
      <c r="AF74" s="201" t="e">
        <v>#N/A</v>
      </c>
    </row>
    <row r="75" spans="7:32">
      <c r="G75" s="213">
        <v>69</v>
      </c>
      <c r="H75" s="193">
        <v>338.79557966751861</v>
      </c>
      <c r="I75" s="185">
        <v>11.686040497835585</v>
      </c>
      <c r="J75" s="309">
        <v>6223.9465340600473</v>
      </c>
      <c r="K75" s="310">
        <v>9670.761022788005</v>
      </c>
      <c r="L75" s="237">
        <v>3</v>
      </c>
      <c r="M75" s="185">
        <v>0.75100486877164618</v>
      </c>
      <c r="N75" s="185">
        <v>0.24899513122835382</v>
      </c>
      <c r="O75" s="185" t="e">
        <v>#N/A</v>
      </c>
      <c r="P75" s="185" t="e">
        <v>#N/A</v>
      </c>
      <c r="Q75" s="185" t="e">
        <v>#N/A</v>
      </c>
      <c r="R75" s="185" t="e">
        <v>#N/A</v>
      </c>
      <c r="S75" s="185" t="e">
        <v>#N/A</v>
      </c>
      <c r="T75" s="185" t="e">
        <v>#N/A</v>
      </c>
      <c r="U75" s="185" t="e">
        <v>#N/A</v>
      </c>
      <c r="V75" s="185" t="e">
        <v>#N/A</v>
      </c>
      <c r="W75" s="185" t="e">
        <v>#N/A</v>
      </c>
      <c r="X75" s="185" t="e">
        <v>#N/A</v>
      </c>
      <c r="Y75" s="185" t="e">
        <v>#N/A</v>
      </c>
      <c r="Z75" s="185" t="e">
        <v>#N/A</v>
      </c>
      <c r="AA75" s="185" t="e">
        <v>#N/A</v>
      </c>
      <c r="AB75" s="185" t="e">
        <v>#N/A</v>
      </c>
      <c r="AC75" s="185" t="e">
        <v>#N/A</v>
      </c>
      <c r="AD75" s="185" t="e">
        <v>#N/A</v>
      </c>
      <c r="AE75" s="185" t="e">
        <v>#N/A</v>
      </c>
      <c r="AF75" s="201" t="e">
        <v>#N/A</v>
      </c>
    </row>
    <row r="76" spans="7:32">
      <c r="G76" s="213">
        <v>70</v>
      </c>
      <c r="H76" s="193">
        <v>329.92710849761477</v>
      </c>
      <c r="I76" s="185">
        <v>11.623784087593741</v>
      </c>
      <c r="J76" s="309">
        <v>6153.5193019258259</v>
      </c>
      <c r="K76" s="310">
        <v>10227.7759663942</v>
      </c>
      <c r="L76" s="237">
        <v>0</v>
      </c>
      <c r="M76" s="185">
        <v>0.79449120638129911</v>
      </c>
      <c r="N76" s="185">
        <v>0.20550879361870089</v>
      </c>
      <c r="O76" s="185" t="e">
        <v>#N/A</v>
      </c>
      <c r="P76" s="185" t="e">
        <v>#N/A</v>
      </c>
      <c r="Q76" s="185" t="e">
        <v>#N/A</v>
      </c>
      <c r="R76" s="185" t="e">
        <v>#N/A</v>
      </c>
      <c r="S76" s="185" t="e">
        <v>#N/A</v>
      </c>
      <c r="T76" s="185" t="e">
        <v>#N/A</v>
      </c>
      <c r="U76" s="185" t="e">
        <v>#N/A</v>
      </c>
      <c r="V76" s="185" t="e">
        <v>#N/A</v>
      </c>
      <c r="W76" s="185" t="e">
        <v>#N/A</v>
      </c>
      <c r="X76" s="185" t="e">
        <v>#N/A</v>
      </c>
      <c r="Y76" s="185" t="e">
        <v>#N/A</v>
      </c>
      <c r="Z76" s="185" t="e">
        <v>#N/A</v>
      </c>
      <c r="AA76" s="185" t="e">
        <v>#N/A</v>
      </c>
      <c r="AB76" s="185" t="e">
        <v>#N/A</v>
      </c>
      <c r="AC76" s="185" t="e">
        <v>#N/A</v>
      </c>
      <c r="AD76" s="185" t="e">
        <v>#N/A</v>
      </c>
      <c r="AE76" s="185" t="e">
        <v>#N/A</v>
      </c>
      <c r="AF76" s="201" t="e">
        <v>#N/A</v>
      </c>
    </row>
    <row r="77" spans="7:32">
      <c r="G77" s="213">
        <v>71</v>
      </c>
      <c r="H77" s="193">
        <v>319.28274658909282</v>
      </c>
      <c r="I77" s="185">
        <v>11.411018323883669</v>
      </c>
      <c r="J77" s="309">
        <v>6089.4069008210199</v>
      </c>
      <c r="K77" s="310">
        <v>10818.447501972176</v>
      </c>
      <c r="L77" s="237">
        <v>0</v>
      </c>
      <c r="M77" s="185">
        <v>0.83656777311062713</v>
      </c>
      <c r="N77" s="185">
        <v>0.16343222688937287</v>
      </c>
      <c r="O77" s="185" t="e">
        <v>#N/A</v>
      </c>
      <c r="P77" s="185" t="e">
        <v>#N/A</v>
      </c>
      <c r="Q77" s="185" t="e">
        <v>#N/A</v>
      </c>
      <c r="R77" s="185" t="e">
        <v>#N/A</v>
      </c>
      <c r="S77" s="185" t="e">
        <v>#N/A</v>
      </c>
      <c r="T77" s="185" t="e">
        <v>#N/A</v>
      </c>
      <c r="U77" s="185" t="e">
        <v>#N/A</v>
      </c>
      <c r="V77" s="185" t="e">
        <v>#N/A</v>
      </c>
      <c r="W77" s="185" t="e">
        <v>#N/A</v>
      </c>
      <c r="X77" s="185" t="e">
        <v>#N/A</v>
      </c>
      <c r="Y77" s="185" t="e">
        <v>#N/A</v>
      </c>
      <c r="Z77" s="185" t="e">
        <v>#N/A</v>
      </c>
      <c r="AA77" s="185" t="e">
        <v>#N/A</v>
      </c>
      <c r="AB77" s="185" t="e">
        <v>#N/A</v>
      </c>
      <c r="AC77" s="185" t="e">
        <v>#N/A</v>
      </c>
      <c r="AD77" s="185" t="e">
        <v>#N/A</v>
      </c>
      <c r="AE77" s="185" t="e">
        <v>#N/A</v>
      </c>
      <c r="AF77" s="201" t="e">
        <v>#N/A</v>
      </c>
    </row>
    <row r="78" spans="7:32">
      <c r="G78" s="213">
        <v>72</v>
      </c>
      <c r="H78" s="193">
        <v>305.63012397798741</v>
      </c>
      <c r="I78" s="185">
        <v>10.963321832662757</v>
      </c>
      <c r="J78" s="309">
        <v>6011.3596794830137</v>
      </c>
      <c r="K78" s="310">
        <v>11487.698837851565</v>
      </c>
      <c r="L78" s="237">
        <v>0</v>
      </c>
      <c r="M78" s="185">
        <v>0.87894999471378532</v>
      </c>
      <c r="N78" s="185">
        <v>0.12105000528621468</v>
      </c>
      <c r="O78" s="185" t="e">
        <v>#N/A</v>
      </c>
      <c r="P78" s="185" t="e">
        <v>#N/A</v>
      </c>
      <c r="Q78" s="185" t="e">
        <v>#N/A</v>
      </c>
      <c r="R78" s="185" t="e">
        <v>#N/A</v>
      </c>
      <c r="S78" s="185" t="e">
        <v>#N/A</v>
      </c>
      <c r="T78" s="185" t="e">
        <v>#N/A</v>
      </c>
      <c r="U78" s="185" t="e">
        <v>#N/A</v>
      </c>
      <c r="V78" s="185" t="e">
        <v>#N/A</v>
      </c>
      <c r="W78" s="185" t="e">
        <v>#N/A</v>
      </c>
      <c r="X78" s="185" t="e">
        <v>#N/A</v>
      </c>
      <c r="Y78" s="185" t="e">
        <v>#N/A</v>
      </c>
      <c r="Z78" s="185" t="e">
        <v>#N/A</v>
      </c>
      <c r="AA78" s="185" t="e">
        <v>#N/A</v>
      </c>
      <c r="AB78" s="185" t="e">
        <v>#N/A</v>
      </c>
      <c r="AC78" s="185" t="e">
        <v>#N/A</v>
      </c>
      <c r="AD78" s="185" t="e">
        <v>#N/A</v>
      </c>
      <c r="AE78" s="185" t="e">
        <v>#N/A</v>
      </c>
      <c r="AF78" s="201" t="e">
        <v>#N/A</v>
      </c>
    </row>
    <row r="79" spans="7:32">
      <c r="G79" s="213">
        <v>73</v>
      </c>
      <c r="H79" s="193">
        <v>288</v>
      </c>
      <c r="I79" s="185">
        <v>10.148580781922213</v>
      </c>
      <c r="J79" s="309">
        <v>5879.1361854303568</v>
      </c>
      <c r="K79" s="310">
        <v>12249.407736747897</v>
      </c>
      <c r="L79" s="237">
        <v>4</v>
      </c>
      <c r="M79" s="185">
        <v>0.91994405611848418</v>
      </c>
      <c r="N79" s="185">
        <v>8.0055943881515823E-2</v>
      </c>
      <c r="O79" s="185" t="e">
        <v>#N/A</v>
      </c>
      <c r="P79" s="185" t="e">
        <v>#N/A</v>
      </c>
      <c r="Q79" s="185" t="e">
        <v>#N/A</v>
      </c>
      <c r="R79" s="185" t="e">
        <v>#N/A</v>
      </c>
      <c r="S79" s="185" t="e">
        <v>#N/A</v>
      </c>
      <c r="T79" s="185" t="e">
        <v>#N/A</v>
      </c>
      <c r="U79" s="185" t="e">
        <v>#N/A</v>
      </c>
      <c r="V79" s="185" t="e">
        <v>#N/A</v>
      </c>
      <c r="W79" s="185" t="e">
        <v>#N/A</v>
      </c>
      <c r="X79" s="185" t="e">
        <v>#N/A</v>
      </c>
      <c r="Y79" s="185" t="e">
        <v>#N/A</v>
      </c>
      <c r="Z79" s="185" t="e">
        <v>#N/A</v>
      </c>
      <c r="AA79" s="185" t="e">
        <v>#N/A</v>
      </c>
      <c r="AB79" s="185" t="e">
        <v>#N/A</v>
      </c>
      <c r="AC79" s="185" t="e">
        <v>#N/A</v>
      </c>
      <c r="AD79" s="185" t="e">
        <v>#N/A</v>
      </c>
      <c r="AE79" s="185" t="e">
        <v>#N/A</v>
      </c>
      <c r="AF79" s="201" t="e">
        <v>#N/A</v>
      </c>
    </row>
    <row r="80" spans="7:32">
      <c r="G80" s="213">
        <v>74</v>
      </c>
      <c r="H80" s="193">
        <v>280.18177169087397</v>
      </c>
      <c r="I80" s="185">
        <v>9.7134726724777352</v>
      </c>
      <c r="J80" s="309">
        <v>5798.3968416471371</v>
      </c>
      <c r="K80" s="310">
        <v>12559.873334388612</v>
      </c>
      <c r="L80" s="237">
        <v>0</v>
      </c>
      <c r="M80" s="185">
        <v>0.93432169223941286</v>
      </c>
      <c r="N80" s="185">
        <v>6.567830776058714E-2</v>
      </c>
      <c r="O80" s="185" t="e">
        <v>#N/A</v>
      </c>
      <c r="P80" s="185" t="e">
        <v>#N/A</v>
      </c>
      <c r="Q80" s="185" t="e">
        <v>#N/A</v>
      </c>
      <c r="R80" s="185" t="e">
        <v>#N/A</v>
      </c>
      <c r="S80" s="185" t="e">
        <v>#N/A</v>
      </c>
      <c r="T80" s="185" t="e">
        <v>#N/A</v>
      </c>
      <c r="U80" s="185" t="e">
        <v>#N/A</v>
      </c>
      <c r="V80" s="185" t="e">
        <v>#N/A</v>
      </c>
      <c r="W80" s="185" t="e">
        <v>#N/A</v>
      </c>
      <c r="X80" s="185" t="e">
        <v>#N/A</v>
      </c>
      <c r="Y80" s="185" t="e">
        <v>#N/A</v>
      </c>
      <c r="Z80" s="185" t="e">
        <v>#N/A</v>
      </c>
      <c r="AA80" s="185" t="e">
        <v>#N/A</v>
      </c>
      <c r="AB80" s="185" t="e">
        <v>#N/A</v>
      </c>
      <c r="AC80" s="185" t="e">
        <v>#N/A</v>
      </c>
      <c r="AD80" s="185" t="e">
        <v>#N/A</v>
      </c>
      <c r="AE80" s="185" t="e">
        <v>#N/A</v>
      </c>
      <c r="AF80" s="201" t="e">
        <v>#N/A</v>
      </c>
    </row>
    <row r="81" spans="7:32">
      <c r="G81" s="213">
        <v>75</v>
      </c>
      <c r="H81" s="193">
        <v>262.4595118035237</v>
      </c>
      <c r="I81" s="185">
        <v>8.5803805188766091</v>
      </c>
      <c r="J81" s="309">
        <v>5536.3418955380757</v>
      </c>
      <c r="K81" s="310">
        <v>13217.769835170709</v>
      </c>
      <c r="L81" s="237">
        <v>0</v>
      </c>
      <c r="M81" s="185">
        <v>0.96009354396640645</v>
      </c>
      <c r="N81" s="185">
        <v>3.9906456033593551E-2</v>
      </c>
      <c r="O81" s="185" t="e">
        <v>#N/A</v>
      </c>
      <c r="P81" s="185" t="e">
        <v>#N/A</v>
      </c>
      <c r="Q81" s="185" t="e">
        <v>#N/A</v>
      </c>
      <c r="R81" s="185" t="e">
        <v>#N/A</v>
      </c>
      <c r="S81" s="185" t="e">
        <v>#N/A</v>
      </c>
      <c r="T81" s="185" t="e">
        <v>#N/A</v>
      </c>
      <c r="U81" s="185" t="e">
        <v>#N/A</v>
      </c>
      <c r="V81" s="185" t="e">
        <v>#N/A</v>
      </c>
      <c r="W81" s="185" t="e">
        <v>#N/A</v>
      </c>
      <c r="X81" s="185" t="e">
        <v>#N/A</v>
      </c>
      <c r="Y81" s="185" t="e">
        <v>#N/A</v>
      </c>
      <c r="Z81" s="185" t="e">
        <v>#N/A</v>
      </c>
      <c r="AA81" s="185" t="e">
        <v>#N/A</v>
      </c>
      <c r="AB81" s="185" t="e">
        <v>#N/A</v>
      </c>
      <c r="AC81" s="185" t="e">
        <v>#N/A</v>
      </c>
      <c r="AD81" s="185" t="e">
        <v>#N/A</v>
      </c>
      <c r="AE81" s="185" t="e">
        <v>#N/A</v>
      </c>
      <c r="AF81" s="201" t="e">
        <v>#N/A</v>
      </c>
    </row>
    <row r="82" spans="7:32">
      <c r="G82" s="213">
        <v>76</v>
      </c>
      <c r="H82" s="193">
        <v>229.95966813704842</v>
      </c>
      <c r="I82" s="185">
        <v>6.0849729856685144</v>
      </c>
      <c r="J82" s="309">
        <v>4598.4158361655809</v>
      </c>
      <c r="K82" s="310">
        <v>14311.674205622852</v>
      </c>
      <c r="L82" s="237">
        <v>0</v>
      </c>
      <c r="M82" s="185">
        <v>0.98816126940924465</v>
      </c>
      <c r="N82" s="185">
        <v>1.1838730590755353E-2</v>
      </c>
      <c r="O82" s="185" t="e">
        <v>#N/A</v>
      </c>
      <c r="P82" s="185" t="e">
        <v>#N/A</v>
      </c>
      <c r="Q82" s="185" t="e">
        <v>#N/A</v>
      </c>
      <c r="R82" s="185" t="e">
        <v>#N/A</v>
      </c>
      <c r="S82" s="185" t="e">
        <v>#N/A</v>
      </c>
      <c r="T82" s="185" t="e">
        <v>#N/A</v>
      </c>
      <c r="U82" s="185" t="e">
        <v>#N/A</v>
      </c>
      <c r="V82" s="185" t="e">
        <v>#N/A</v>
      </c>
      <c r="W82" s="185" t="e">
        <v>#N/A</v>
      </c>
      <c r="X82" s="185" t="e">
        <v>#N/A</v>
      </c>
      <c r="Y82" s="185" t="e">
        <v>#N/A</v>
      </c>
      <c r="Z82" s="185" t="e">
        <v>#N/A</v>
      </c>
      <c r="AA82" s="185" t="e">
        <v>#N/A</v>
      </c>
      <c r="AB82" s="185" t="e">
        <v>#N/A</v>
      </c>
      <c r="AC82" s="185" t="e">
        <v>#N/A</v>
      </c>
      <c r="AD82" s="185" t="e">
        <v>#N/A</v>
      </c>
      <c r="AE82" s="185" t="e">
        <v>#N/A</v>
      </c>
      <c r="AF82" s="201" t="e">
        <v>#N/A</v>
      </c>
    </row>
    <row r="83" spans="7:32">
      <c r="G83" s="213">
        <v>77</v>
      </c>
      <c r="H83" s="193">
        <v>204.65801162373211</v>
      </c>
      <c r="I83" s="185">
        <v>4</v>
      </c>
      <c r="J83" s="309">
        <v>3325.8448629343197</v>
      </c>
      <c r="K83" s="310">
        <v>15106.395068222952</v>
      </c>
      <c r="L83" s="237">
        <v>5</v>
      </c>
      <c r="M83" s="185">
        <v>0.99718822203374979</v>
      </c>
      <c r="N83" s="185">
        <v>2.8117779662502063E-3</v>
      </c>
      <c r="O83" s="185" t="e">
        <v>#N/A</v>
      </c>
      <c r="P83" s="185" t="e">
        <v>#N/A</v>
      </c>
      <c r="Q83" s="185" t="e">
        <v>#N/A</v>
      </c>
      <c r="R83" s="185" t="e">
        <v>#N/A</v>
      </c>
      <c r="S83" s="185" t="e">
        <v>#N/A</v>
      </c>
      <c r="T83" s="185" t="e">
        <v>#N/A</v>
      </c>
      <c r="U83" s="185" t="e">
        <v>#N/A</v>
      </c>
      <c r="V83" s="185" t="e">
        <v>#N/A</v>
      </c>
      <c r="W83" s="185" t="e">
        <v>#N/A</v>
      </c>
      <c r="X83" s="185" t="e">
        <v>#N/A</v>
      </c>
      <c r="Y83" s="185" t="e">
        <v>#N/A</v>
      </c>
      <c r="Z83" s="185" t="e">
        <v>#N/A</v>
      </c>
      <c r="AA83" s="185" t="e">
        <v>#N/A</v>
      </c>
      <c r="AB83" s="185" t="e">
        <v>#N/A</v>
      </c>
      <c r="AC83" s="185" t="e">
        <v>#N/A</v>
      </c>
      <c r="AD83" s="185" t="e">
        <v>#N/A</v>
      </c>
      <c r="AE83" s="185" t="e">
        <v>#N/A</v>
      </c>
      <c r="AF83" s="201" t="e">
        <v>#N/A</v>
      </c>
    </row>
    <row r="84" spans="7:32">
      <c r="G84" s="213">
        <v>78</v>
      </c>
      <c r="H84" s="193">
        <v>195.909635630521</v>
      </c>
      <c r="I84" s="185">
        <v>3.3195651648336195</v>
      </c>
      <c r="J84" s="309">
        <v>2816.6891931636401</v>
      </c>
      <c r="K84" s="310">
        <v>15375.285763437843</v>
      </c>
      <c r="L84" s="237">
        <v>0</v>
      </c>
      <c r="M84" s="185">
        <v>0.99851733777673635</v>
      </c>
      <c r="N84" s="185">
        <v>1.4826622232636533E-3</v>
      </c>
      <c r="O84" s="185" t="e">
        <v>#N/A</v>
      </c>
      <c r="P84" s="185" t="e">
        <v>#N/A</v>
      </c>
      <c r="Q84" s="185" t="e">
        <v>#N/A</v>
      </c>
      <c r="R84" s="185" t="e">
        <v>#N/A</v>
      </c>
      <c r="S84" s="185" t="e">
        <v>#N/A</v>
      </c>
      <c r="T84" s="185" t="e">
        <v>#N/A</v>
      </c>
      <c r="U84" s="185" t="e">
        <v>#N/A</v>
      </c>
      <c r="V84" s="185" t="e">
        <v>#N/A</v>
      </c>
      <c r="W84" s="185" t="e">
        <v>#N/A</v>
      </c>
      <c r="X84" s="185" t="e">
        <v>#N/A</v>
      </c>
      <c r="Y84" s="185" t="e">
        <v>#N/A</v>
      </c>
      <c r="Z84" s="185" t="e">
        <v>#N/A</v>
      </c>
      <c r="AA84" s="185" t="e">
        <v>#N/A</v>
      </c>
      <c r="AB84" s="185" t="e">
        <v>#N/A</v>
      </c>
      <c r="AC84" s="185" t="e">
        <v>#N/A</v>
      </c>
      <c r="AD84" s="185" t="e">
        <v>#N/A</v>
      </c>
      <c r="AE84" s="185" t="e">
        <v>#N/A</v>
      </c>
      <c r="AF84" s="201" t="e">
        <v>#N/A</v>
      </c>
    </row>
    <row r="85" spans="7:32">
      <c r="G85" s="213">
        <v>79</v>
      </c>
      <c r="H85" s="193">
        <v>178.44050108515529</v>
      </c>
      <c r="I85" s="185">
        <v>2.1172006096136329</v>
      </c>
      <c r="J85" s="309">
        <v>1844.5121069066745</v>
      </c>
      <c r="K85" s="310">
        <v>15906.996208965611</v>
      </c>
      <c r="L85" s="237">
        <v>0</v>
      </c>
      <c r="M85" s="185">
        <v>0.99967403464935911</v>
      </c>
      <c r="N85" s="185">
        <v>3.2596535064088883E-4</v>
      </c>
      <c r="O85" s="185" t="e">
        <v>#N/A</v>
      </c>
      <c r="P85" s="185" t="e">
        <v>#N/A</v>
      </c>
      <c r="Q85" s="185" t="e">
        <v>#N/A</v>
      </c>
      <c r="R85" s="185" t="e">
        <v>#N/A</v>
      </c>
      <c r="S85" s="185" t="e">
        <v>#N/A</v>
      </c>
      <c r="T85" s="185" t="e">
        <v>#N/A</v>
      </c>
      <c r="U85" s="185" t="e">
        <v>#N/A</v>
      </c>
      <c r="V85" s="185" t="e">
        <v>#N/A</v>
      </c>
      <c r="W85" s="185" t="e">
        <v>#N/A</v>
      </c>
      <c r="X85" s="185" t="e">
        <v>#N/A</v>
      </c>
      <c r="Y85" s="185" t="e">
        <v>#N/A</v>
      </c>
      <c r="Z85" s="185" t="e">
        <v>#N/A</v>
      </c>
      <c r="AA85" s="185" t="e">
        <v>#N/A</v>
      </c>
      <c r="AB85" s="185" t="e">
        <v>#N/A</v>
      </c>
      <c r="AC85" s="185" t="e">
        <v>#N/A</v>
      </c>
      <c r="AD85" s="185" t="e">
        <v>#N/A</v>
      </c>
      <c r="AE85" s="185" t="e">
        <v>#N/A</v>
      </c>
      <c r="AF85" s="201" t="e">
        <v>#N/A</v>
      </c>
    </row>
    <row r="86" spans="7:32">
      <c r="G86" s="213">
        <v>80</v>
      </c>
      <c r="H86" s="193">
        <v>164.32320402029177</v>
      </c>
      <c r="I86" s="185">
        <v>1.3447695867371294</v>
      </c>
      <c r="J86" s="309">
        <v>1194.8873227577405</v>
      </c>
      <c r="K86" s="310">
        <v>16332.215660124604</v>
      </c>
      <c r="L86" s="237">
        <v>0</v>
      </c>
      <c r="M86" s="185">
        <v>0.99992346018543721</v>
      </c>
      <c r="N86" s="185">
        <v>7.6539814562792685E-5</v>
      </c>
      <c r="O86" s="185" t="e">
        <v>#N/A</v>
      </c>
      <c r="P86" s="185" t="e">
        <v>#N/A</v>
      </c>
      <c r="Q86" s="185" t="e">
        <v>#N/A</v>
      </c>
      <c r="R86" s="185" t="e">
        <v>#N/A</v>
      </c>
      <c r="S86" s="185" t="e">
        <v>#N/A</v>
      </c>
      <c r="T86" s="185" t="e">
        <v>#N/A</v>
      </c>
      <c r="U86" s="185" t="e">
        <v>#N/A</v>
      </c>
      <c r="V86" s="185" t="e">
        <v>#N/A</v>
      </c>
      <c r="W86" s="185" t="e">
        <v>#N/A</v>
      </c>
      <c r="X86" s="185" t="e">
        <v>#N/A</v>
      </c>
      <c r="Y86" s="185" t="e">
        <v>#N/A</v>
      </c>
      <c r="Z86" s="185" t="e">
        <v>#N/A</v>
      </c>
      <c r="AA86" s="185" t="e">
        <v>#N/A</v>
      </c>
      <c r="AB86" s="185" t="e">
        <v>#N/A</v>
      </c>
      <c r="AC86" s="185" t="e">
        <v>#N/A</v>
      </c>
      <c r="AD86" s="185" t="e">
        <v>#N/A</v>
      </c>
      <c r="AE86" s="185" t="e">
        <v>#N/A</v>
      </c>
      <c r="AF86" s="201" t="e">
        <v>#N/A</v>
      </c>
    </row>
    <row r="87" spans="7:32">
      <c r="G87" s="213">
        <v>81</v>
      </c>
      <c r="H87" s="193">
        <v>152.62246513351076</v>
      </c>
      <c r="I87" s="185">
        <v>0.85289971152730004</v>
      </c>
      <c r="J87" s="309">
        <v>775.82735790779316</v>
      </c>
      <c r="K87" s="310">
        <v>16680.504012833113</v>
      </c>
      <c r="L87" s="237">
        <v>0</v>
      </c>
      <c r="M87" s="185">
        <v>0.99998018576614722</v>
      </c>
      <c r="N87" s="185">
        <v>1.9814233852777363E-5</v>
      </c>
      <c r="O87" s="185" t="e">
        <v>#N/A</v>
      </c>
      <c r="P87" s="185" t="e">
        <v>#N/A</v>
      </c>
      <c r="Q87" s="185" t="e">
        <v>#N/A</v>
      </c>
      <c r="R87" s="185" t="e">
        <v>#N/A</v>
      </c>
      <c r="S87" s="185" t="e">
        <v>#N/A</v>
      </c>
      <c r="T87" s="185" t="e">
        <v>#N/A</v>
      </c>
      <c r="U87" s="185" t="e">
        <v>#N/A</v>
      </c>
      <c r="V87" s="185" t="e">
        <v>#N/A</v>
      </c>
      <c r="W87" s="185" t="e">
        <v>#N/A</v>
      </c>
      <c r="X87" s="185" t="e">
        <v>#N/A</v>
      </c>
      <c r="Y87" s="185" t="e">
        <v>#N/A</v>
      </c>
      <c r="Z87" s="185" t="e">
        <v>#N/A</v>
      </c>
      <c r="AA87" s="185" t="e">
        <v>#N/A</v>
      </c>
      <c r="AB87" s="185" t="e">
        <v>#N/A</v>
      </c>
      <c r="AC87" s="185" t="e">
        <v>#N/A</v>
      </c>
      <c r="AD87" s="185" t="e">
        <v>#N/A</v>
      </c>
      <c r="AE87" s="185" t="e">
        <v>#N/A</v>
      </c>
      <c r="AF87" s="201" t="e">
        <v>#N/A</v>
      </c>
    </row>
    <row r="88" spans="7:32">
      <c r="G88" s="213">
        <v>82</v>
      </c>
      <c r="H88" s="193">
        <v>142.79105685853565</v>
      </c>
      <c r="I88" s="185">
        <v>0.54080569166433179</v>
      </c>
      <c r="J88" s="309">
        <v>505.96249314926121</v>
      </c>
      <c r="K88" s="310">
        <v>16968.308510658415</v>
      </c>
      <c r="L88" s="237">
        <v>0</v>
      </c>
      <c r="M88" s="185">
        <v>0.99999427248726325</v>
      </c>
      <c r="N88" s="185">
        <v>5.7275127367528711E-6</v>
      </c>
      <c r="O88" s="185" t="e">
        <v>#N/A</v>
      </c>
      <c r="P88" s="185" t="e">
        <v>#N/A</v>
      </c>
      <c r="Q88" s="185" t="e">
        <v>#N/A</v>
      </c>
      <c r="R88" s="185" t="e">
        <v>#N/A</v>
      </c>
      <c r="S88" s="185" t="e">
        <v>#N/A</v>
      </c>
      <c r="T88" s="185" t="e">
        <v>#N/A</v>
      </c>
      <c r="U88" s="185" t="e">
        <v>#N/A</v>
      </c>
      <c r="V88" s="185" t="e">
        <v>#N/A</v>
      </c>
      <c r="W88" s="185" t="e">
        <v>#N/A</v>
      </c>
      <c r="X88" s="185" t="e">
        <v>#N/A</v>
      </c>
      <c r="Y88" s="185" t="e">
        <v>#N/A</v>
      </c>
      <c r="Z88" s="185" t="e">
        <v>#N/A</v>
      </c>
      <c r="AA88" s="185" t="e">
        <v>#N/A</v>
      </c>
      <c r="AB88" s="185" t="e">
        <v>#N/A</v>
      </c>
      <c r="AC88" s="185" t="e">
        <v>#N/A</v>
      </c>
      <c r="AD88" s="185" t="e">
        <v>#N/A</v>
      </c>
      <c r="AE88" s="185" t="e">
        <v>#N/A</v>
      </c>
      <c r="AF88" s="201" t="e">
        <v>#N/A</v>
      </c>
    </row>
    <row r="89" spans="7:32">
      <c r="G89" s="213">
        <v>83</v>
      </c>
      <c r="H89" s="193">
        <v>134.45692118533879</v>
      </c>
      <c r="I89" s="185">
        <v>0.34309848265615983</v>
      </c>
      <c r="J89" s="309">
        <v>331.23247580343133</v>
      </c>
      <c r="K89" s="310">
        <v>17206.522182215846</v>
      </c>
      <c r="L89" s="237">
        <v>0</v>
      </c>
      <c r="M89" s="185">
        <v>0.99999813851252517</v>
      </c>
      <c r="N89" s="185">
        <v>1.8614874748301702E-6</v>
      </c>
      <c r="O89" s="185" t="e">
        <v>#N/A</v>
      </c>
      <c r="P89" s="185" t="e">
        <v>#N/A</v>
      </c>
      <c r="Q89" s="185" t="e">
        <v>#N/A</v>
      </c>
      <c r="R89" s="185" t="e">
        <v>#N/A</v>
      </c>
      <c r="S89" s="185" t="e">
        <v>#N/A</v>
      </c>
      <c r="T89" s="185" t="e">
        <v>#N/A</v>
      </c>
      <c r="U89" s="185" t="e">
        <v>#N/A</v>
      </c>
      <c r="V89" s="185" t="e">
        <v>#N/A</v>
      </c>
      <c r="W89" s="185" t="e">
        <v>#N/A</v>
      </c>
      <c r="X89" s="185" t="e">
        <v>#N/A</v>
      </c>
      <c r="Y89" s="185" t="e">
        <v>#N/A</v>
      </c>
      <c r="Z89" s="185" t="e">
        <v>#N/A</v>
      </c>
      <c r="AA89" s="185" t="e">
        <v>#N/A</v>
      </c>
      <c r="AB89" s="185" t="e">
        <v>#N/A</v>
      </c>
      <c r="AC89" s="185" t="e">
        <v>#N/A</v>
      </c>
      <c r="AD89" s="185" t="e">
        <v>#N/A</v>
      </c>
      <c r="AE89" s="185" t="e">
        <v>#N/A</v>
      </c>
      <c r="AF89" s="201" t="e">
        <v>#N/A</v>
      </c>
    </row>
    <row r="90" spans="7:32">
      <c r="G90" s="213">
        <v>84</v>
      </c>
      <c r="H90" s="193">
        <v>127.34164403559357</v>
      </c>
      <c r="I90" s="185">
        <v>0.21790527932023451</v>
      </c>
      <c r="J90" s="309">
        <v>217.45911160929117</v>
      </c>
      <c r="K90" s="310">
        <v>17403.247768114699</v>
      </c>
      <c r="L90" s="237">
        <v>0</v>
      </c>
      <c r="M90" s="185">
        <v>0.99999931711621526</v>
      </c>
      <c r="N90" s="185">
        <v>6.8288378474168354E-7</v>
      </c>
      <c r="O90" s="185" t="e">
        <v>#N/A</v>
      </c>
      <c r="P90" s="185" t="e">
        <v>#N/A</v>
      </c>
      <c r="Q90" s="185" t="e">
        <v>#N/A</v>
      </c>
      <c r="R90" s="185" t="e">
        <v>#N/A</v>
      </c>
      <c r="S90" s="185" t="e">
        <v>#N/A</v>
      </c>
      <c r="T90" s="185" t="e">
        <v>#N/A</v>
      </c>
      <c r="U90" s="185" t="e">
        <v>#N/A</v>
      </c>
      <c r="V90" s="185" t="e">
        <v>#N/A</v>
      </c>
      <c r="W90" s="185" t="e">
        <v>#N/A</v>
      </c>
      <c r="X90" s="185" t="e">
        <v>#N/A</v>
      </c>
      <c r="Y90" s="185" t="e">
        <v>#N/A</v>
      </c>
      <c r="Z90" s="185" t="e">
        <v>#N/A</v>
      </c>
      <c r="AA90" s="185" t="e">
        <v>#N/A</v>
      </c>
      <c r="AB90" s="185" t="e">
        <v>#N/A</v>
      </c>
      <c r="AC90" s="185" t="e">
        <v>#N/A</v>
      </c>
      <c r="AD90" s="185" t="e">
        <v>#N/A</v>
      </c>
      <c r="AE90" s="185" t="e">
        <v>#N/A</v>
      </c>
      <c r="AF90" s="201" t="e">
        <v>#N/A</v>
      </c>
    </row>
    <row r="91" spans="7:32">
      <c r="G91" s="213">
        <v>85</v>
      </c>
      <c r="H91" s="193">
        <v>120.72126843756214</v>
      </c>
      <c r="I91" s="185">
        <v>0.13310000000000002</v>
      </c>
      <c r="J91" s="309">
        <v>137.78944319611765</v>
      </c>
      <c r="K91" s="310">
        <v>17577.876603578407</v>
      </c>
      <c r="L91" s="237">
        <v>0</v>
      </c>
      <c r="M91" s="185">
        <v>0.99999973684686161</v>
      </c>
      <c r="N91" s="185">
        <v>2.6315313839120336E-7</v>
      </c>
      <c r="O91" s="185" t="e">
        <v>#N/A</v>
      </c>
      <c r="P91" s="185" t="e">
        <v>#N/A</v>
      </c>
      <c r="Q91" s="185" t="e">
        <v>#N/A</v>
      </c>
      <c r="R91" s="185" t="e">
        <v>#N/A</v>
      </c>
      <c r="S91" s="185" t="e">
        <v>#N/A</v>
      </c>
      <c r="T91" s="185" t="e">
        <v>#N/A</v>
      </c>
      <c r="U91" s="185" t="e">
        <v>#N/A</v>
      </c>
      <c r="V91" s="185" t="e">
        <v>#N/A</v>
      </c>
      <c r="W91" s="185" t="e">
        <v>#N/A</v>
      </c>
      <c r="X91" s="185" t="e">
        <v>#N/A</v>
      </c>
      <c r="Y91" s="185" t="e">
        <v>#N/A</v>
      </c>
      <c r="Z91" s="185" t="e">
        <v>#N/A</v>
      </c>
      <c r="AA91" s="185" t="e">
        <v>#N/A</v>
      </c>
      <c r="AB91" s="185" t="e">
        <v>#N/A</v>
      </c>
      <c r="AC91" s="185" t="e">
        <v>#N/A</v>
      </c>
      <c r="AD91" s="185" t="e">
        <v>#N/A</v>
      </c>
      <c r="AE91" s="185" t="e">
        <v>#N/A</v>
      </c>
      <c r="AF91" s="201" t="e">
        <v>#N/A</v>
      </c>
    </row>
    <row r="92" spans="7:32">
      <c r="G92" s="213">
        <v>86</v>
      </c>
      <c r="H92" s="193">
        <v>119.5557479255111</v>
      </c>
      <c r="I92" s="185">
        <v>0.12100000000000002</v>
      </c>
      <c r="J92" s="309">
        <v>126.15293167601028</v>
      </c>
      <c r="K92" s="310">
        <v>17607.499701853838</v>
      </c>
      <c r="L92" s="237">
        <v>0</v>
      </c>
      <c r="M92" s="185">
        <v>0.9999997775789442</v>
      </c>
      <c r="N92" s="185">
        <v>2.2242105579550753E-7</v>
      </c>
      <c r="O92" s="185" t="e">
        <v>#N/A</v>
      </c>
      <c r="P92" s="185" t="e">
        <v>#N/A</v>
      </c>
      <c r="Q92" s="185" t="e">
        <v>#N/A</v>
      </c>
      <c r="R92" s="185" t="e">
        <v>#N/A</v>
      </c>
      <c r="S92" s="185" t="e">
        <v>#N/A</v>
      </c>
      <c r="T92" s="185" t="e">
        <v>#N/A</v>
      </c>
      <c r="U92" s="185" t="e">
        <v>#N/A</v>
      </c>
      <c r="V92" s="185" t="e">
        <v>#N/A</v>
      </c>
      <c r="W92" s="185" t="e">
        <v>#N/A</v>
      </c>
      <c r="X92" s="185" t="e">
        <v>#N/A</v>
      </c>
      <c r="Y92" s="185" t="e">
        <v>#N/A</v>
      </c>
      <c r="Z92" s="185" t="e">
        <v>#N/A</v>
      </c>
      <c r="AA92" s="185" t="e">
        <v>#N/A</v>
      </c>
      <c r="AB92" s="185" t="e">
        <v>#N/A</v>
      </c>
      <c r="AC92" s="185" t="e">
        <v>#N/A</v>
      </c>
      <c r="AD92" s="185" t="e">
        <v>#N/A</v>
      </c>
      <c r="AE92" s="185" t="e">
        <v>#N/A</v>
      </c>
      <c r="AF92" s="201" t="e">
        <v>#N/A</v>
      </c>
    </row>
    <row r="93" spans="7:32">
      <c r="G93" s="213">
        <v>87</v>
      </c>
      <c r="H93" s="193">
        <v>118.42392390178658</v>
      </c>
      <c r="I93" s="185">
        <v>0.11000000000000001</v>
      </c>
      <c r="J93" s="309">
        <v>115.4968442408596</v>
      </c>
      <c r="K93" s="310">
        <v>17635.883453126622</v>
      </c>
      <c r="L93" s="237">
        <v>0</v>
      </c>
      <c r="M93" s="185">
        <v>0.99999981102435298</v>
      </c>
      <c r="N93" s="185">
        <v>1.8897564701969571E-7</v>
      </c>
      <c r="O93" s="185" t="e">
        <v>#N/A</v>
      </c>
      <c r="P93" s="185" t="e">
        <v>#N/A</v>
      </c>
      <c r="Q93" s="185" t="e">
        <v>#N/A</v>
      </c>
      <c r="R93" s="185" t="e">
        <v>#N/A</v>
      </c>
      <c r="S93" s="185" t="e">
        <v>#N/A</v>
      </c>
      <c r="T93" s="185" t="e">
        <v>#N/A</v>
      </c>
      <c r="U93" s="185" t="e">
        <v>#N/A</v>
      </c>
      <c r="V93" s="185" t="e">
        <v>#N/A</v>
      </c>
      <c r="W93" s="185" t="e">
        <v>#N/A</v>
      </c>
      <c r="X93" s="185" t="e">
        <v>#N/A</v>
      </c>
      <c r="Y93" s="185" t="e">
        <v>#N/A</v>
      </c>
      <c r="Z93" s="185" t="e">
        <v>#N/A</v>
      </c>
      <c r="AA93" s="185" t="e">
        <v>#N/A</v>
      </c>
      <c r="AB93" s="185" t="e">
        <v>#N/A</v>
      </c>
      <c r="AC93" s="185" t="e">
        <v>#N/A</v>
      </c>
      <c r="AD93" s="185" t="e">
        <v>#N/A</v>
      </c>
      <c r="AE93" s="185" t="e">
        <v>#N/A</v>
      </c>
      <c r="AF93" s="201" t="e">
        <v>#N/A</v>
      </c>
    </row>
    <row r="94" spans="7:32">
      <c r="G94" s="213">
        <v>88</v>
      </c>
      <c r="H94" s="193">
        <v>117.32449993826297</v>
      </c>
      <c r="I94" s="185">
        <v>0.1</v>
      </c>
      <c r="J94" s="309">
        <v>105.7381865113889</v>
      </c>
      <c r="K94" s="310">
        <v>17663.067326174965</v>
      </c>
      <c r="L94" s="237">
        <v>0</v>
      </c>
      <c r="M94" s="185">
        <v>0.99999983860600661</v>
      </c>
      <c r="N94" s="185">
        <v>1.6139399339198945E-7</v>
      </c>
      <c r="O94" s="185" t="e">
        <v>#N/A</v>
      </c>
      <c r="P94" s="185" t="e">
        <v>#N/A</v>
      </c>
      <c r="Q94" s="185" t="e">
        <v>#N/A</v>
      </c>
      <c r="R94" s="185" t="e">
        <v>#N/A</v>
      </c>
      <c r="S94" s="185" t="e">
        <v>#N/A</v>
      </c>
      <c r="T94" s="185" t="e">
        <v>#N/A</v>
      </c>
      <c r="U94" s="185" t="e">
        <v>#N/A</v>
      </c>
      <c r="V94" s="185" t="e">
        <v>#N/A</v>
      </c>
      <c r="W94" s="185" t="e">
        <v>#N/A</v>
      </c>
      <c r="X94" s="185" t="e">
        <v>#N/A</v>
      </c>
      <c r="Y94" s="185" t="e">
        <v>#N/A</v>
      </c>
      <c r="Z94" s="185" t="e">
        <v>#N/A</v>
      </c>
      <c r="AA94" s="185" t="e">
        <v>#N/A</v>
      </c>
      <c r="AB94" s="185" t="e">
        <v>#N/A</v>
      </c>
      <c r="AC94" s="185" t="e">
        <v>#N/A</v>
      </c>
      <c r="AD94" s="185" t="e">
        <v>#N/A</v>
      </c>
      <c r="AE94" s="185" t="e">
        <v>#N/A</v>
      </c>
      <c r="AF94" s="201" t="e">
        <v>#N/A</v>
      </c>
    </row>
    <row r="95" spans="7:32">
      <c r="G95" s="213" t="e">
        <v>#N/A</v>
      </c>
      <c r="H95" s="193" t="e">
        <v>#N/A</v>
      </c>
      <c r="I95" s="185" t="e">
        <v>#N/A</v>
      </c>
      <c r="J95" s="309" t="e">
        <v>#N/A</v>
      </c>
      <c r="K95" s="310" t="e">
        <v>#N/A</v>
      </c>
      <c r="L95" s="237" t="e">
        <v>#N/A</v>
      </c>
      <c r="M95" s="185" t="e">
        <v>#N/A</v>
      </c>
      <c r="N95" s="185" t="e">
        <v>#N/A</v>
      </c>
      <c r="O95" s="185" t="e">
        <v>#N/A</v>
      </c>
      <c r="P95" s="185" t="e">
        <v>#N/A</v>
      </c>
      <c r="Q95" s="185" t="e">
        <v>#N/A</v>
      </c>
      <c r="R95" s="185" t="e">
        <v>#N/A</v>
      </c>
      <c r="S95" s="185" t="e">
        <v>#N/A</v>
      </c>
      <c r="T95" s="185" t="e">
        <v>#N/A</v>
      </c>
      <c r="U95" s="185" t="e">
        <v>#N/A</v>
      </c>
      <c r="V95" s="185" t="e">
        <v>#N/A</v>
      </c>
      <c r="W95" s="185" t="e">
        <v>#N/A</v>
      </c>
      <c r="X95" s="185" t="e">
        <v>#N/A</v>
      </c>
      <c r="Y95" s="185" t="e">
        <v>#N/A</v>
      </c>
      <c r="Z95" s="185" t="e">
        <v>#N/A</v>
      </c>
      <c r="AA95" s="185" t="e">
        <v>#N/A</v>
      </c>
      <c r="AB95" s="185" t="e">
        <v>#N/A</v>
      </c>
      <c r="AC95" s="185" t="e">
        <v>#N/A</v>
      </c>
      <c r="AD95" s="185" t="e">
        <v>#N/A</v>
      </c>
      <c r="AE95" s="185" t="e">
        <v>#N/A</v>
      </c>
      <c r="AF95" s="201" t="e">
        <v>#N/A</v>
      </c>
    </row>
    <row r="96" spans="7:32">
      <c r="G96" s="213" t="e">
        <v>#N/A</v>
      </c>
      <c r="H96" s="193" t="e">
        <v>#N/A</v>
      </c>
      <c r="I96" s="185" t="e">
        <v>#N/A</v>
      </c>
      <c r="J96" s="309" t="e">
        <v>#N/A</v>
      </c>
      <c r="K96" s="310" t="e">
        <v>#N/A</v>
      </c>
      <c r="L96" s="237" t="e">
        <v>#N/A</v>
      </c>
      <c r="M96" s="185" t="e">
        <v>#N/A</v>
      </c>
      <c r="N96" s="185" t="e">
        <v>#N/A</v>
      </c>
      <c r="O96" s="185" t="e">
        <v>#N/A</v>
      </c>
      <c r="P96" s="185" t="e">
        <v>#N/A</v>
      </c>
      <c r="Q96" s="185" t="e">
        <v>#N/A</v>
      </c>
      <c r="R96" s="185" t="e">
        <v>#N/A</v>
      </c>
      <c r="S96" s="185" t="e">
        <v>#N/A</v>
      </c>
      <c r="T96" s="185" t="e">
        <v>#N/A</v>
      </c>
      <c r="U96" s="185" t="e">
        <v>#N/A</v>
      </c>
      <c r="V96" s="185" t="e">
        <v>#N/A</v>
      </c>
      <c r="W96" s="185" t="e">
        <v>#N/A</v>
      </c>
      <c r="X96" s="185" t="e">
        <v>#N/A</v>
      </c>
      <c r="Y96" s="185" t="e">
        <v>#N/A</v>
      </c>
      <c r="Z96" s="185" t="e">
        <v>#N/A</v>
      </c>
      <c r="AA96" s="185" t="e">
        <v>#N/A</v>
      </c>
      <c r="AB96" s="185" t="e">
        <v>#N/A</v>
      </c>
      <c r="AC96" s="185" t="e">
        <v>#N/A</v>
      </c>
      <c r="AD96" s="185" t="e">
        <v>#N/A</v>
      </c>
      <c r="AE96" s="185" t="e">
        <v>#N/A</v>
      </c>
      <c r="AF96" s="201" t="e">
        <v>#N/A</v>
      </c>
    </row>
    <row r="97" spans="7:32">
      <c r="G97" s="213" t="e">
        <v>#N/A</v>
      </c>
      <c r="H97" s="193" t="e">
        <v>#N/A</v>
      </c>
      <c r="I97" s="185" t="e">
        <v>#N/A</v>
      </c>
      <c r="J97" s="309" t="e">
        <v>#N/A</v>
      </c>
      <c r="K97" s="310" t="e">
        <v>#N/A</v>
      </c>
      <c r="L97" s="237" t="e">
        <v>#N/A</v>
      </c>
      <c r="M97" s="185" t="e">
        <v>#N/A</v>
      </c>
      <c r="N97" s="185" t="e">
        <v>#N/A</v>
      </c>
      <c r="O97" s="185" t="e">
        <v>#N/A</v>
      </c>
      <c r="P97" s="185" t="e">
        <v>#N/A</v>
      </c>
      <c r="Q97" s="185" t="e">
        <v>#N/A</v>
      </c>
      <c r="R97" s="185" t="e">
        <v>#N/A</v>
      </c>
      <c r="S97" s="185" t="e">
        <v>#N/A</v>
      </c>
      <c r="T97" s="185" t="e">
        <v>#N/A</v>
      </c>
      <c r="U97" s="185" t="e">
        <v>#N/A</v>
      </c>
      <c r="V97" s="185" t="e">
        <v>#N/A</v>
      </c>
      <c r="W97" s="185" t="e">
        <v>#N/A</v>
      </c>
      <c r="X97" s="185" t="e">
        <v>#N/A</v>
      </c>
      <c r="Y97" s="185" t="e">
        <v>#N/A</v>
      </c>
      <c r="Z97" s="185" t="e">
        <v>#N/A</v>
      </c>
      <c r="AA97" s="185" t="e">
        <v>#N/A</v>
      </c>
      <c r="AB97" s="185" t="e">
        <v>#N/A</v>
      </c>
      <c r="AC97" s="185" t="e">
        <v>#N/A</v>
      </c>
      <c r="AD97" s="185" t="e">
        <v>#N/A</v>
      </c>
      <c r="AE97" s="185" t="e">
        <v>#N/A</v>
      </c>
      <c r="AF97" s="201" t="e">
        <v>#N/A</v>
      </c>
    </row>
    <row r="98" spans="7:32">
      <c r="G98" s="213" t="e">
        <v>#N/A</v>
      </c>
      <c r="H98" s="193" t="e">
        <v>#N/A</v>
      </c>
      <c r="I98" s="185" t="e">
        <v>#N/A</v>
      </c>
      <c r="J98" s="309" t="e">
        <v>#N/A</v>
      </c>
      <c r="K98" s="310" t="e">
        <v>#N/A</v>
      </c>
      <c r="L98" s="237" t="e">
        <v>#N/A</v>
      </c>
      <c r="M98" s="185" t="e">
        <v>#N/A</v>
      </c>
      <c r="N98" s="185" t="e">
        <v>#N/A</v>
      </c>
      <c r="O98" s="185" t="e">
        <v>#N/A</v>
      </c>
      <c r="P98" s="185" t="e">
        <v>#N/A</v>
      </c>
      <c r="Q98" s="185" t="e">
        <v>#N/A</v>
      </c>
      <c r="R98" s="185" t="e">
        <v>#N/A</v>
      </c>
      <c r="S98" s="185" t="e">
        <v>#N/A</v>
      </c>
      <c r="T98" s="185" t="e">
        <v>#N/A</v>
      </c>
      <c r="U98" s="185" t="e">
        <v>#N/A</v>
      </c>
      <c r="V98" s="185" t="e">
        <v>#N/A</v>
      </c>
      <c r="W98" s="185" t="e">
        <v>#N/A</v>
      </c>
      <c r="X98" s="185" t="e">
        <v>#N/A</v>
      </c>
      <c r="Y98" s="185" t="e">
        <v>#N/A</v>
      </c>
      <c r="Z98" s="185" t="e">
        <v>#N/A</v>
      </c>
      <c r="AA98" s="185" t="e">
        <v>#N/A</v>
      </c>
      <c r="AB98" s="185" t="e">
        <v>#N/A</v>
      </c>
      <c r="AC98" s="185" t="e">
        <v>#N/A</v>
      </c>
      <c r="AD98" s="185" t="e">
        <v>#N/A</v>
      </c>
      <c r="AE98" s="185" t="e">
        <v>#N/A</v>
      </c>
      <c r="AF98" s="201" t="e">
        <v>#N/A</v>
      </c>
    </row>
    <row r="99" spans="7:32">
      <c r="G99" s="213" t="e">
        <v>#N/A</v>
      </c>
      <c r="H99" s="193" t="e">
        <v>#N/A</v>
      </c>
      <c r="I99" s="185" t="e">
        <v>#N/A</v>
      </c>
      <c r="J99" s="309" t="e">
        <v>#N/A</v>
      </c>
      <c r="K99" s="310" t="e">
        <v>#N/A</v>
      </c>
      <c r="L99" s="237" t="e">
        <v>#N/A</v>
      </c>
      <c r="M99" s="185" t="e">
        <v>#N/A</v>
      </c>
      <c r="N99" s="185" t="e">
        <v>#N/A</v>
      </c>
      <c r="O99" s="185" t="e">
        <v>#N/A</v>
      </c>
      <c r="P99" s="185" t="e">
        <v>#N/A</v>
      </c>
      <c r="Q99" s="185" t="e">
        <v>#N/A</v>
      </c>
      <c r="R99" s="185" t="e">
        <v>#N/A</v>
      </c>
      <c r="S99" s="185" t="e">
        <v>#N/A</v>
      </c>
      <c r="T99" s="185" t="e">
        <v>#N/A</v>
      </c>
      <c r="U99" s="185" t="e">
        <v>#N/A</v>
      </c>
      <c r="V99" s="185" t="e">
        <v>#N/A</v>
      </c>
      <c r="W99" s="185" t="e">
        <v>#N/A</v>
      </c>
      <c r="X99" s="185" t="e">
        <v>#N/A</v>
      </c>
      <c r="Y99" s="185" t="e">
        <v>#N/A</v>
      </c>
      <c r="Z99" s="185" t="e">
        <v>#N/A</v>
      </c>
      <c r="AA99" s="185" t="e">
        <v>#N/A</v>
      </c>
      <c r="AB99" s="185" t="e">
        <v>#N/A</v>
      </c>
      <c r="AC99" s="185" t="e">
        <v>#N/A</v>
      </c>
      <c r="AD99" s="185" t="e">
        <v>#N/A</v>
      </c>
      <c r="AE99" s="185" t="e">
        <v>#N/A</v>
      </c>
      <c r="AF99" s="201" t="e">
        <v>#N/A</v>
      </c>
    </row>
    <row r="100" spans="7:32">
      <c r="G100" s="213" t="e">
        <v>#N/A</v>
      </c>
      <c r="H100" s="193" t="e">
        <v>#N/A</v>
      </c>
      <c r="I100" s="185" t="e">
        <v>#N/A</v>
      </c>
      <c r="J100" s="309" t="e">
        <v>#N/A</v>
      </c>
      <c r="K100" s="310" t="e">
        <v>#N/A</v>
      </c>
      <c r="L100" s="237" t="e">
        <v>#N/A</v>
      </c>
      <c r="M100" s="185" t="e">
        <v>#N/A</v>
      </c>
      <c r="N100" s="185" t="e">
        <v>#N/A</v>
      </c>
      <c r="O100" s="185" t="e">
        <v>#N/A</v>
      </c>
      <c r="P100" s="185" t="e">
        <v>#N/A</v>
      </c>
      <c r="Q100" s="185" t="e">
        <v>#N/A</v>
      </c>
      <c r="R100" s="185" t="e">
        <v>#N/A</v>
      </c>
      <c r="S100" s="185" t="e">
        <v>#N/A</v>
      </c>
      <c r="T100" s="185" t="e">
        <v>#N/A</v>
      </c>
      <c r="U100" s="185" t="e">
        <v>#N/A</v>
      </c>
      <c r="V100" s="185" t="e">
        <v>#N/A</v>
      </c>
      <c r="W100" s="185" t="e">
        <v>#N/A</v>
      </c>
      <c r="X100" s="185" t="e">
        <v>#N/A</v>
      </c>
      <c r="Y100" s="185" t="e">
        <v>#N/A</v>
      </c>
      <c r="Z100" s="185" t="e">
        <v>#N/A</v>
      </c>
      <c r="AA100" s="185" t="e">
        <v>#N/A</v>
      </c>
      <c r="AB100" s="185" t="e">
        <v>#N/A</v>
      </c>
      <c r="AC100" s="185" t="e">
        <v>#N/A</v>
      </c>
      <c r="AD100" s="185" t="e">
        <v>#N/A</v>
      </c>
      <c r="AE100" s="185" t="e">
        <v>#N/A</v>
      </c>
      <c r="AF100" s="201" t="e">
        <v>#N/A</v>
      </c>
    </row>
    <row r="101" spans="7:32">
      <c r="G101" s="213" t="e">
        <v>#N/A</v>
      </c>
      <c r="H101" s="193" t="e">
        <v>#N/A</v>
      </c>
      <c r="I101" s="185" t="e">
        <v>#N/A</v>
      </c>
      <c r="J101" s="309" t="e">
        <v>#N/A</v>
      </c>
      <c r="K101" s="310" t="e">
        <v>#N/A</v>
      </c>
      <c r="L101" s="237" t="e">
        <v>#N/A</v>
      </c>
      <c r="M101" s="185" t="e">
        <v>#N/A</v>
      </c>
      <c r="N101" s="185" t="e">
        <v>#N/A</v>
      </c>
      <c r="O101" s="185" t="e">
        <v>#N/A</v>
      </c>
      <c r="P101" s="185" t="e">
        <v>#N/A</v>
      </c>
      <c r="Q101" s="185" t="e">
        <v>#N/A</v>
      </c>
      <c r="R101" s="185" t="e">
        <v>#N/A</v>
      </c>
      <c r="S101" s="185" t="e">
        <v>#N/A</v>
      </c>
      <c r="T101" s="185" t="e">
        <v>#N/A</v>
      </c>
      <c r="U101" s="185" t="e">
        <v>#N/A</v>
      </c>
      <c r="V101" s="185" t="e">
        <v>#N/A</v>
      </c>
      <c r="W101" s="185" t="e">
        <v>#N/A</v>
      </c>
      <c r="X101" s="185" t="e">
        <v>#N/A</v>
      </c>
      <c r="Y101" s="185" t="e">
        <v>#N/A</v>
      </c>
      <c r="Z101" s="185" t="e">
        <v>#N/A</v>
      </c>
      <c r="AA101" s="185" t="e">
        <v>#N/A</v>
      </c>
      <c r="AB101" s="185" t="e">
        <v>#N/A</v>
      </c>
      <c r="AC101" s="185" t="e">
        <v>#N/A</v>
      </c>
      <c r="AD101" s="185" t="e">
        <v>#N/A</v>
      </c>
      <c r="AE101" s="185" t="e">
        <v>#N/A</v>
      </c>
      <c r="AF101" s="201" t="e">
        <v>#N/A</v>
      </c>
    </row>
    <row r="102" spans="7:32">
      <c r="G102" s="213" t="e">
        <v>#N/A</v>
      </c>
      <c r="H102" s="193" t="e">
        <v>#N/A</v>
      </c>
      <c r="I102" s="185" t="e">
        <v>#N/A</v>
      </c>
      <c r="J102" s="309" t="e">
        <v>#N/A</v>
      </c>
      <c r="K102" s="310" t="e">
        <v>#N/A</v>
      </c>
      <c r="L102" s="237" t="e">
        <v>#N/A</v>
      </c>
      <c r="M102" s="185" t="e">
        <v>#N/A</v>
      </c>
      <c r="N102" s="185" t="e">
        <v>#N/A</v>
      </c>
      <c r="O102" s="185" t="e">
        <v>#N/A</v>
      </c>
      <c r="P102" s="185" t="e">
        <v>#N/A</v>
      </c>
      <c r="Q102" s="185" t="e">
        <v>#N/A</v>
      </c>
      <c r="R102" s="185" t="e">
        <v>#N/A</v>
      </c>
      <c r="S102" s="185" t="e">
        <v>#N/A</v>
      </c>
      <c r="T102" s="185" t="e">
        <v>#N/A</v>
      </c>
      <c r="U102" s="185" t="e">
        <v>#N/A</v>
      </c>
      <c r="V102" s="185" t="e">
        <v>#N/A</v>
      </c>
      <c r="W102" s="185" t="e">
        <v>#N/A</v>
      </c>
      <c r="X102" s="185" t="e">
        <v>#N/A</v>
      </c>
      <c r="Y102" s="185" t="e">
        <v>#N/A</v>
      </c>
      <c r="Z102" s="185" t="e">
        <v>#N/A</v>
      </c>
      <c r="AA102" s="185" t="e">
        <v>#N/A</v>
      </c>
      <c r="AB102" s="185" t="e">
        <v>#N/A</v>
      </c>
      <c r="AC102" s="185" t="e">
        <v>#N/A</v>
      </c>
      <c r="AD102" s="185" t="e">
        <v>#N/A</v>
      </c>
      <c r="AE102" s="185" t="e">
        <v>#N/A</v>
      </c>
      <c r="AF102" s="201" t="e">
        <v>#N/A</v>
      </c>
    </row>
    <row r="103" spans="7:32">
      <c r="G103" s="213" t="e">
        <v>#N/A</v>
      </c>
      <c r="H103" s="193" t="e">
        <v>#N/A</v>
      </c>
      <c r="I103" s="185" t="e">
        <v>#N/A</v>
      </c>
      <c r="J103" s="309" t="e">
        <v>#N/A</v>
      </c>
      <c r="K103" s="310" t="e">
        <v>#N/A</v>
      </c>
      <c r="L103" s="237" t="e">
        <v>#N/A</v>
      </c>
      <c r="M103" s="185" t="e">
        <v>#N/A</v>
      </c>
      <c r="N103" s="185" t="e">
        <v>#N/A</v>
      </c>
      <c r="O103" s="185" t="e">
        <v>#N/A</v>
      </c>
      <c r="P103" s="185" t="e">
        <v>#N/A</v>
      </c>
      <c r="Q103" s="185" t="e">
        <v>#N/A</v>
      </c>
      <c r="R103" s="185" t="e">
        <v>#N/A</v>
      </c>
      <c r="S103" s="185" t="e">
        <v>#N/A</v>
      </c>
      <c r="T103" s="185" t="e">
        <v>#N/A</v>
      </c>
      <c r="U103" s="185" t="e">
        <v>#N/A</v>
      </c>
      <c r="V103" s="185" t="e">
        <v>#N/A</v>
      </c>
      <c r="W103" s="185" t="e">
        <v>#N/A</v>
      </c>
      <c r="X103" s="185" t="e">
        <v>#N/A</v>
      </c>
      <c r="Y103" s="185" t="e">
        <v>#N/A</v>
      </c>
      <c r="Z103" s="185" t="e">
        <v>#N/A</v>
      </c>
      <c r="AA103" s="185" t="e">
        <v>#N/A</v>
      </c>
      <c r="AB103" s="185" t="e">
        <v>#N/A</v>
      </c>
      <c r="AC103" s="185" t="e">
        <v>#N/A</v>
      </c>
      <c r="AD103" s="185" t="e">
        <v>#N/A</v>
      </c>
      <c r="AE103" s="185" t="e">
        <v>#N/A</v>
      </c>
      <c r="AF103" s="201" t="e">
        <v>#N/A</v>
      </c>
    </row>
    <row r="104" spans="7:32">
      <c r="G104" s="213" t="e">
        <v>#N/A</v>
      </c>
      <c r="H104" s="193" t="e">
        <v>#N/A</v>
      </c>
      <c r="I104" s="185" t="e">
        <v>#N/A</v>
      </c>
      <c r="J104" s="309" t="e">
        <v>#N/A</v>
      </c>
      <c r="K104" s="310" t="e">
        <v>#N/A</v>
      </c>
      <c r="L104" s="237" t="e">
        <v>#N/A</v>
      </c>
      <c r="M104" s="185" t="e">
        <v>#N/A</v>
      </c>
      <c r="N104" s="185" t="e">
        <v>#N/A</v>
      </c>
      <c r="O104" s="185" t="e">
        <v>#N/A</v>
      </c>
      <c r="P104" s="185" t="e">
        <v>#N/A</v>
      </c>
      <c r="Q104" s="185" t="e">
        <v>#N/A</v>
      </c>
      <c r="R104" s="185" t="e">
        <v>#N/A</v>
      </c>
      <c r="S104" s="185" t="e">
        <v>#N/A</v>
      </c>
      <c r="T104" s="185" t="e">
        <v>#N/A</v>
      </c>
      <c r="U104" s="185" t="e">
        <v>#N/A</v>
      </c>
      <c r="V104" s="185" t="e">
        <v>#N/A</v>
      </c>
      <c r="W104" s="185" t="e">
        <v>#N/A</v>
      </c>
      <c r="X104" s="185" t="e">
        <v>#N/A</v>
      </c>
      <c r="Y104" s="185" t="e">
        <v>#N/A</v>
      </c>
      <c r="Z104" s="185" t="e">
        <v>#N/A</v>
      </c>
      <c r="AA104" s="185" t="e">
        <v>#N/A</v>
      </c>
      <c r="AB104" s="185" t="e">
        <v>#N/A</v>
      </c>
      <c r="AC104" s="185" t="e">
        <v>#N/A</v>
      </c>
      <c r="AD104" s="185" t="e">
        <v>#N/A</v>
      </c>
      <c r="AE104" s="185" t="e">
        <v>#N/A</v>
      </c>
      <c r="AF104" s="201" t="e">
        <v>#N/A</v>
      </c>
    </row>
    <row r="105" spans="7:32">
      <c r="G105" s="213" t="e">
        <v>#N/A</v>
      </c>
      <c r="H105" s="193" t="e">
        <v>#N/A</v>
      </c>
      <c r="I105" s="185" t="e">
        <v>#N/A</v>
      </c>
      <c r="J105" s="309" t="e">
        <v>#N/A</v>
      </c>
      <c r="K105" s="310" t="e">
        <v>#N/A</v>
      </c>
      <c r="L105" s="237" t="e">
        <v>#N/A</v>
      </c>
      <c r="M105" s="185" t="e">
        <v>#N/A</v>
      </c>
      <c r="N105" s="185" t="e">
        <v>#N/A</v>
      </c>
      <c r="O105" s="185" t="e">
        <v>#N/A</v>
      </c>
      <c r="P105" s="185" t="e">
        <v>#N/A</v>
      </c>
      <c r="Q105" s="185" t="e">
        <v>#N/A</v>
      </c>
      <c r="R105" s="185" t="e">
        <v>#N/A</v>
      </c>
      <c r="S105" s="185" t="e">
        <v>#N/A</v>
      </c>
      <c r="T105" s="185" t="e">
        <v>#N/A</v>
      </c>
      <c r="U105" s="185" t="e">
        <v>#N/A</v>
      </c>
      <c r="V105" s="185" t="e">
        <v>#N/A</v>
      </c>
      <c r="W105" s="185" t="e">
        <v>#N/A</v>
      </c>
      <c r="X105" s="185" t="e">
        <v>#N/A</v>
      </c>
      <c r="Y105" s="185" t="e">
        <v>#N/A</v>
      </c>
      <c r="Z105" s="185" t="e">
        <v>#N/A</v>
      </c>
      <c r="AA105" s="185" t="e">
        <v>#N/A</v>
      </c>
      <c r="AB105" s="185" t="e">
        <v>#N/A</v>
      </c>
      <c r="AC105" s="185" t="e">
        <v>#N/A</v>
      </c>
      <c r="AD105" s="185" t="e">
        <v>#N/A</v>
      </c>
      <c r="AE105" s="185" t="e">
        <v>#N/A</v>
      </c>
      <c r="AF105" s="201" t="e">
        <v>#N/A</v>
      </c>
    </row>
    <row r="106" spans="7:32">
      <c r="G106" s="213" t="e">
        <v>#N/A</v>
      </c>
      <c r="H106" s="193" t="e">
        <v>#N/A</v>
      </c>
      <c r="I106" s="185" t="e">
        <v>#N/A</v>
      </c>
      <c r="J106" s="309" t="e">
        <v>#N/A</v>
      </c>
      <c r="K106" s="310" t="e">
        <v>#N/A</v>
      </c>
      <c r="L106" s="237" t="e">
        <v>#N/A</v>
      </c>
      <c r="M106" s="185" t="e">
        <v>#N/A</v>
      </c>
      <c r="N106" s="185" t="e">
        <v>#N/A</v>
      </c>
      <c r="O106" s="185" t="e">
        <v>#N/A</v>
      </c>
      <c r="P106" s="185" t="e">
        <v>#N/A</v>
      </c>
      <c r="Q106" s="185" t="e">
        <v>#N/A</v>
      </c>
      <c r="R106" s="185" t="e">
        <v>#N/A</v>
      </c>
      <c r="S106" s="185" t="e">
        <v>#N/A</v>
      </c>
      <c r="T106" s="185" t="e">
        <v>#N/A</v>
      </c>
      <c r="U106" s="185" t="e">
        <v>#N/A</v>
      </c>
      <c r="V106" s="185" t="e">
        <v>#N/A</v>
      </c>
      <c r="W106" s="185" t="e">
        <v>#N/A</v>
      </c>
      <c r="X106" s="185" t="e">
        <v>#N/A</v>
      </c>
      <c r="Y106" s="185" t="e">
        <v>#N/A</v>
      </c>
      <c r="Z106" s="185" t="e">
        <v>#N/A</v>
      </c>
      <c r="AA106" s="185" t="e">
        <v>#N/A</v>
      </c>
      <c r="AB106" s="185" t="e">
        <v>#N/A</v>
      </c>
      <c r="AC106" s="185" t="e">
        <v>#N/A</v>
      </c>
      <c r="AD106" s="185" t="e">
        <v>#N/A</v>
      </c>
      <c r="AE106" s="185" t="e">
        <v>#N/A</v>
      </c>
      <c r="AF106" s="201" t="e">
        <v>#N/A</v>
      </c>
    </row>
    <row r="107" spans="7:32">
      <c r="G107" s="213" t="e">
        <v>#N/A</v>
      </c>
      <c r="H107" s="193" t="e">
        <v>#N/A</v>
      </c>
      <c r="I107" s="185" t="e">
        <v>#N/A</v>
      </c>
      <c r="J107" s="309" t="e">
        <v>#N/A</v>
      </c>
      <c r="K107" s="310" t="e">
        <v>#N/A</v>
      </c>
      <c r="L107" s="237" t="e">
        <v>#N/A</v>
      </c>
      <c r="M107" s="185" t="e">
        <v>#N/A</v>
      </c>
      <c r="N107" s="185" t="e">
        <v>#N/A</v>
      </c>
      <c r="O107" s="185" t="e">
        <v>#N/A</v>
      </c>
      <c r="P107" s="185" t="e">
        <v>#N/A</v>
      </c>
      <c r="Q107" s="185" t="e">
        <v>#N/A</v>
      </c>
      <c r="R107" s="185" t="e">
        <v>#N/A</v>
      </c>
      <c r="S107" s="185" t="e">
        <v>#N/A</v>
      </c>
      <c r="T107" s="185" t="e">
        <v>#N/A</v>
      </c>
      <c r="U107" s="185" t="e">
        <v>#N/A</v>
      </c>
      <c r="V107" s="185" t="e">
        <v>#N/A</v>
      </c>
      <c r="W107" s="185" t="e">
        <v>#N/A</v>
      </c>
      <c r="X107" s="185" t="e">
        <v>#N/A</v>
      </c>
      <c r="Y107" s="185" t="e">
        <v>#N/A</v>
      </c>
      <c r="Z107" s="185" t="e">
        <v>#N/A</v>
      </c>
      <c r="AA107" s="185" t="e">
        <v>#N/A</v>
      </c>
      <c r="AB107" s="185" t="e">
        <v>#N/A</v>
      </c>
      <c r="AC107" s="185" t="e">
        <v>#N/A</v>
      </c>
      <c r="AD107" s="185" t="e">
        <v>#N/A</v>
      </c>
      <c r="AE107" s="185" t="e">
        <v>#N/A</v>
      </c>
      <c r="AF107" s="201" t="e">
        <v>#N/A</v>
      </c>
    </row>
    <row r="108" spans="7:32">
      <c r="G108" s="213" t="e">
        <v>#N/A</v>
      </c>
      <c r="H108" s="193" t="e">
        <v>#N/A</v>
      </c>
      <c r="I108" s="185" t="e">
        <v>#N/A</v>
      </c>
      <c r="J108" s="309" t="e">
        <v>#N/A</v>
      </c>
      <c r="K108" s="310" t="e">
        <v>#N/A</v>
      </c>
      <c r="L108" s="237" t="e">
        <v>#N/A</v>
      </c>
      <c r="M108" s="185" t="e">
        <v>#N/A</v>
      </c>
      <c r="N108" s="185" t="e">
        <v>#N/A</v>
      </c>
      <c r="O108" s="185" t="e">
        <v>#N/A</v>
      </c>
      <c r="P108" s="185" t="e">
        <v>#N/A</v>
      </c>
      <c r="Q108" s="185" t="e">
        <v>#N/A</v>
      </c>
      <c r="R108" s="185" t="e">
        <v>#N/A</v>
      </c>
      <c r="S108" s="185" t="e">
        <v>#N/A</v>
      </c>
      <c r="T108" s="185" t="e">
        <v>#N/A</v>
      </c>
      <c r="U108" s="185" t="e">
        <v>#N/A</v>
      </c>
      <c r="V108" s="185" t="e">
        <v>#N/A</v>
      </c>
      <c r="W108" s="185" t="e">
        <v>#N/A</v>
      </c>
      <c r="X108" s="185" t="e">
        <v>#N/A</v>
      </c>
      <c r="Y108" s="185" t="e">
        <v>#N/A</v>
      </c>
      <c r="Z108" s="185" t="e">
        <v>#N/A</v>
      </c>
      <c r="AA108" s="185" t="e">
        <v>#N/A</v>
      </c>
      <c r="AB108" s="185" t="e">
        <v>#N/A</v>
      </c>
      <c r="AC108" s="185" t="e">
        <v>#N/A</v>
      </c>
      <c r="AD108" s="185" t="e">
        <v>#N/A</v>
      </c>
      <c r="AE108" s="185" t="e">
        <v>#N/A</v>
      </c>
      <c r="AF108" s="201" t="e">
        <v>#N/A</v>
      </c>
    </row>
    <row r="109" spans="7:32">
      <c r="G109" s="213" t="e">
        <v>#N/A</v>
      </c>
      <c r="H109" s="193" t="e">
        <v>#N/A</v>
      </c>
      <c r="I109" s="185" t="e">
        <v>#N/A</v>
      </c>
      <c r="J109" s="309" t="e">
        <v>#N/A</v>
      </c>
      <c r="K109" s="310" t="e">
        <v>#N/A</v>
      </c>
      <c r="L109" s="237" t="e">
        <v>#N/A</v>
      </c>
      <c r="M109" s="185" t="e">
        <v>#N/A</v>
      </c>
      <c r="N109" s="185" t="e">
        <v>#N/A</v>
      </c>
      <c r="O109" s="185" t="e">
        <v>#N/A</v>
      </c>
      <c r="P109" s="185" t="e">
        <v>#N/A</v>
      </c>
      <c r="Q109" s="185" t="e">
        <v>#N/A</v>
      </c>
      <c r="R109" s="185" t="e">
        <v>#N/A</v>
      </c>
      <c r="S109" s="185" t="e">
        <v>#N/A</v>
      </c>
      <c r="T109" s="185" t="e">
        <v>#N/A</v>
      </c>
      <c r="U109" s="185" t="e">
        <v>#N/A</v>
      </c>
      <c r="V109" s="185" t="e">
        <v>#N/A</v>
      </c>
      <c r="W109" s="185" t="e">
        <v>#N/A</v>
      </c>
      <c r="X109" s="185" t="e">
        <v>#N/A</v>
      </c>
      <c r="Y109" s="185" t="e">
        <v>#N/A</v>
      </c>
      <c r="Z109" s="185" t="e">
        <v>#N/A</v>
      </c>
      <c r="AA109" s="185" t="e">
        <v>#N/A</v>
      </c>
      <c r="AB109" s="185" t="e">
        <v>#N/A</v>
      </c>
      <c r="AC109" s="185" t="e">
        <v>#N/A</v>
      </c>
      <c r="AD109" s="185" t="e">
        <v>#N/A</v>
      </c>
      <c r="AE109" s="185" t="e">
        <v>#N/A</v>
      </c>
      <c r="AF109" s="201" t="e">
        <v>#N/A</v>
      </c>
    </row>
    <row r="110" spans="7:32">
      <c r="G110" s="213" t="e">
        <v>#N/A</v>
      </c>
      <c r="H110" s="193" t="e">
        <v>#N/A</v>
      </c>
      <c r="I110" s="185" t="e">
        <v>#N/A</v>
      </c>
      <c r="J110" s="309" t="e">
        <v>#N/A</v>
      </c>
      <c r="K110" s="310" t="e">
        <v>#N/A</v>
      </c>
      <c r="L110" s="237" t="e">
        <v>#N/A</v>
      </c>
      <c r="M110" s="185" t="e">
        <v>#N/A</v>
      </c>
      <c r="N110" s="185" t="e">
        <v>#N/A</v>
      </c>
      <c r="O110" s="185" t="e">
        <v>#N/A</v>
      </c>
      <c r="P110" s="185" t="e">
        <v>#N/A</v>
      </c>
      <c r="Q110" s="185" t="e">
        <v>#N/A</v>
      </c>
      <c r="R110" s="185" t="e">
        <v>#N/A</v>
      </c>
      <c r="S110" s="185" t="e">
        <v>#N/A</v>
      </c>
      <c r="T110" s="185" t="e">
        <v>#N/A</v>
      </c>
      <c r="U110" s="185" t="e">
        <v>#N/A</v>
      </c>
      <c r="V110" s="185" t="e">
        <v>#N/A</v>
      </c>
      <c r="W110" s="185" t="e">
        <v>#N/A</v>
      </c>
      <c r="X110" s="185" t="e">
        <v>#N/A</v>
      </c>
      <c r="Y110" s="185" t="e">
        <v>#N/A</v>
      </c>
      <c r="Z110" s="185" t="e">
        <v>#N/A</v>
      </c>
      <c r="AA110" s="185" t="e">
        <v>#N/A</v>
      </c>
      <c r="AB110" s="185" t="e">
        <v>#N/A</v>
      </c>
      <c r="AC110" s="185" t="e">
        <v>#N/A</v>
      </c>
      <c r="AD110" s="185" t="e">
        <v>#N/A</v>
      </c>
      <c r="AE110" s="185" t="e">
        <v>#N/A</v>
      </c>
      <c r="AF110" s="201" t="e">
        <v>#N/A</v>
      </c>
    </row>
    <row r="111" spans="7:32">
      <c r="G111" s="213" t="e">
        <v>#N/A</v>
      </c>
      <c r="H111" s="193" t="e">
        <v>#N/A</v>
      </c>
      <c r="I111" s="185" t="e">
        <v>#N/A</v>
      </c>
      <c r="J111" s="309" t="e">
        <v>#N/A</v>
      </c>
      <c r="K111" s="310" t="e">
        <v>#N/A</v>
      </c>
      <c r="L111" s="237" t="e">
        <v>#N/A</v>
      </c>
      <c r="M111" s="185" t="e">
        <v>#N/A</v>
      </c>
      <c r="N111" s="185" t="e">
        <v>#N/A</v>
      </c>
      <c r="O111" s="185" t="e">
        <v>#N/A</v>
      </c>
      <c r="P111" s="185" t="e">
        <v>#N/A</v>
      </c>
      <c r="Q111" s="185" t="e">
        <v>#N/A</v>
      </c>
      <c r="R111" s="185" t="e">
        <v>#N/A</v>
      </c>
      <c r="S111" s="185" t="e">
        <v>#N/A</v>
      </c>
      <c r="T111" s="185" t="e">
        <v>#N/A</v>
      </c>
      <c r="U111" s="185" t="e">
        <v>#N/A</v>
      </c>
      <c r="V111" s="185" t="e">
        <v>#N/A</v>
      </c>
      <c r="W111" s="185" t="e">
        <v>#N/A</v>
      </c>
      <c r="X111" s="185" t="e">
        <v>#N/A</v>
      </c>
      <c r="Y111" s="185" t="e">
        <v>#N/A</v>
      </c>
      <c r="Z111" s="185" t="e">
        <v>#N/A</v>
      </c>
      <c r="AA111" s="185" t="e">
        <v>#N/A</v>
      </c>
      <c r="AB111" s="185" t="e">
        <v>#N/A</v>
      </c>
      <c r="AC111" s="185" t="e">
        <v>#N/A</v>
      </c>
      <c r="AD111" s="185" t="e">
        <v>#N/A</v>
      </c>
      <c r="AE111" s="185" t="e">
        <v>#N/A</v>
      </c>
      <c r="AF111" s="201" t="e">
        <v>#N/A</v>
      </c>
    </row>
    <row r="112" spans="7:32">
      <c r="G112" s="213" t="e">
        <v>#N/A</v>
      </c>
      <c r="H112" s="193" t="e">
        <v>#N/A</v>
      </c>
      <c r="I112" s="185" t="e">
        <v>#N/A</v>
      </c>
      <c r="J112" s="309" t="e">
        <v>#N/A</v>
      </c>
      <c r="K112" s="310" t="e">
        <v>#N/A</v>
      </c>
      <c r="L112" s="237" t="e">
        <v>#N/A</v>
      </c>
      <c r="M112" s="185" t="e">
        <v>#N/A</v>
      </c>
      <c r="N112" s="185" t="e">
        <v>#N/A</v>
      </c>
      <c r="O112" s="185" t="e">
        <v>#N/A</v>
      </c>
      <c r="P112" s="185" t="e">
        <v>#N/A</v>
      </c>
      <c r="Q112" s="185" t="e">
        <v>#N/A</v>
      </c>
      <c r="R112" s="185" t="e">
        <v>#N/A</v>
      </c>
      <c r="S112" s="185" t="e">
        <v>#N/A</v>
      </c>
      <c r="T112" s="185" t="e">
        <v>#N/A</v>
      </c>
      <c r="U112" s="185" t="e">
        <v>#N/A</v>
      </c>
      <c r="V112" s="185" t="e">
        <v>#N/A</v>
      </c>
      <c r="W112" s="185" t="e">
        <v>#N/A</v>
      </c>
      <c r="X112" s="185" t="e">
        <v>#N/A</v>
      </c>
      <c r="Y112" s="185" t="e">
        <v>#N/A</v>
      </c>
      <c r="Z112" s="185" t="e">
        <v>#N/A</v>
      </c>
      <c r="AA112" s="185" t="e">
        <v>#N/A</v>
      </c>
      <c r="AB112" s="185" t="e">
        <v>#N/A</v>
      </c>
      <c r="AC112" s="185" t="e">
        <v>#N/A</v>
      </c>
      <c r="AD112" s="185" t="e">
        <v>#N/A</v>
      </c>
      <c r="AE112" s="185" t="e">
        <v>#N/A</v>
      </c>
      <c r="AF112" s="201" t="e">
        <v>#N/A</v>
      </c>
    </row>
    <row r="113" spans="7:32">
      <c r="G113" s="213" t="e">
        <v>#N/A</v>
      </c>
      <c r="H113" s="193" t="e">
        <v>#N/A</v>
      </c>
      <c r="I113" s="185" t="e">
        <v>#N/A</v>
      </c>
      <c r="J113" s="309" t="e">
        <v>#N/A</v>
      </c>
      <c r="K113" s="310" t="e">
        <v>#N/A</v>
      </c>
      <c r="L113" s="237" t="e">
        <v>#N/A</v>
      </c>
      <c r="M113" s="185" t="e">
        <v>#N/A</v>
      </c>
      <c r="N113" s="185" t="e">
        <v>#N/A</v>
      </c>
      <c r="O113" s="185" t="e">
        <v>#N/A</v>
      </c>
      <c r="P113" s="185" t="e">
        <v>#N/A</v>
      </c>
      <c r="Q113" s="185" t="e">
        <v>#N/A</v>
      </c>
      <c r="R113" s="185" t="e">
        <v>#N/A</v>
      </c>
      <c r="S113" s="185" t="e">
        <v>#N/A</v>
      </c>
      <c r="T113" s="185" t="e">
        <v>#N/A</v>
      </c>
      <c r="U113" s="185" t="e">
        <v>#N/A</v>
      </c>
      <c r="V113" s="185" t="e">
        <v>#N/A</v>
      </c>
      <c r="W113" s="185" t="e">
        <v>#N/A</v>
      </c>
      <c r="X113" s="185" t="e">
        <v>#N/A</v>
      </c>
      <c r="Y113" s="185" t="e">
        <v>#N/A</v>
      </c>
      <c r="Z113" s="185" t="e">
        <v>#N/A</v>
      </c>
      <c r="AA113" s="185" t="e">
        <v>#N/A</v>
      </c>
      <c r="AB113" s="185" t="e">
        <v>#N/A</v>
      </c>
      <c r="AC113" s="185" t="e">
        <v>#N/A</v>
      </c>
      <c r="AD113" s="185" t="e">
        <v>#N/A</v>
      </c>
      <c r="AE113" s="185" t="e">
        <v>#N/A</v>
      </c>
      <c r="AF113" s="201" t="e">
        <v>#N/A</v>
      </c>
    </row>
    <row r="114" spans="7:32">
      <c r="G114" s="213" t="e">
        <v>#N/A</v>
      </c>
      <c r="H114" s="193" t="e">
        <v>#N/A</v>
      </c>
      <c r="I114" s="185" t="e">
        <v>#N/A</v>
      </c>
      <c r="J114" s="309" t="e">
        <v>#N/A</v>
      </c>
      <c r="K114" s="310" t="e">
        <v>#N/A</v>
      </c>
      <c r="L114" s="237" t="e">
        <v>#N/A</v>
      </c>
      <c r="M114" s="185" t="e">
        <v>#N/A</v>
      </c>
      <c r="N114" s="185" t="e">
        <v>#N/A</v>
      </c>
      <c r="O114" s="185" t="e">
        <v>#N/A</v>
      </c>
      <c r="P114" s="185" t="e">
        <v>#N/A</v>
      </c>
      <c r="Q114" s="185" t="e">
        <v>#N/A</v>
      </c>
      <c r="R114" s="185" t="e">
        <v>#N/A</v>
      </c>
      <c r="S114" s="185" t="e">
        <v>#N/A</v>
      </c>
      <c r="T114" s="185" t="e">
        <v>#N/A</v>
      </c>
      <c r="U114" s="185" t="e">
        <v>#N/A</v>
      </c>
      <c r="V114" s="185" t="e">
        <v>#N/A</v>
      </c>
      <c r="W114" s="185" t="e">
        <v>#N/A</v>
      </c>
      <c r="X114" s="185" t="e">
        <v>#N/A</v>
      </c>
      <c r="Y114" s="185" t="e">
        <v>#N/A</v>
      </c>
      <c r="Z114" s="185" t="e">
        <v>#N/A</v>
      </c>
      <c r="AA114" s="185" t="e">
        <v>#N/A</v>
      </c>
      <c r="AB114" s="185" t="e">
        <v>#N/A</v>
      </c>
      <c r="AC114" s="185" t="e">
        <v>#N/A</v>
      </c>
      <c r="AD114" s="185" t="e">
        <v>#N/A</v>
      </c>
      <c r="AE114" s="185" t="e">
        <v>#N/A</v>
      </c>
      <c r="AF114" s="201" t="e">
        <v>#N/A</v>
      </c>
    </row>
    <row r="115" spans="7:32">
      <c r="G115" s="213" t="e">
        <v>#N/A</v>
      </c>
      <c r="H115" s="193" t="e">
        <v>#N/A</v>
      </c>
      <c r="I115" s="185" t="e">
        <v>#N/A</v>
      </c>
      <c r="J115" s="309" t="e">
        <v>#N/A</v>
      </c>
      <c r="K115" s="310" t="e">
        <v>#N/A</v>
      </c>
      <c r="L115" s="237" t="e">
        <v>#N/A</v>
      </c>
      <c r="M115" s="185" t="e">
        <v>#N/A</v>
      </c>
      <c r="N115" s="185" t="e">
        <v>#N/A</v>
      </c>
      <c r="O115" s="185" t="e">
        <v>#N/A</v>
      </c>
      <c r="P115" s="185" t="e">
        <v>#N/A</v>
      </c>
      <c r="Q115" s="185" t="e">
        <v>#N/A</v>
      </c>
      <c r="R115" s="185" t="e">
        <v>#N/A</v>
      </c>
      <c r="S115" s="185" t="e">
        <v>#N/A</v>
      </c>
      <c r="T115" s="185" t="e">
        <v>#N/A</v>
      </c>
      <c r="U115" s="185" t="e">
        <v>#N/A</v>
      </c>
      <c r="V115" s="185" t="e">
        <v>#N/A</v>
      </c>
      <c r="W115" s="185" t="e">
        <v>#N/A</v>
      </c>
      <c r="X115" s="185" t="e">
        <v>#N/A</v>
      </c>
      <c r="Y115" s="185" t="e">
        <v>#N/A</v>
      </c>
      <c r="Z115" s="185" t="e">
        <v>#N/A</v>
      </c>
      <c r="AA115" s="185" t="e">
        <v>#N/A</v>
      </c>
      <c r="AB115" s="185" t="e">
        <v>#N/A</v>
      </c>
      <c r="AC115" s="185" t="e">
        <v>#N/A</v>
      </c>
      <c r="AD115" s="185" t="e">
        <v>#N/A</v>
      </c>
      <c r="AE115" s="185" t="e">
        <v>#N/A</v>
      </c>
      <c r="AF115" s="201" t="e">
        <v>#N/A</v>
      </c>
    </row>
    <row r="116" spans="7:32">
      <c r="G116" s="213" t="e">
        <v>#N/A</v>
      </c>
      <c r="H116" s="193" t="e">
        <v>#N/A</v>
      </c>
      <c r="I116" s="185" t="e">
        <v>#N/A</v>
      </c>
      <c r="J116" s="309" t="e">
        <v>#N/A</v>
      </c>
      <c r="K116" s="310" t="e">
        <v>#N/A</v>
      </c>
      <c r="L116" s="237" t="e">
        <v>#N/A</v>
      </c>
      <c r="M116" s="185" t="e">
        <v>#N/A</v>
      </c>
      <c r="N116" s="185" t="e">
        <v>#N/A</v>
      </c>
      <c r="O116" s="185" t="e">
        <v>#N/A</v>
      </c>
      <c r="P116" s="185" t="e">
        <v>#N/A</v>
      </c>
      <c r="Q116" s="185" t="e">
        <v>#N/A</v>
      </c>
      <c r="R116" s="185" t="e">
        <v>#N/A</v>
      </c>
      <c r="S116" s="185" t="e">
        <v>#N/A</v>
      </c>
      <c r="T116" s="185" t="e">
        <v>#N/A</v>
      </c>
      <c r="U116" s="185" t="e">
        <v>#N/A</v>
      </c>
      <c r="V116" s="185" t="e">
        <v>#N/A</v>
      </c>
      <c r="W116" s="185" t="e">
        <v>#N/A</v>
      </c>
      <c r="X116" s="185" t="e">
        <v>#N/A</v>
      </c>
      <c r="Y116" s="185" t="e">
        <v>#N/A</v>
      </c>
      <c r="Z116" s="185" t="e">
        <v>#N/A</v>
      </c>
      <c r="AA116" s="185" t="e">
        <v>#N/A</v>
      </c>
      <c r="AB116" s="185" t="e">
        <v>#N/A</v>
      </c>
      <c r="AC116" s="185" t="e">
        <v>#N/A</v>
      </c>
      <c r="AD116" s="185" t="e">
        <v>#N/A</v>
      </c>
      <c r="AE116" s="185" t="e">
        <v>#N/A</v>
      </c>
      <c r="AF116" s="201" t="e">
        <v>#N/A</v>
      </c>
    </row>
    <row r="117" spans="7:32">
      <c r="G117" s="213" t="e">
        <v>#N/A</v>
      </c>
      <c r="H117" s="193" t="e">
        <v>#N/A</v>
      </c>
      <c r="I117" s="185" t="e">
        <v>#N/A</v>
      </c>
      <c r="J117" s="309" t="e">
        <v>#N/A</v>
      </c>
      <c r="K117" s="310" t="e">
        <v>#N/A</v>
      </c>
      <c r="L117" s="237" t="e">
        <v>#N/A</v>
      </c>
      <c r="M117" s="185" t="e">
        <v>#N/A</v>
      </c>
      <c r="N117" s="185" t="e">
        <v>#N/A</v>
      </c>
      <c r="O117" s="185" t="e">
        <v>#N/A</v>
      </c>
      <c r="P117" s="185" t="e">
        <v>#N/A</v>
      </c>
      <c r="Q117" s="185" t="e">
        <v>#N/A</v>
      </c>
      <c r="R117" s="185" t="e">
        <v>#N/A</v>
      </c>
      <c r="S117" s="185" t="e">
        <v>#N/A</v>
      </c>
      <c r="T117" s="185" t="e">
        <v>#N/A</v>
      </c>
      <c r="U117" s="185" t="e">
        <v>#N/A</v>
      </c>
      <c r="V117" s="185" t="e">
        <v>#N/A</v>
      </c>
      <c r="W117" s="185" t="e">
        <v>#N/A</v>
      </c>
      <c r="X117" s="185" t="e">
        <v>#N/A</v>
      </c>
      <c r="Y117" s="185" t="e">
        <v>#N/A</v>
      </c>
      <c r="Z117" s="185" t="e">
        <v>#N/A</v>
      </c>
      <c r="AA117" s="185" t="e">
        <v>#N/A</v>
      </c>
      <c r="AB117" s="185" t="e">
        <v>#N/A</v>
      </c>
      <c r="AC117" s="185" t="e">
        <v>#N/A</v>
      </c>
      <c r="AD117" s="185" t="e">
        <v>#N/A</v>
      </c>
      <c r="AE117" s="185" t="e">
        <v>#N/A</v>
      </c>
      <c r="AF117" s="201" t="e">
        <v>#N/A</v>
      </c>
    </row>
    <row r="118" spans="7:32">
      <c r="G118" s="213" t="e">
        <v>#N/A</v>
      </c>
      <c r="H118" s="193" t="e">
        <v>#N/A</v>
      </c>
      <c r="I118" s="185" t="e">
        <v>#N/A</v>
      </c>
      <c r="J118" s="309" t="e">
        <v>#N/A</v>
      </c>
      <c r="K118" s="310" t="e">
        <v>#N/A</v>
      </c>
      <c r="L118" s="237" t="e">
        <v>#N/A</v>
      </c>
      <c r="M118" s="185" t="e">
        <v>#N/A</v>
      </c>
      <c r="N118" s="185" t="e">
        <v>#N/A</v>
      </c>
      <c r="O118" s="185" t="e">
        <v>#N/A</v>
      </c>
      <c r="P118" s="185" t="e">
        <v>#N/A</v>
      </c>
      <c r="Q118" s="185" t="e">
        <v>#N/A</v>
      </c>
      <c r="R118" s="185" t="e">
        <v>#N/A</v>
      </c>
      <c r="S118" s="185" t="e">
        <v>#N/A</v>
      </c>
      <c r="T118" s="185" t="e">
        <v>#N/A</v>
      </c>
      <c r="U118" s="185" t="e">
        <v>#N/A</v>
      </c>
      <c r="V118" s="185" t="e">
        <v>#N/A</v>
      </c>
      <c r="W118" s="185" t="e">
        <v>#N/A</v>
      </c>
      <c r="X118" s="185" t="e">
        <v>#N/A</v>
      </c>
      <c r="Y118" s="185" t="e">
        <v>#N/A</v>
      </c>
      <c r="Z118" s="185" t="e">
        <v>#N/A</v>
      </c>
      <c r="AA118" s="185" t="e">
        <v>#N/A</v>
      </c>
      <c r="AB118" s="185" t="e">
        <v>#N/A</v>
      </c>
      <c r="AC118" s="185" t="e">
        <v>#N/A</v>
      </c>
      <c r="AD118" s="185" t="e">
        <v>#N/A</v>
      </c>
      <c r="AE118" s="185" t="e">
        <v>#N/A</v>
      </c>
      <c r="AF118" s="201" t="e">
        <v>#N/A</v>
      </c>
    </row>
    <row r="119" spans="7:32">
      <c r="G119" s="213" t="e">
        <v>#N/A</v>
      </c>
      <c r="H119" s="193" t="e">
        <v>#N/A</v>
      </c>
      <c r="I119" s="185" t="e">
        <v>#N/A</v>
      </c>
      <c r="J119" s="309" t="e">
        <v>#N/A</v>
      </c>
      <c r="K119" s="310" t="e">
        <v>#N/A</v>
      </c>
      <c r="L119" s="237" t="e">
        <v>#N/A</v>
      </c>
      <c r="M119" s="185" t="e">
        <v>#N/A</v>
      </c>
      <c r="N119" s="185" t="e">
        <v>#N/A</v>
      </c>
      <c r="O119" s="185" t="e">
        <v>#N/A</v>
      </c>
      <c r="P119" s="185" t="e">
        <v>#N/A</v>
      </c>
      <c r="Q119" s="185" t="e">
        <v>#N/A</v>
      </c>
      <c r="R119" s="185" t="e">
        <v>#N/A</v>
      </c>
      <c r="S119" s="185" t="e">
        <v>#N/A</v>
      </c>
      <c r="T119" s="185" t="e">
        <v>#N/A</v>
      </c>
      <c r="U119" s="185" t="e">
        <v>#N/A</v>
      </c>
      <c r="V119" s="185" t="e">
        <v>#N/A</v>
      </c>
      <c r="W119" s="185" t="e">
        <v>#N/A</v>
      </c>
      <c r="X119" s="185" t="e">
        <v>#N/A</v>
      </c>
      <c r="Y119" s="185" t="e">
        <v>#N/A</v>
      </c>
      <c r="Z119" s="185" t="e">
        <v>#N/A</v>
      </c>
      <c r="AA119" s="185" t="e">
        <v>#N/A</v>
      </c>
      <c r="AB119" s="185" t="e">
        <v>#N/A</v>
      </c>
      <c r="AC119" s="185" t="e">
        <v>#N/A</v>
      </c>
      <c r="AD119" s="185" t="e">
        <v>#N/A</v>
      </c>
      <c r="AE119" s="185" t="e">
        <v>#N/A</v>
      </c>
      <c r="AF119" s="201" t="e">
        <v>#N/A</v>
      </c>
    </row>
    <row r="120" spans="7:32">
      <c r="G120" s="213" t="e">
        <v>#N/A</v>
      </c>
      <c r="H120" s="193" t="e">
        <v>#N/A</v>
      </c>
      <c r="I120" s="185" t="e">
        <v>#N/A</v>
      </c>
      <c r="J120" s="309" t="e">
        <v>#N/A</v>
      </c>
      <c r="K120" s="310" t="e">
        <v>#N/A</v>
      </c>
      <c r="L120" s="237" t="e">
        <v>#N/A</v>
      </c>
      <c r="M120" s="185" t="e">
        <v>#N/A</v>
      </c>
      <c r="N120" s="185" t="e">
        <v>#N/A</v>
      </c>
      <c r="O120" s="185" t="e">
        <v>#N/A</v>
      </c>
      <c r="P120" s="185" t="e">
        <v>#N/A</v>
      </c>
      <c r="Q120" s="185" t="e">
        <v>#N/A</v>
      </c>
      <c r="R120" s="185" t="e">
        <v>#N/A</v>
      </c>
      <c r="S120" s="185" t="e">
        <v>#N/A</v>
      </c>
      <c r="T120" s="185" t="e">
        <v>#N/A</v>
      </c>
      <c r="U120" s="185" t="e">
        <v>#N/A</v>
      </c>
      <c r="V120" s="185" t="e">
        <v>#N/A</v>
      </c>
      <c r="W120" s="185" t="e">
        <v>#N/A</v>
      </c>
      <c r="X120" s="185" t="e">
        <v>#N/A</v>
      </c>
      <c r="Y120" s="185" t="e">
        <v>#N/A</v>
      </c>
      <c r="Z120" s="185" t="e">
        <v>#N/A</v>
      </c>
      <c r="AA120" s="185" t="e">
        <v>#N/A</v>
      </c>
      <c r="AB120" s="185" t="e">
        <v>#N/A</v>
      </c>
      <c r="AC120" s="185" t="e">
        <v>#N/A</v>
      </c>
      <c r="AD120" s="185" t="e">
        <v>#N/A</v>
      </c>
      <c r="AE120" s="185" t="e">
        <v>#N/A</v>
      </c>
      <c r="AF120" s="201" t="e">
        <v>#N/A</v>
      </c>
    </row>
    <row r="121" spans="7:32">
      <c r="G121" s="213" t="e">
        <v>#N/A</v>
      </c>
      <c r="H121" s="193" t="e">
        <v>#N/A</v>
      </c>
      <c r="I121" s="185" t="e">
        <v>#N/A</v>
      </c>
      <c r="J121" s="309" t="e">
        <v>#N/A</v>
      </c>
      <c r="K121" s="310" t="e">
        <v>#N/A</v>
      </c>
      <c r="L121" s="237" t="e">
        <v>#N/A</v>
      </c>
      <c r="M121" s="185" t="e">
        <v>#N/A</v>
      </c>
      <c r="N121" s="185" t="e">
        <v>#N/A</v>
      </c>
      <c r="O121" s="185" t="e">
        <v>#N/A</v>
      </c>
      <c r="P121" s="185" t="e">
        <v>#N/A</v>
      </c>
      <c r="Q121" s="185" t="e">
        <v>#N/A</v>
      </c>
      <c r="R121" s="185" t="e">
        <v>#N/A</v>
      </c>
      <c r="S121" s="185" t="e">
        <v>#N/A</v>
      </c>
      <c r="T121" s="185" t="e">
        <v>#N/A</v>
      </c>
      <c r="U121" s="185" t="e">
        <v>#N/A</v>
      </c>
      <c r="V121" s="185" t="e">
        <v>#N/A</v>
      </c>
      <c r="W121" s="185" t="e">
        <v>#N/A</v>
      </c>
      <c r="X121" s="185" t="e">
        <v>#N/A</v>
      </c>
      <c r="Y121" s="185" t="e">
        <v>#N/A</v>
      </c>
      <c r="Z121" s="185" t="e">
        <v>#N/A</v>
      </c>
      <c r="AA121" s="185" t="e">
        <v>#N/A</v>
      </c>
      <c r="AB121" s="185" t="e">
        <v>#N/A</v>
      </c>
      <c r="AC121" s="185" t="e">
        <v>#N/A</v>
      </c>
      <c r="AD121" s="185" t="e">
        <v>#N/A</v>
      </c>
      <c r="AE121" s="185" t="e">
        <v>#N/A</v>
      </c>
      <c r="AF121" s="201" t="e">
        <v>#N/A</v>
      </c>
    </row>
    <row r="122" spans="7:32">
      <c r="G122" s="213" t="e">
        <v>#N/A</v>
      </c>
      <c r="H122" s="193" t="e">
        <v>#N/A</v>
      </c>
      <c r="I122" s="185" t="e">
        <v>#N/A</v>
      </c>
      <c r="J122" s="309" t="e">
        <v>#N/A</v>
      </c>
      <c r="K122" s="310" t="e">
        <v>#N/A</v>
      </c>
      <c r="L122" s="237" t="e">
        <v>#N/A</v>
      </c>
      <c r="M122" s="185" t="e">
        <v>#N/A</v>
      </c>
      <c r="N122" s="185" t="e">
        <v>#N/A</v>
      </c>
      <c r="O122" s="185" t="e">
        <v>#N/A</v>
      </c>
      <c r="P122" s="185" t="e">
        <v>#N/A</v>
      </c>
      <c r="Q122" s="185" t="e">
        <v>#N/A</v>
      </c>
      <c r="R122" s="185" t="e">
        <v>#N/A</v>
      </c>
      <c r="S122" s="185" t="e">
        <v>#N/A</v>
      </c>
      <c r="T122" s="185" t="e">
        <v>#N/A</v>
      </c>
      <c r="U122" s="185" t="e">
        <v>#N/A</v>
      </c>
      <c r="V122" s="185" t="e">
        <v>#N/A</v>
      </c>
      <c r="W122" s="185" t="e">
        <v>#N/A</v>
      </c>
      <c r="X122" s="185" t="e">
        <v>#N/A</v>
      </c>
      <c r="Y122" s="185" t="e">
        <v>#N/A</v>
      </c>
      <c r="Z122" s="185" t="e">
        <v>#N/A</v>
      </c>
      <c r="AA122" s="185" t="e">
        <v>#N/A</v>
      </c>
      <c r="AB122" s="185" t="e">
        <v>#N/A</v>
      </c>
      <c r="AC122" s="185" t="e">
        <v>#N/A</v>
      </c>
      <c r="AD122" s="185" t="e">
        <v>#N/A</v>
      </c>
      <c r="AE122" s="185" t="e">
        <v>#N/A</v>
      </c>
      <c r="AF122" s="201" t="e">
        <v>#N/A</v>
      </c>
    </row>
    <row r="123" spans="7:32">
      <c r="G123" s="213" t="e">
        <v>#N/A</v>
      </c>
      <c r="H123" s="193" t="e">
        <v>#N/A</v>
      </c>
      <c r="I123" s="185" t="e">
        <v>#N/A</v>
      </c>
      <c r="J123" s="309" t="e">
        <v>#N/A</v>
      </c>
      <c r="K123" s="310" t="e">
        <v>#N/A</v>
      </c>
      <c r="L123" s="237" t="e">
        <v>#N/A</v>
      </c>
      <c r="M123" s="185" t="e">
        <v>#N/A</v>
      </c>
      <c r="N123" s="185" t="e">
        <v>#N/A</v>
      </c>
      <c r="O123" s="185" t="e">
        <v>#N/A</v>
      </c>
      <c r="P123" s="185" t="e">
        <v>#N/A</v>
      </c>
      <c r="Q123" s="185" t="e">
        <v>#N/A</v>
      </c>
      <c r="R123" s="185" t="e">
        <v>#N/A</v>
      </c>
      <c r="S123" s="185" t="e">
        <v>#N/A</v>
      </c>
      <c r="T123" s="185" t="e">
        <v>#N/A</v>
      </c>
      <c r="U123" s="185" t="e">
        <v>#N/A</v>
      </c>
      <c r="V123" s="185" t="e">
        <v>#N/A</v>
      </c>
      <c r="W123" s="185" t="e">
        <v>#N/A</v>
      </c>
      <c r="X123" s="185" t="e">
        <v>#N/A</v>
      </c>
      <c r="Y123" s="185" t="e">
        <v>#N/A</v>
      </c>
      <c r="Z123" s="185" t="e">
        <v>#N/A</v>
      </c>
      <c r="AA123" s="185" t="e">
        <v>#N/A</v>
      </c>
      <c r="AB123" s="185" t="e">
        <v>#N/A</v>
      </c>
      <c r="AC123" s="185" t="e">
        <v>#N/A</v>
      </c>
      <c r="AD123" s="185" t="e">
        <v>#N/A</v>
      </c>
      <c r="AE123" s="185" t="e">
        <v>#N/A</v>
      </c>
      <c r="AF123" s="201" t="e">
        <v>#N/A</v>
      </c>
    </row>
    <row r="124" spans="7:32">
      <c r="G124" s="213" t="e">
        <v>#N/A</v>
      </c>
      <c r="H124" s="193" t="e">
        <v>#N/A</v>
      </c>
      <c r="I124" s="185" t="e">
        <v>#N/A</v>
      </c>
      <c r="J124" s="309" t="e">
        <v>#N/A</v>
      </c>
      <c r="K124" s="310" t="e">
        <v>#N/A</v>
      </c>
      <c r="L124" s="237" t="e">
        <v>#N/A</v>
      </c>
      <c r="M124" s="185" t="e">
        <v>#N/A</v>
      </c>
      <c r="N124" s="185" t="e">
        <v>#N/A</v>
      </c>
      <c r="O124" s="185" t="e">
        <v>#N/A</v>
      </c>
      <c r="P124" s="185" t="e">
        <v>#N/A</v>
      </c>
      <c r="Q124" s="185" t="e">
        <v>#N/A</v>
      </c>
      <c r="R124" s="185" t="e">
        <v>#N/A</v>
      </c>
      <c r="S124" s="185" t="e">
        <v>#N/A</v>
      </c>
      <c r="T124" s="185" t="e">
        <v>#N/A</v>
      </c>
      <c r="U124" s="185" t="e">
        <v>#N/A</v>
      </c>
      <c r="V124" s="185" t="e">
        <v>#N/A</v>
      </c>
      <c r="W124" s="185" t="e">
        <v>#N/A</v>
      </c>
      <c r="X124" s="185" t="e">
        <v>#N/A</v>
      </c>
      <c r="Y124" s="185" t="e">
        <v>#N/A</v>
      </c>
      <c r="Z124" s="185" t="e">
        <v>#N/A</v>
      </c>
      <c r="AA124" s="185" t="e">
        <v>#N/A</v>
      </c>
      <c r="AB124" s="185" t="e">
        <v>#N/A</v>
      </c>
      <c r="AC124" s="185" t="e">
        <v>#N/A</v>
      </c>
      <c r="AD124" s="185" t="e">
        <v>#N/A</v>
      </c>
      <c r="AE124" s="185" t="e">
        <v>#N/A</v>
      </c>
      <c r="AF124" s="201" t="e">
        <v>#N/A</v>
      </c>
    </row>
    <row r="125" spans="7:32">
      <c r="G125" s="213" t="e">
        <v>#N/A</v>
      </c>
      <c r="H125" s="193" t="e">
        <v>#N/A</v>
      </c>
      <c r="I125" s="185" t="e">
        <v>#N/A</v>
      </c>
      <c r="J125" s="309" t="e">
        <v>#N/A</v>
      </c>
      <c r="K125" s="310" t="e">
        <v>#N/A</v>
      </c>
      <c r="L125" s="237" t="e">
        <v>#N/A</v>
      </c>
      <c r="M125" s="185" t="e">
        <v>#N/A</v>
      </c>
      <c r="N125" s="185" t="e">
        <v>#N/A</v>
      </c>
      <c r="O125" s="185" t="e">
        <v>#N/A</v>
      </c>
      <c r="P125" s="185" t="e">
        <v>#N/A</v>
      </c>
      <c r="Q125" s="185" t="e">
        <v>#N/A</v>
      </c>
      <c r="R125" s="185" t="e">
        <v>#N/A</v>
      </c>
      <c r="S125" s="185" t="e">
        <v>#N/A</v>
      </c>
      <c r="T125" s="185" t="e">
        <v>#N/A</v>
      </c>
      <c r="U125" s="185" t="e">
        <v>#N/A</v>
      </c>
      <c r="V125" s="185" t="e">
        <v>#N/A</v>
      </c>
      <c r="W125" s="185" t="e">
        <v>#N/A</v>
      </c>
      <c r="X125" s="185" t="e">
        <v>#N/A</v>
      </c>
      <c r="Y125" s="185" t="e">
        <v>#N/A</v>
      </c>
      <c r="Z125" s="185" t="e">
        <v>#N/A</v>
      </c>
      <c r="AA125" s="185" t="e">
        <v>#N/A</v>
      </c>
      <c r="AB125" s="185" t="e">
        <v>#N/A</v>
      </c>
      <c r="AC125" s="185" t="e">
        <v>#N/A</v>
      </c>
      <c r="AD125" s="185" t="e">
        <v>#N/A</v>
      </c>
      <c r="AE125" s="185" t="e">
        <v>#N/A</v>
      </c>
      <c r="AF125" s="201" t="e">
        <v>#N/A</v>
      </c>
    </row>
    <row r="126" spans="7:32">
      <c r="G126" s="213" t="e">
        <v>#N/A</v>
      </c>
      <c r="H126" s="193" t="e">
        <v>#N/A</v>
      </c>
      <c r="I126" s="185" t="e">
        <v>#N/A</v>
      </c>
      <c r="J126" s="309" t="e">
        <v>#N/A</v>
      </c>
      <c r="K126" s="310" t="e">
        <v>#N/A</v>
      </c>
      <c r="L126" s="237" t="e">
        <v>#N/A</v>
      </c>
      <c r="M126" s="185" t="e">
        <v>#N/A</v>
      </c>
      <c r="N126" s="185" t="e">
        <v>#N/A</v>
      </c>
      <c r="O126" s="185" t="e">
        <v>#N/A</v>
      </c>
      <c r="P126" s="185" t="e">
        <v>#N/A</v>
      </c>
      <c r="Q126" s="185" t="e">
        <v>#N/A</v>
      </c>
      <c r="R126" s="185" t="e">
        <v>#N/A</v>
      </c>
      <c r="S126" s="185" t="e">
        <v>#N/A</v>
      </c>
      <c r="T126" s="185" t="e">
        <v>#N/A</v>
      </c>
      <c r="U126" s="185" t="e">
        <v>#N/A</v>
      </c>
      <c r="V126" s="185" t="e">
        <v>#N/A</v>
      </c>
      <c r="W126" s="185" t="e">
        <v>#N/A</v>
      </c>
      <c r="X126" s="185" t="e">
        <v>#N/A</v>
      </c>
      <c r="Y126" s="185" t="e">
        <v>#N/A</v>
      </c>
      <c r="Z126" s="185" t="e">
        <v>#N/A</v>
      </c>
      <c r="AA126" s="185" t="e">
        <v>#N/A</v>
      </c>
      <c r="AB126" s="185" t="e">
        <v>#N/A</v>
      </c>
      <c r="AC126" s="185" t="e">
        <v>#N/A</v>
      </c>
      <c r="AD126" s="185" t="e">
        <v>#N/A</v>
      </c>
      <c r="AE126" s="185" t="e">
        <v>#N/A</v>
      </c>
      <c r="AF126" s="201" t="e">
        <v>#N/A</v>
      </c>
    </row>
    <row r="127" spans="7:32">
      <c r="G127" s="213" t="e">
        <v>#N/A</v>
      </c>
      <c r="H127" s="193" t="e">
        <v>#N/A</v>
      </c>
      <c r="I127" s="185" t="e">
        <v>#N/A</v>
      </c>
      <c r="J127" s="309" t="e">
        <v>#N/A</v>
      </c>
      <c r="K127" s="310" t="e">
        <v>#N/A</v>
      </c>
      <c r="L127" s="237" t="e">
        <v>#N/A</v>
      </c>
      <c r="M127" s="185" t="e">
        <v>#N/A</v>
      </c>
      <c r="N127" s="185" t="e">
        <v>#N/A</v>
      </c>
      <c r="O127" s="185" t="e">
        <v>#N/A</v>
      </c>
      <c r="P127" s="185" t="e">
        <v>#N/A</v>
      </c>
      <c r="Q127" s="185" t="e">
        <v>#N/A</v>
      </c>
      <c r="R127" s="185" t="e">
        <v>#N/A</v>
      </c>
      <c r="S127" s="185" t="e">
        <v>#N/A</v>
      </c>
      <c r="T127" s="185" t="e">
        <v>#N/A</v>
      </c>
      <c r="U127" s="185" t="e">
        <v>#N/A</v>
      </c>
      <c r="V127" s="185" t="e">
        <v>#N/A</v>
      </c>
      <c r="W127" s="185" t="e">
        <v>#N/A</v>
      </c>
      <c r="X127" s="185" t="e">
        <v>#N/A</v>
      </c>
      <c r="Y127" s="185" t="e">
        <v>#N/A</v>
      </c>
      <c r="Z127" s="185" t="e">
        <v>#N/A</v>
      </c>
      <c r="AA127" s="185" t="e">
        <v>#N/A</v>
      </c>
      <c r="AB127" s="185" t="e">
        <v>#N/A</v>
      </c>
      <c r="AC127" s="185" t="e">
        <v>#N/A</v>
      </c>
      <c r="AD127" s="185" t="e">
        <v>#N/A</v>
      </c>
      <c r="AE127" s="185" t="e">
        <v>#N/A</v>
      </c>
      <c r="AF127" s="201" t="e">
        <v>#N/A</v>
      </c>
    </row>
    <row r="128" spans="7:32">
      <c r="G128" s="213" t="e">
        <v>#N/A</v>
      </c>
      <c r="H128" s="193" t="e">
        <v>#N/A</v>
      </c>
      <c r="I128" s="185" t="e">
        <v>#N/A</v>
      </c>
      <c r="J128" s="309" t="e">
        <v>#N/A</v>
      </c>
      <c r="K128" s="310" t="e">
        <v>#N/A</v>
      </c>
      <c r="L128" s="237" t="e">
        <v>#N/A</v>
      </c>
      <c r="M128" s="185" t="e">
        <v>#N/A</v>
      </c>
      <c r="N128" s="185" t="e">
        <v>#N/A</v>
      </c>
      <c r="O128" s="185" t="e">
        <v>#N/A</v>
      </c>
      <c r="P128" s="185" t="e">
        <v>#N/A</v>
      </c>
      <c r="Q128" s="185" t="e">
        <v>#N/A</v>
      </c>
      <c r="R128" s="185" t="e">
        <v>#N/A</v>
      </c>
      <c r="S128" s="185" t="e">
        <v>#N/A</v>
      </c>
      <c r="T128" s="185" t="e">
        <v>#N/A</v>
      </c>
      <c r="U128" s="185" t="e">
        <v>#N/A</v>
      </c>
      <c r="V128" s="185" t="e">
        <v>#N/A</v>
      </c>
      <c r="W128" s="185" t="e">
        <v>#N/A</v>
      </c>
      <c r="X128" s="185" t="e">
        <v>#N/A</v>
      </c>
      <c r="Y128" s="185" t="e">
        <v>#N/A</v>
      </c>
      <c r="Z128" s="185" t="e">
        <v>#N/A</v>
      </c>
      <c r="AA128" s="185" t="e">
        <v>#N/A</v>
      </c>
      <c r="AB128" s="185" t="e">
        <v>#N/A</v>
      </c>
      <c r="AC128" s="185" t="e">
        <v>#N/A</v>
      </c>
      <c r="AD128" s="185" t="e">
        <v>#N/A</v>
      </c>
      <c r="AE128" s="185" t="e">
        <v>#N/A</v>
      </c>
      <c r="AF128" s="201" t="e">
        <v>#N/A</v>
      </c>
    </row>
    <row r="129" spans="7:32">
      <c r="G129" s="213" t="e">
        <v>#N/A</v>
      </c>
      <c r="H129" s="193" t="e">
        <v>#N/A</v>
      </c>
      <c r="I129" s="185" t="e">
        <v>#N/A</v>
      </c>
      <c r="J129" s="309" t="e">
        <v>#N/A</v>
      </c>
      <c r="K129" s="310" t="e">
        <v>#N/A</v>
      </c>
      <c r="L129" s="237" t="e">
        <v>#N/A</v>
      </c>
      <c r="M129" s="185" t="e">
        <v>#N/A</v>
      </c>
      <c r="N129" s="185" t="e">
        <v>#N/A</v>
      </c>
      <c r="O129" s="185" t="e">
        <v>#N/A</v>
      </c>
      <c r="P129" s="185" t="e">
        <v>#N/A</v>
      </c>
      <c r="Q129" s="185" t="e">
        <v>#N/A</v>
      </c>
      <c r="R129" s="185" t="e">
        <v>#N/A</v>
      </c>
      <c r="S129" s="185" t="e">
        <v>#N/A</v>
      </c>
      <c r="T129" s="185" t="e">
        <v>#N/A</v>
      </c>
      <c r="U129" s="185" t="e">
        <v>#N/A</v>
      </c>
      <c r="V129" s="185" t="e">
        <v>#N/A</v>
      </c>
      <c r="W129" s="185" t="e">
        <v>#N/A</v>
      </c>
      <c r="X129" s="185" t="e">
        <v>#N/A</v>
      </c>
      <c r="Y129" s="185" t="e">
        <v>#N/A</v>
      </c>
      <c r="Z129" s="185" t="e">
        <v>#N/A</v>
      </c>
      <c r="AA129" s="185" t="e">
        <v>#N/A</v>
      </c>
      <c r="AB129" s="185" t="e">
        <v>#N/A</v>
      </c>
      <c r="AC129" s="185" t="e">
        <v>#N/A</v>
      </c>
      <c r="AD129" s="185" t="e">
        <v>#N/A</v>
      </c>
      <c r="AE129" s="185" t="e">
        <v>#N/A</v>
      </c>
      <c r="AF129" s="201" t="e">
        <v>#N/A</v>
      </c>
    </row>
    <row r="130" spans="7:32">
      <c r="G130" s="213" t="e">
        <v>#N/A</v>
      </c>
      <c r="H130" s="193" t="e">
        <v>#N/A</v>
      </c>
      <c r="I130" s="185" t="e">
        <v>#N/A</v>
      </c>
      <c r="J130" s="309" t="e">
        <v>#N/A</v>
      </c>
      <c r="K130" s="310" t="e">
        <v>#N/A</v>
      </c>
      <c r="L130" s="237" t="e">
        <v>#N/A</v>
      </c>
      <c r="M130" s="185" t="e">
        <v>#N/A</v>
      </c>
      <c r="N130" s="185" t="e">
        <v>#N/A</v>
      </c>
      <c r="O130" s="185" t="e">
        <v>#N/A</v>
      </c>
      <c r="P130" s="185" t="e">
        <v>#N/A</v>
      </c>
      <c r="Q130" s="185" t="e">
        <v>#N/A</v>
      </c>
      <c r="R130" s="185" t="e">
        <v>#N/A</v>
      </c>
      <c r="S130" s="185" t="e">
        <v>#N/A</v>
      </c>
      <c r="T130" s="185" t="e">
        <v>#N/A</v>
      </c>
      <c r="U130" s="185" t="e">
        <v>#N/A</v>
      </c>
      <c r="V130" s="185" t="e">
        <v>#N/A</v>
      </c>
      <c r="W130" s="185" t="e">
        <v>#N/A</v>
      </c>
      <c r="X130" s="185" t="e">
        <v>#N/A</v>
      </c>
      <c r="Y130" s="185" t="e">
        <v>#N/A</v>
      </c>
      <c r="Z130" s="185" t="e">
        <v>#N/A</v>
      </c>
      <c r="AA130" s="185" t="e">
        <v>#N/A</v>
      </c>
      <c r="AB130" s="185" t="e">
        <v>#N/A</v>
      </c>
      <c r="AC130" s="185" t="e">
        <v>#N/A</v>
      </c>
      <c r="AD130" s="185" t="e">
        <v>#N/A</v>
      </c>
      <c r="AE130" s="185" t="e">
        <v>#N/A</v>
      </c>
      <c r="AF130" s="201" t="e">
        <v>#N/A</v>
      </c>
    </row>
    <row r="131" spans="7:32">
      <c r="G131" s="213" t="e">
        <v>#N/A</v>
      </c>
      <c r="H131" s="193" t="e">
        <v>#N/A</v>
      </c>
      <c r="I131" s="185" t="e">
        <v>#N/A</v>
      </c>
      <c r="J131" s="309" t="e">
        <v>#N/A</v>
      </c>
      <c r="K131" s="310" t="e">
        <v>#N/A</v>
      </c>
      <c r="L131" s="237" t="e">
        <v>#N/A</v>
      </c>
      <c r="M131" s="185" t="e">
        <v>#N/A</v>
      </c>
      <c r="N131" s="185" t="e">
        <v>#N/A</v>
      </c>
      <c r="O131" s="185" t="e">
        <v>#N/A</v>
      </c>
      <c r="P131" s="185" t="e">
        <v>#N/A</v>
      </c>
      <c r="Q131" s="185" t="e">
        <v>#N/A</v>
      </c>
      <c r="R131" s="185" t="e">
        <v>#N/A</v>
      </c>
      <c r="S131" s="185" t="e">
        <v>#N/A</v>
      </c>
      <c r="T131" s="185" t="e">
        <v>#N/A</v>
      </c>
      <c r="U131" s="185" t="e">
        <v>#N/A</v>
      </c>
      <c r="V131" s="185" t="e">
        <v>#N/A</v>
      </c>
      <c r="W131" s="185" t="e">
        <v>#N/A</v>
      </c>
      <c r="X131" s="185" t="e">
        <v>#N/A</v>
      </c>
      <c r="Y131" s="185" t="e">
        <v>#N/A</v>
      </c>
      <c r="Z131" s="185" t="e">
        <v>#N/A</v>
      </c>
      <c r="AA131" s="185" t="e">
        <v>#N/A</v>
      </c>
      <c r="AB131" s="185" t="e">
        <v>#N/A</v>
      </c>
      <c r="AC131" s="185" t="e">
        <v>#N/A</v>
      </c>
      <c r="AD131" s="185" t="e">
        <v>#N/A</v>
      </c>
      <c r="AE131" s="185" t="e">
        <v>#N/A</v>
      </c>
      <c r="AF131" s="201" t="e">
        <v>#N/A</v>
      </c>
    </row>
    <row r="132" spans="7:32">
      <c r="G132" s="213" t="e">
        <v>#N/A</v>
      </c>
      <c r="H132" s="193" t="e">
        <v>#N/A</v>
      </c>
      <c r="I132" s="185" t="e">
        <v>#N/A</v>
      </c>
      <c r="J132" s="309" t="e">
        <v>#N/A</v>
      </c>
      <c r="K132" s="310" t="e">
        <v>#N/A</v>
      </c>
      <c r="L132" s="237" t="e">
        <v>#N/A</v>
      </c>
      <c r="M132" s="185" t="e">
        <v>#N/A</v>
      </c>
      <c r="N132" s="185" t="e">
        <v>#N/A</v>
      </c>
      <c r="O132" s="185" t="e">
        <v>#N/A</v>
      </c>
      <c r="P132" s="185" t="e">
        <v>#N/A</v>
      </c>
      <c r="Q132" s="185" t="e">
        <v>#N/A</v>
      </c>
      <c r="R132" s="185" t="e">
        <v>#N/A</v>
      </c>
      <c r="S132" s="185" t="e">
        <v>#N/A</v>
      </c>
      <c r="T132" s="185" t="e">
        <v>#N/A</v>
      </c>
      <c r="U132" s="185" t="e">
        <v>#N/A</v>
      </c>
      <c r="V132" s="185" t="e">
        <v>#N/A</v>
      </c>
      <c r="W132" s="185" t="e">
        <v>#N/A</v>
      </c>
      <c r="X132" s="185" t="e">
        <v>#N/A</v>
      </c>
      <c r="Y132" s="185" t="e">
        <v>#N/A</v>
      </c>
      <c r="Z132" s="185" t="e">
        <v>#N/A</v>
      </c>
      <c r="AA132" s="185" t="e">
        <v>#N/A</v>
      </c>
      <c r="AB132" s="185" t="e">
        <v>#N/A</v>
      </c>
      <c r="AC132" s="185" t="e">
        <v>#N/A</v>
      </c>
      <c r="AD132" s="185" t="e">
        <v>#N/A</v>
      </c>
      <c r="AE132" s="185" t="e">
        <v>#N/A</v>
      </c>
      <c r="AF132" s="201" t="e">
        <v>#N/A</v>
      </c>
    </row>
    <row r="133" spans="7:32">
      <c r="G133" s="213" t="e">
        <v>#N/A</v>
      </c>
      <c r="H133" s="193" t="e">
        <v>#N/A</v>
      </c>
      <c r="I133" s="185" t="e">
        <v>#N/A</v>
      </c>
      <c r="J133" s="309" t="e">
        <v>#N/A</v>
      </c>
      <c r="K133" s="310" t="e">
        <v>#N/A</v>
      </c>
      <c r="L133" s="237" t="e">
        <v>#N/A</v>
      </c>
      <c r="M133" s="185" t="e">
        <v>#N/A</v>
      </c>
      <c r="N133" s="185" t="e">
        <v>#N/A</v>
      </c>
      <c r="O133" s="185" t="e">
        <v>#N/A</v>
      </c>
      <c r="P133" s="185" t="e">
        <v>#N/A</v>
      </c>
      <c r="Q133" s="185" t="e">
        <v>#N/A</v>
      </c>
      <c r="R133" s="185" t="e">
        <v>#N/A</v>
      </c>
      <c r="S133" s="185" t="e">
        <v>#N/A</v>
      </c>
      <c r="T133" s="185" t="e">
        <v>#N/A</v>
      </c>
      <c r="U133" s="185" t="e">
        <v>#N/A</v>
      </c>
      <c r="V133" s="185" t="e">
        <v>#N/A</v>
      </c>
      <c r="W133" s="185" t="e">
        <v>#N/A</v>
      </c>
      <c r="X133" s="185" t="e">
        <v>#N/A</v>
      </c>
      <c r="Y133" s="185" t="e">
        <v>#N/A</v>
      </c>
      <c r="Z133" s="185" t="e">
        <v>#N/A</v>
      </c>
      <c r="AA133" s="185" t="e">
        <v>#N/A</v>
      </c>
      <c r="AB133" s="185" t="e">
        <v>#N/A</v>
      </c>
      <c r="AC133" s="185" t="e">
        <v>#N/A</v>
      </c>
      <c r="AD133" s="185" t="e">
        <v>#N/A</v>
      </c>
      <c r="AE133" s="185" t="e">
        <v>#N/A</v>
      </c>
      <c r="AF133" s="201" t="e">
        <v>#N/A</v>
      </c>
    </row>
    <row r="134" spans="7:32">
      <c r="G134" s="213" t="e">
        <v>#N/A</v>
      </c>
      <c r="H134" s="193" t="e">
        <v>#N/A</v>
      </c>
      <c r="I134" s="185" t="e">
        <v>#N/A</v>
      </c>
      <c r="J134" s="309" t="e">
        <v>#N/A</v>
      </c>
      <c r="K134" s="310" t="e">
        <v>#N/A</v>
      </c>
      <c r="L134" s="237" t="e">
        <v>#N/A</v>
      </c>
      <c r="M134" s="185" t="e">
        <v>#N/A</v>
      </c>
      <c r="N134" s="185" t="e">
        <v>#N/A</v>
      </c>
      <c r="O134" s="185" t="e">
        <v>#N/A</v>
      </c>
      <c r="P134" s="185" t="e">
        <v>#N/A</v>
      </c>
      <c r="Q134" s="185" t="e">
        <v>#N/A</v>
      </c>
      <c r="R134" s="185" t="e">
        <v>#N/A</v>
      </c>
      <c r="S134" s="185" t="e">
        <v>#N/A</v>
      </c>
      <c r="T134" s="185" t="e">
        <v>#N/A</v>
      </c>
      <c r="U134" s="185" t="e">
        <v>#N/A</v>
      </c>
      <c r="V134" s="185" t="e">
        <v>#N/A</v>
      </c>
      <c r="W134" s="185" t="e">
        <v>#N/A</v>
      </c>
      <c r="X134" s="185" t="e">
        <v>#N/A</v>
      </c>
      <c r="Y134" s="185" t="e">
        <v>#N/A</v>
      </c>
      <c r="Z134" s="185" t="e">
        <v>#N/A</v>
      </c>
      <c r="AA134" s="185" t="e">
        <v>#N/A</v>
      </c>
      <c r="AB134" s="185" t="e">
        <v>#N/A</v>
      </c>
      <c r="AC134" s="185" t="e">
        <v>#N/A</v>
      </c>
      <c r="AD134" s="185" t="e">
        <v>#N/A</v>
      </c>
      <c r="AE134" s="185" t="e">
        <v>#N/A</v>
      </c>
      <c r="AF134" s="201" t="e">
        <v>#N/A</v>
      </c>
    </row>
    <row r="135" spans="7:32">
      <c r="G135" s="213" t="e">
        <v>#N/A</v>
      </c>
      <c r="H135" s="193" t="e">
        <v>#N/A</v>
      </c>
      <c r="I135" s="185" t="e">
        <v>#N/A</v>
      </c>
      <c r="J135" s="309" t="e">
        <v>#N/A</v>
      </c>
      <c r="K135" s="310" t="e">
        <v>#N/A</v>
      </c>
      <c r="L135" s="237" t="e">
        <v>#N/A</v>
      </c>
      <c r="M135" s="185" t="e">
        <v>#N/A</v>
      </c>
      <c r="N135" s="185" t="e">
        <v>#N/A</v>
      </c>
      <c r="O135" s="185" t="e">
        <v>#N/A</v>
      </c>
      <c r="P135" s="185" t="e">
        <v>#N/A</v>
      </c>
      <c r="Q135" s="185" t="e">
        <v>#N/A</v>
      </c>
      <c r="R135" s="185" t="e">
        <v>#N/A</v>
      </c>
      <c r="S135" s="185" t="e">
        <v>#N/A</v>
      </c>
      <c r="T135" s="185" t="e">
        <v>#N/A</v>
      </c>
      <c r="U135" s="185" t="e">
        <v>#N/A</v>
      </c>
      <c r="V135" s="185" t="e">
        <v>#N/A</v>
      </c>
      <c r="W135" s="185" t="e">
        <v>#N/A</v>
      </c>
      <c r="X135" s="185" t="e">
        <v>#N/A</v>
      </c>
      <c r="Y135" s="185" t="e">
        <v>#N/A</v>
      </c>
      <c r="Z135" s="185" t="e">
        <v>#N/A</v>
      </c>
      <c r="AA135" s="185" t="e">
        <v>#N/A</v>
      </c>
      <c r="AB135" s="185" t="e">
        <v>#N/A</v>
      </c>
      <c r="AC135" s="185" t="e">
        <v>#N/A</v>
      </c>
      <c r="AD135" s="185" t="e">
        <v>#N/A</v>
      </c>
      <c r="AE135" s="185" t="e">
        <v>#N/A</v>
      </c>
      <c r="AF135" s="201" t="e">
        <v>#N/A</v>
      </c>
    </row>
    <row r="136" spans="7:32">
      <c r="G136" s="213" t="e">
        <v>#N/A</v>
      </c>
      <c r="H136" s="193" t="e">
        <v>#N/A</v>
      </c>
      <c r="I136" s="185" t="e">
        <v>#N/A</v>
      </c>
      <c r="J136" s="309" t="e">
        <v>#N/A</v>
      </c>
      <c r="K136" s="310" t="e">
        <v>#N/A</v>
      </c>
      <c r="L136" s="237" t="e">
        <v>#N/A</v>
      </c>
      <c r="M136" s="185" t="e">
        <v>#N/A</v>
      </c>
      <c r="N136" s="185" t="e">
        <v>#N/A</v>
      </c>
      <c r="O136" s="185" t="e">
        <v>#N/A</v>
      </c>
      <c r="P136" s="185" t="e">
        <v>#N/A</v>
      </c>
      <c r="Q136" s="185" t="e">
        <v>#N/A</v>
      </c>
      <c r="R136" s="185" t="e">
        <v>#N/A</v>
      </c>
      <c r="S136" s="185" t="e">
        <v>#N/A</v>
      </c>
      <c r="T136" s="185" t="e">
        <v>#N/A</v>
      </c>
      <c r="U136" s="185" t="e">
        <v>#N/A</v>
      </c>
      <c r="V136" s="185" t="e">
        <v>#N/A</v>
      </c>
      <c r="W136" s="185" t="e">
        <v>#N/A</v>
      </c>
      <c r="X136" s="185" t="e">
        <v>#N/A</v>
      </c>
      <c r="Y136" s="185" t="e">
        <v>#N/A</v>
      </c>
      <c r="Z136" s="185" t="e">
        <v>#N/A</v>
      </c>
      <c r="AA136" s="185" t="e">
        <v>#N/A</v>
      </c>
      <c r="AB136" s="185" t="e">
        <v>#N/A</v>
      </c>
      <c r="AC136" s="185" t="e">
        <v>#N/A</v>
      </c>
      <c r="AD136" s="185" t="e">
        <v>#N/A</v>
      </c>
      <c r="AE136" s="185" t="e">
        <v>#N/A</v>
      </c>
      <c r="AF136" s="201" t="e">
        <v>#N/A</v>
      </c>
    </row>
    <row r="137" spans="7:32">
      <c r="G137" s="213" t="e">
        <v>#N/A</v>
      </c>
      <c r="H137" s="193" t="e">
        <v>#N/A</v>
      </c>
      <c r="I137" s="185" t="e">
        <v>#N/A</v>
      </c>
      <c r="J137" s="309" t="e">
        <v>#N/A</v>
      </c>
      <c r="K137" s="310" t="e">
        <v>#N/A</v>
      </c>
      <c r="L137" s="237" t="e">
        <v>#N/A</v>
      </c>
      <c r="M137" s="185" t="e">
        <v>#N/A</v>
      </c>
      <c r="N137" s="185" t="e">
        <v>#N/A</v>
      </c>
      <c r="O137" s="185" t="e">
        <v>#N/A</v>
      </c>
      <c r="P137" s="185" t="e">
        <v>#N/A</v>
      </c>
      <c r="Q137" s="185" t="e">
        <v>#N/A</v>
      </c>
      <c r="R137" s="185" t="e">
        <v>#N/A</v>
      </c>
      <c r="S137" s="185" t="e">
        <v>#N/A</v>
      </c>
      <c r="T137" s="185" t="e">
        <v>#N/A</v>
      </c>
      <c r="U137" s="185" t="e">
        <v>#N/A</v>
      </c>
      <c r="V137" s="185" t="e">
        <v>#N/A</v>
      </c>
      <c r="W137" s="185" t="e">
        <v>#N/A</v>
      </c>
      <c r="X137" s="185" t="e">
        <v>#N/A</v>
      </c>
      <c r="Y137" s="185" t="e">
        <v>#N/A</v>
      </c>
      <c r="Z137" s="185" t="e">
        <v>#N/A</v>
      </c>
      <c r="AA137" s="185" t="e">
        <v>#N/A</v>
      </c>
      <c r="AB137" s="185" t="e">
        <v>#N/A</v>
      </c>
      <c r="AC137" s="185" t="e">
        <v>#N/A</v>
      </c>
      <c r="AD137" s="185" t="e">
        <v>#N/A</v>
      </c>
      <c r="AE137" s="185" t="e">
        <v>#N/A</v>
      </c>
      <c r="AF137" s="201" t="e">
        <v>#N/A</v>
      </c>
    </row>
    <row r="138" spans="7:32">
      <c r="G138" s="213" t="e">
        <v>#N/A</v>
      </c>
      <c r="H138" s="193" t="e">
        <v>#N/A</v>
      </c>
      <c r="I138" s="185" t="e">
        <v>#N/A</v>
      </c>
      <c r="J138" s="309" t="e">
        <v>#N/A</v>
      </c>
      <c r="K138" s="310" t="e">
        <v>#N/A</v>
      </c>
      <c r="L138" s="237" t="e">
        <v>#N/A</v>
      </c>
      <c r="M138" s="185" t="e">
        <v>#N/A</v>
      </c>
      <c r="N138" s="185" t="e">
        <v>#N/A</v>
      </c>
      <c r="O138" s="185" t="e">
        <v>#N/A</v>
      </c>
      <c r="P138" s="185" t="e">
        <v>#N/A</v>
      </c>
      <c r="Q138" s="185" t="e">
        <v>#N/A</v>
      </c>
      <c r="R138" s="185" t="e">
        <v>#N/A</v>
      </c>
      <c r="S138" s="185" t="e">
        <v>#N/A</v>
      </c>
      <c r="T138" s="185" t="e">
        <v>#N/A</v>
      </c>
      <c r="U138" s="185" t="e">
        <v>#N/A</v>
      </c>
      <c r="V138" s="185" t="e">
        <v>#N/A</v>
      </c>
      <c r="W138" s="185" t="e">
        <v>#N/A</v>
      </c>
      <c r="X138" s="185" t="e">
        <v>#N/A</v>
      </c>
      <c r="Y138" s="185" t="e">
        <v>#N/A</v>
      </c>
      <c r="Z138" s="185" t="e">
        <v>#N/A</v>
      </c>
      <c r="AA138" s="185" t="e">
        <v>#N/A</v>
      </c>
      <c r="AB138" s="185" t="e">
        <v>#N/A</v>
      </c>
      <c r="AC138" s="185" t="e">
        <v>#N/A</v>
      </c>
      <c r="AD138" s="185" t="e">
        <v>#N/A</v>
      </c>
      <c r="AE138" s="185" t="e">
        <v>#N/A</v>
      </c>
      <c r="AF138" s="201" t="e">
        <v>#N/A</v>
      </c>
    </row>
    <row r="139" spans="7:32">
      <c r="G139" s="213" t="e">
        <v>#N/A</v>
      </c>
      <c r="H139" s="193" t="e">
        <v>#N/A</v>
      </c>
      <c r="I139" s="185" t="e">
        <v>#N/A</v>
      </c>
      <c r="J139" s="309" t="e">
        <v>#N/A</v>
      </c>
      <c r="K139" s="310" t="e">
        <v>#N/A</v>
      </c>
      <c r="L139" s="237" t="e">
        <v>#N/A</v>
      </c>
      <c r="M139" s="185" t="e">
        <v>#N/A</v>
      </c>
      <c r="N139" s="185" t="e">
        <v>#N/A</v>
      </c>
      <c r="O139" s="185" t="e">
        <v>#N/A</v>
      </c>
      <c r="P139" s="185" t="e">
        <v>#N/A</v>
      </c>
      <c r="Q139" s="185" t="e">
        <v>#N/A</v>
      </c>
      <c r="R139" s="185" t="e">
        <v>#N/A</v>
      </c>
      <c r="S139" s="185" t="e">
        <v>#N/A</v>
      </c>
      <c r="T139" s="185" t="e">
        <v>#N/A</v>
      </c>
      <c r="U139" s="185" t="e">
        <v>#N/A</v>
      </c>
      <c r="V139" s="185" t="e">
        <v>#N/A</v>
      </c>
      <c r="W139" s="185" t="e">
        <v>#N/A</v>
      </c>
      <c r="X139" s="185" t="e">
        <v>#N/A</v>
      </c>
      <c r="Y139" s="185" t="e">
        <v>#N/A</v>
      </c>
      <c r="Z139" s="185" t="e">
        <v>#N/A</v>
      </c>
      <c r="AA139" s="185" t="e">
        <v>#N/A</v>
      </c>
      <c r="AB139" s="185" t="e">
        <v>#N/A</v>
      </c>
      <c r="AC139" s="185" t="e">
        <v>#N/A</v>
      </c>
      <c r="AD139" s="185" t="e">
        <v>#N/A</v>
      </c>
      <c r="AE139" s="185" t="e">
        <v>#N/A</v>
      </c>
      <c r="AF139" s="201" t="e">
        <v>#N/A</v>
      </c>
    </row>
    <row r="140" spans="7:32">
      <c r="G140" s="213" t="e">
        <v>#N/A</v>
      </c>
      <c r="H140" s="193" t="e">
        <v>#N/A</v>
      </c>
      <c r="I140" s="185" t="e">
        <v>#N/A</v>
      </c>
      <c r="J140" s="309" t="e">
        <v>#N/A</v>
      </c>
      <c r="K140" s="310" t="e">
        <v>#N/A</v>
      </c>
      <c r="L140" s="237" t="e">
        <v>#N/A</v>
      </c>
      <c r="M140" s="185" t="e">
        <v>#N/A</v>
      </c>
      <c r="N140" s="185" t="e">
        <v>#N/A</v>
      </c>
      <c r="O140" s="185" t="e">
        <v>#N/A</v>
      </c>
      <c r="P140" s="185" t="e">
        <v>#N/A</v>
      </c>
      <c r="Q140" s="185" t="e">
        <v>#N/A</v>
      </c>
      <c r="R140" s="185" t="e">
        <v>#N/A</v>
      </c>
      <c r="S140" s="185" t="e">
        <v>#N/A</v>
      </c>
      <c r="T140" s="185" t="e">
        <v>#N/A</v>
      </c>
      <c r="U140" s="185" t="e">
        <v>#N/A</v>
      </c>
      <c r="V140" s="185" t="e">
        <v>#N/A</v>
      </c>
      <c r="W140" s="185" t="e">
        <v>#N/A</v>
      </c>
      <c r="X140" s="185" t="e">
        <v>#N/A</v>
      </c>
      <c r="Y140" s="185" t="e">
        <v>#N/A</v>
      </c>
      <c r="Z140" s="185" t="e">
        <v>#N/A</v>
      </c>
      <c r="AA140" s="185" t="e">
        <v>#N/A</v>
      </c>
      <c r="AB140" s="185" t="e">
        <v>#N/A</v>
      </c>
      <c r="AC140" s="185" t="e">
        <v>#N/A</v>
      </c>
      <c r="AD140" s="185" t="e">
        <v>#N/A</v>
      </c>
      <c r="AE140" s="185" t="e">
        <v>#N/A</v>
      </c>
      <c r="AF140" s="201" t="e">
        <v>#N/A</v>
      </c>
    </row>
    <row r="141" spans="7:32">
      <c r="G141" s="213" t="e">
        <v>#N/A</v>
      </c>
      <c r="H141" s="193" t="e">
        <v>#N/A</v>
      </c>
      <c r="I141" s="185" t="e">
        <v>#N/A</v>
      </c>
      <c r="J141" s="309" t="e">
        <v>#N/A</v>
      </c>
      <c r="K141" s="310" t="e">
        <v>#N/A</v>
      </c>
      <c r="L141" s="237" t="e">
        <v>#N/A</v>
      </c>
      <c r="M141" s="185" t="e">
        <v>#N/A</v>
      </c>
      <c r="N141" s="185" t="e">
        <v>#N/A</v>
      </c>
      <c r="O141" s="185" t="e">
        <v>#N/A</v>
      </c>
      <c r="P141" s="185" t="e">
        <v>#N/A</v>
      </c>
      <c r="Q141" s="185" t="e">
        <v>#N/A</v>
      </c>
      <c r="R141" s="185" t="e">
        <v>#N/A</v>
      </c>
      <c r="S141" s="185" t="e">
        <v>#N/A</v>
      </c>
      <c r="T141" s="185" t="e">
        <v>#N/A</v>
      </c>
      <c r="U141" s="185" t="e">
        <v>#N/A</v>
      </c>
      <c r="V141" s="185" t="e">
        <v>#N/A</v>
      </c>
      <c r="W141" s="185" t="e">
        <v>#N/A</v>
      </c>
      <c r="X141" s="185" t="e">
        <v>#N/A</v>
      </c>
      <c r="Y141" s="185" t="e">
        <v>#N/A</v>
      </c>
      <c r="Z141" s="185" t="e">
        <v>#N/A</v>
      </c>
      <c r="AA141" s="185" t="e">
        <v>#N/A</v>
      </c>
      <c r="AB141" s="185" t="e">
        <v>#N/A</v>
      </c>
      <c r="AC141" s="185" t="e">
        <v>#N/A</v>
      </c>
      <c r="AD141" s="185" t="e">
        <v>#N/A</v>
      </c>
      <c r="AE141" s="185" t="e">
        <v>#N/A</v>
      </c>
      <c r="AF141" s="201" t="e">
        <v>#N/A</v>
      </c>
    </row>
    <row r="142" spans="7:32">
      <c r="G142" s="213" t="e">
        <v>#N/A</v>
      </c>
      <c r="H142" s="193" t="e">
        <v>#N/A</v>
      </c>
      <c r="I142" s="185" t="e">
        <v>#N/A</v>
      </c>
      <c r="J142" s="309" t="e">
        <v>#N/A</v>
      </c>
      <c r="K142" s="310" t="e">
        <v>#N/A</v>
      </c>
      <c r="L142" s="237" t="e">
        <v>#N/A</v>
      </c>
      <c r="M142" s="185" t="e">
        <v>#N/A</v>
      </c>
      <c r="N142" s="185" t="e">
        <v>#N/A</v>
      </c>
      <c r="O142" s="185" t="e">
        <v>#N/A</v>
      </c>
      <c r="P142" s="185" t="e">
        <v>#N/A</v>
      </c>
      <c r="Q142" s="185" t="e">
        <v>#N/A</v>
      </c>
      <c r="R142" s="185" t="e">
        <v>#N/A</v>
      </c>
      <c r="S142" s="185" t="e">
        <v>#N/A</v>
      </c>
      <c r="T142" s="185" t="e">
        <v>#N/A</v>
      </c>
      <c r="U142" s="185" t="e">
        <v>#N/A</v>
      </c>
      <c r="V142" s="185" t="e">
        <v>#N/A</v>
      </c>
      <c r="W142" s="185" t="e">
        <v>#N/A</v>
      </c>
      <c r="X142" s="185" t="e">
        <v>#N/A</v>
      </c>
      <c r="Y142" s="185" t="e">
        <v>#N/A</v>
      </c>
      <c r="Z142" s="185" t="e">
        <v>#N/A</v>
      </c>
      <c r="AA142" s="185" t="e">
        <v>#N/A</v>
      </c>
      <c r="AB142" s="185" t="e">
        <v>#N/A</v>
      </c>
      <c r="AC142" s="185" t="e">
        <v>#N/A</v>
      </c>
      <c r="AD142" s="185" t="e">
        <v>#N/A</v>
      </c>
      <c r="AE142" s="185" t="e">
        <v>#N/A</v>
      </c>
      <c r="AF142" s="201" t="e">
        <v>#N/A</v>
      </c>
    </row>
    <row r="143" spans="7:32">
      <c r="G143" s="213" t="e">
        <v>#N/A</v>
      </c>
      <c r="H143" s="193" t="e">
        <v>#N/A</v>
      </c>
      <c r="I143" s="185" t="e">
        <v>#N/A</v>
      </c>
      <c r="J143" s="309" t="e">
        <v>#N/A</v>
      </c>
      <c r="K143" s="310" t="e">
        <v>#N/A</v>
      </c>
      <c r="L143" s="237" t="e">
        <v>#N/A</v>
      </c>
      <c r="M143" s="185" t="e">
        <v>#N/A</v>
      </c>
      <c r="N143" s="185" t="e">
        <v>#N/A</v>
      </c>
      <c r="O143" s="185" t="e">
        <v>#N/A</v>
      </c>
      <c r="P143" s="185" t="e">
        <v>#N/A</v>
      </c>
      <c r="Q143" s="185" t="e">
        <v>#N/A</v>
      </c>
      <c r="R143" s="185" t="e">
        <v>#N/A</v>
      </c>
      <c r="S143" s="185" t="e">
        <v>#N/A</v>
      </c>
      <c r="T143" s="185" t="e">
        <v>#N/A</v>
      </c>
      <c r="U143" s="185" t="e">
        <v>#N/A</v>
      </c>
      <c r="V143" s="185" t="e">
        <v>#N/A</v>
      </c>
      <c r="W143" s="185" t="e">
        <v>#N/A</v>
      </c>
      <c r="X143" s="185" t="e">
        <v>#N/A</v>
      </c>
      <c r="Y143" s="185" t="e">
        <v>#N/A</v>
      </c>
      <c r="Z143" s="185" t="e">
        <v>#N/A</v>
      </c>
      <c r="AA143" s="185" t="e">
        <v>#N/A</v>
      </c>
      <c r="AB143" s="185" t="e">
        <v>#N/A</v>
      </c>
      <c r="AC143" s="185" t="e">
        <v>#N/A</v>
      </c>
      <c r="AD143" s="185" t="e">
        <v>#N/A</v>
      </c>
      <c r="AE143" s="185" t="e">
        <v>#N/A</v>
      </c>
      <c r="AF143" s="201" t="e">
        <v>#N/A</v>
      </c>
    </row>
    <row r="144" spans="7:32">
      <c r="G144" s="213" t="e">
        <v>#N/A</v>
      </c>
      <c r="H144" s="193" t="e">
        <v>#N/A</v>
      </c>
      <c r="I144" s="185" t="e">
        <v>#N/A</v>
      </c>
      <c r="J144" s="309" t="e">
        <v>#N/A</v>
      </c>
      <c r="K144" s="310" t="e">
        <v>#N/A</v>
      </c>
      <c r="L144" s="237" t="e">
        <v>#N/A</v>
      </c>
      <c r="M144" s="185" t="e">
        <v>#N/A</v>
      </c>
      <c r="N144" s="185" t="e">
        <v>#N/A</v>
      </c>
      <c r="O144" s="185" t="e">
        <v>#N/A</v>
      </c>
      <c r="P144" s="185" t="e">
        <v>#N/A</v>
      </c>
      <c r="Q144" s="185" t="e">
        <v>#N/A</v>
      </c>
      <c r="R144" s="185" t="e">
        <v>#N/A</v>
      </c>
      <c r="S144" s="185" t="e">
        <v>#N/A</v>
      </c>
      <c r="T144" s="185" t="e">
        <v>#N/A</v>
      </c>
      <c r="U144" s="185" t="e">
        <v>#N/A</v>
      </c>
      <c r="V144" s="185" t="e">
        <v>#N/A</v>
      </c>
      <c r="W144" s="185" t="e">
        <v>#N/A</v>
      </c>
      <c r="X144" s="185" t="e">
        <v>#N/A</v>
      </c>
      <c r="Y144" s="185" t="e">
        <v>#N/A</v>
      </c>
      <c r="Z144" s="185" t="e">
        <v>#N/A</v>
      </c>
      <c r="AA144" s="185" t="e">
        <v>#N/A</v>
      </c>
      <c r="AB144" s="185" t="e">
        <v>#N/A</v>
      </c>
      <c r="AC144" s="185" t="e">
        <v>#N/A</v>
      </c>
      <c r="AD144" s="185" t="e">
        <v>#N/A</v>
      </c>
      <c r="AE144" s="185" t="e">
        <v>#N/A</v>
      </c>
      <c r="AF144" s="201" t="e">
        <v>#N/A</v>
      </c>
    </row>
    <row r="145" spans="7:32">
      <c r="G145" s="213" t="e">
        <v>#N/A</v>
      </c>
      <c r="H145" s="193" t="e">
        <v>#N/A</v>
      </c>
      <c r="I145" s="185" t="e">
        <v>#N/A</v>
      </c>
      <c r="J145" s="309" t="e">
        <v>#N/A</v>
      </c>
      <c r="K145" s="310" t="e">
        <v>#N/A</v>
      </c>
      <c r="L145" s="237" t="e">
        <v>#N/A</v>
      </c>
      <c r="M145" s="185" t="e">
        <v>#N/A</v>
      </c>
      <c r="N145" s="185" t="e">
        <v>#N/A</v>
      </c>
      <c r="O145" s="185" t="e">
        <v>#N/A</v>
      </c>
      <c r="P145" s="185" t="e">
        <v>#N/A</v>
      </c>
      <c r="Q145" s="185" t="e">
        <v>#N/A</v>
      </c>
      <c r="R145" s="185" t="e">
        <v>#N/A</v>
      </c>
      <c r="S145" s="185" t="e">
        <v>#N/A</v>
      </c>
      <c r="T145" s="185" t="e">
        <v>#N/A</v>
      </c>
      <c r="U145" s="185" t="e">
        <v>#N/A</v>
      </c>
      <c r="V145" s="185" t="e">
        <v>#N/A</v>
      </c>
      <c r="W145" s="185" t="e">
        <v>#N/A</v>
      </c>
      <c r="X145" s="185" t="e">
        <v>#N/A</v>
      </c>
      <c r="Y145" s="185" t="e">
        <v>#N/A</v>
      </c>
      <c r="Z145" s="185" t="e">
        <v>#N/A</v>
      </c>
      <c r="AA145" s="185" t="e">
        <v>#N/A</v>
      </c>
      <c r="AB145" s="185" t="e">
        <v>#N/A</v>
      </c>
      <c r="AC145" s="185" t="e">
        <v>#N/A</v>
      </c>
      <c r="AD145" s="185" t="e">
        <v>#N/A</v>
      </c>
      <c r="AE145" s="185" t="e">
        <v>#N/A</v>
      </c>
      <c r="AF145" s="201" t="e">
        <v>#N/A</v>
      </c>
    </row>
    <row r="146" spans="7:32">
      <c r="G146" s="213" t="e">
        <v>#N/A</v>
      </c>
      <c r="H146" s="193" t="e">
        <v>#N/A</v>
      </c>
      <c r="I146" s="185" t="e">
        <v>#N/A</v>
      </c>
      <c r="J146" s="309" t="e">
        <v>#N/A</v>
      </c>
      <c r="K146" s="310" t="e">
        <v>#N/A</v>
      </c>
      <c r="L146" s="237" t="e">
        <v>#N/A</v>
      </c>
      <c r="M146" s="185" t="e">
        <v>#N/A</v>
      </c>
      <c r="N146" s="185" t="e">
        <v>#N/A</v>
      </c>
      <c r="O146" s="185" t="e">
        <v>#N/A</v>
      </c>
      <c r="P146" s="185" t="e">
        <v>#N/A</v>
      </c>
      <c r="Q146" s="185" t="e">
        <v>#N/A</v>
      </c>
      <c r="R146" s="185" t="e">
        <v>#N/A</v>
      </c>
      <c r="S146" s="185" t="e">
        <v>#N/A</v>
      </c>
      <c r="T146" s="185" t="e">
        <v>#N/A</v>
      </c>
      <c r="U146" s="185" t="e">
        <v>#N/A</v>
      </c>
      <c r="V146" s="185" t="e">
        <v>#N/A</v>
      </c>
      <c r="W146" s="185" t="e">
        <v>#N/A</v>
      </c>
      <c r="X146" s="185" t="e">
        <v>#N/A</v>
      </c>
      <c r="Y146" s="185" t="e">
        <v>#N/A</v>
      </c>
      <c r="Z146" s="185" t="e">
        <v>#N/A</v>
      </c>
      <c r="AA146" s="185" t="e">
        <v>#N/A</v>
      </c>
      <c r="AB146" s="185" t="e">
        <v>#N/A</v>
      </c>
      <c r="AC146" s="185" t="e">
        <v>#N/A</v>
      </c>
      <c r="AD146" s="185" t="e">
        <v>#N/A</v>
      </c>
      <c r="AE146" s="185" t="e">
        <v>#N/A</v>
      </c>
      <c r="AF146" s="201" t="e">
        <v>#N/A</v>
      </c>
    </row>
    <row r="147" spans="7:32">
      <c r="G147" s="213" t="e">
        <v>#N/A</v>
      </c>
      <c r="H147" s="193" t="e">
        <v>#N/A</v>
      </c>
      <c r="I147" s="185" t="e">
        <v>#N/A</v>
      </c>
      <c r="J147" s="309" t="e">
        <v>#N/A</v>
      </c>
      <c r="K147" s="310" t="e">
        <v>#N/A</v>
      </c>
      <c r="L147" s="237" t="e">
        <v>#N/A</v>
      </c>
      <c r="M147" s="185" t="e">
        <v>#N/A</v>
      </c>
      <c r="N147" s="185" t="e">
        <v>#N/A</v>
      </c>
      <c r="O147" s="185" t="e">
        <v>#N/A</v>
      </c>
      <c r="P147" s="185" t="e">
        <v>#N/A</v>
      </c>
      <c r="Q147" s="185" t="e">
        <v>#N/A</v>
      </c>
      <c r="R147" s="185" t="e">
        <v>#N/A</v>
      </c>
      <c r="S147" s="185" t="e">
        <v>#N/A</v>
      </c>
      <c r="T147" s="185" t="e">
        <v>#N/A</v>
      </c>
      <c r="U147" s="185" t="e">
        <v>#N/A</v>
      </c>
      <c r="V147" s="185" t="e">
        <v>#N/A</v>
      </c>
      <c r="W147" s="185" t="e">
        <v>#N/A</v>
      </c>
      <c r="X147" s="185" t="e">
        <v>#N/A</v>
      </c>
      <c r="Y147" s="185" t="e">
        <v>#N/A</v>
      </c>
      <c r="Z147" s="185" t="e">
        <v>#N/A</v>
      </c>
      <c r="AA147" s="185" t="e">
        <v>#N/A</v>
      </c>
      <c r="AB147" s="185" t="e">
        <v>#N/A</v>
      </c>
      <c r="AC147" s="185" t="e">
        <v>#N/A</v>
      </c>
      <c r="AD147" s="185" t="e">
        <v>#N/A</v>
      </c>
      <c r="AE147" s="185" t="e">
        <v>#N/A</v>
      </c>
      <c r="AF147" s="201" t="e">
        <v>#N/A</v>
      </c>
    </row>
    <row r="148" spans="7:32">
      <c r="G148" s="213" t="e">
        <v>#N/A</v>
      </c>
      <c r="H148" s="193" t="e">
        <v>#N/A</v>
      </c>
      <c r="I148" s="185" t="e">
        <v>#N/A</v>
      </c>
      <c r="J148" s="309" t="e">
        <v>#N/A</v>
      </c>
      <c r="K148" s="310" t="e">
        <v>#N/A</v>
      </c>
      <c r="L148" s="237" t="e">
        <v>#N/A</v>
      </c>
      <c r="M148" s="185" t="e">
        <v>#N/A</v>
      </c>
      <c r="N148" s="185" t="e">
        <v>#N/A</v>
      </c>
      <c r="O148" s="185" t="e">
        <v>#N/A</v>
      </c>
      <c r="P148" s="185" t="e">
        <v>#N/A</v>
      </c>
      <c r="Q148" s="185" t="e">
        <v>#N/A</v>
      </c>
      <c r="R148" s="185" t="e">
        <v>#N/A</v>
      </c>
      <c r="S148" s="185" t="e">
        <v>#N/A</v>
      </c>
      <c r="T148" s="185" t="e">
        <v>#N/A</v>
      </c>
      <c r="U148" s="185" t="e">
        <v>#N/A</v>
      </c>
      <c r="V148" s="185" t="e">
        <v>#N/A</v>
      </c>
      <c r="W148" s="185" t="e">
        <v>#N/A</v>
      </c>
      <c r="X148" s="185" t="e">
        <v>#N/A</v>
      </c>
      <c r="Y148" s="185" t="e">
        <v>#N/A</v>
      </c>
      <c r="Z148" s="185" t="e">
        <v>#N/A</v>
      </c>
      <c r="AA148" s="185" t="e">
        <v>#N/A</v>
      </c>
      <c r="AB148" s="185" t="e">
        <v>#N/A</v>
      </c>
      <c r="AC148" s="185" t="e">
        <v>#N/A</v>
      </c>
      <c r="AD148" s="185" t="e">
        <v>#N/A</v>
      </c>
      <c r="AE148" s="185" t="e">
        <v>#N/A</v>
      </c>
      <c r="AF148" s="201" t="e">
        <v>#N/A</v>
      </c>
    </row>
    <row r="149" spans="7:32">
      <c r="G149" s="213" t="e">
        <v>#N/A</v>
      </c>
      <c r="H149" s="193" t="e">
        <v>#N/A</v>
      </c>
      <c r="I149" s="185" t="e">
        <v>#N/A</v>
      </c>
      <c r="J149" s="309" t="e">
        <v>#N/A</v>
      </c>
      <c r="K149" s="310" t="e">
        <v>#N/A</v>
      </c>
      <c r="L149" s="237" t="e">
        <v>#N/A</v>
      </c>
      <c r="M149" s="185" t="e">
        <v>#N/A</v>
      </c>
      <c r="N149" s="185" t="e">
        <v>#N/A</v>
      </c>
      <c r="O149" s="185" t="e">
        <v>#N/A</v>
      </c>
      <c r="P149" s="185" t="e">
        <v>#N/A</v>
      </c>
      <c r="Q149" s="185" t="e">
        <v>#N/A</v>
      </c>
      <c r="R149" s="185" t="e">
        <v>#N/A</v>
      </c>
      <c r="S149" s="185" t="e">
        <v>#N/A</v>
      </c>
      <c r="T149" s="185" t="e">
        <v>#N/A</v>
      </c>
      <c r="U149" s="185" t="e">
        <v>#N/A</v>
      </c>
      <c r="V149" s="185" t="e">
        <v>#N/A</v>
      </c>
      <c r="W149" s="185" t="e">
        <v>#N/A</v>
      </c>
      <c r="X149" s="185" t="e">
        <v>#N/A</v>
      </c>
      <c r="Y149" s="185" t="e">
        <v>#N/A</v>
      </c>
      <c r="Z149" s="185" t="e">
        <v>#N/A</v>
      </c>
      <c r="AA149" s="185" t="e">
        <v>#N/A</v>
      </c>
      <c r="AB149" s="185" t="e">
        <v>#N/A</v>
      </c>
      <c r="AC149" s="185" t="e">
        <v>#N/A</v>
      </c>
      <c r="AD149" s="185" t="e">
        <v>#N/A</v>
      </c>
      <c r="AE149" s="185" t="e">
        <v>#N/A</v>
      </c>
      <c r="AF149" s="201" t="e">
        <v>#N/A</v>
      </c>
    </row>
    <row r="150" spans="7:32">
      <c r="G150" s="213" t="e">
        <v>#N/A</v>
      </c>
      <c r="H150" s="193" t="e">
        <v>#N/A</v>
      </c>
      <c r="I150" s="185" t="e">
        <v>#N/A</v>
      </c>
      <c r="J150" s="309" t="e">
        <v>#N/A</v>
      </c>
      <c r="K150" s="310" t="e">
        <v>#N/A</v>
      </c>
      <c r="L150" s="237" t="e">
        <v>#N/A</v>
      </c>
      <c r="M150" s="185" t="e">
        <v>#N/A</v>
      </c>
      <c r="N150" s="185" t="e">
        <v>#N/A</v>
      </c>
      <c r="O150" s="185" t="e">
        <v>#N/A</v>
      </c>
      <c r="P150" s="185" t="e">
        <v>#N/A</v>
      </c>
      <c r="Q150" s="185" t="e">
        <v>#N/A</v>
      </c>
      <c r="R150" s="185" t="e">
        <v>#N/A</v>
      </c>
      <c r="S150" s="185" t="e">
        <v>#N/A</v>
      </c>
      <c r="T150" s="185" t="e">
        <v>#N/A</v>
      </c>
      <c r="U150" s="185" t="e">
        <v>#N/A</v>
      </c>
      <c r="V150" s="185" t="e">
        <v>#N/A</v>
      </c>
      <c r="W150" s="185" t="e">
        <v>#N/A</v>
      </c>
      <c r="X150" s="185" t="e">
        <v>#N/A</v>
      </c>
      <c r="Y150" s="185" t="e">
        <v>#N/A</v>
      </c>
      <c r="Z150" s="185" t="e">
        <v>#N/A</v>
      </c>
      <c r="AA150" s="185" t="e">
        <v>#N/A</v>
      </c>
      <c r="AB150" s="185" t="e">
        <v>#N/A</v>
      </c>
      <c r="AC150" s="185" t="e">
        <v>#N/A</v>
      </c>
      <c r="AD150" s="185" t="e">
        <v>#N/A</v>
      </c>
      <c r="AE150" s="185" t="e">
        <v>#N/A</v>
      </c>
      <c r="AF150" s="201" t="e">
        <v>#N/A</v>
      </c>
    </row>
    <row r="151" spans="7:32">
      <c r="G151" s="213" t="e">
        <v>#N/A</v>
      </c>
      <c r="H151" s="193" t="e">
        <v>#N/A</v>
      </c>
      <c r="I151" s="185" t="e">
        <v>#N/A</v>
      </c>
      <c r="J151" s="309" t="e">
        <v>#N/A</v>
      </c>
      <c r="K151" s="310" t="e">
        <v>#N/A</v>
      </c>
      <c r="L151" s="237" t="e">
        <v>#N/A</v>
      </c>
      <c r="M151" s="185" t="e">
        <v>#N/A</v>
      </c>
      <c r="N151" s="185" t="e">
        <v>#N/A</v>
      </c>
      <c r="O151" s="185" t="e">
        <v>#N/A</v>
      </c>
      <c r="P151" s="185" t="e">
        <v>#N/A</v>
      </c>
      <c r="Q151" s="185" t="e">
        <v>#N/A</v>
      </c>
      <c r="R151" s="185" t="e">
        <v>#N/A</v>
      </c>
      <c r="S151" s="185" t="e">
        <v>#N/A</v>
      </c>
      <c r="T151" s="185" t="e">
        <v>#N/A</v>
      </c>
      <c r="U151" s="185" t="e">
        <v>#N/A</v>
      </c>
      <c r="V151" s="185" t="e">
        <v>#N/A</v>
      </c>
      <c r="W151" s="185" t="e">
        <v>#N/A</v>
      </c>
      <c r="X151" s="185" t="e">
        <v>#N/A</v>
      </c>
      <c r="Y151" s="185" t="e">
        <v>#N/A</v>
      </c>
      <c r="Z151" s="185" t="e">
        <v>#N/A</v>
      </c>
      <c r="AA151" s="185" t="e">
        <v>#N/A</v>
      </c>
      <c r="AB151" s="185" t="e">
        <v>#N/A</v>
      </c>
      <c r="AC151" s="185" t="e">
        <v>#N/A</v>
      </c>
      <c r="AD151" s="185" t="e">
        <v>#N/A</v>
      </c>
      <c r="AE151" s="185" t="e">
        <v>#N/A</v>
      </c>
      <c r="AF151" s="201" t="e">
        <v>#N/A</v>
      </c>
    </row>
    <row r="152" spans="7:32">
      <c r="G152" s="213" t="e">
        <v>#N/A</v>
      </c>
      <c r="H152" s="193" t="e">
        <v>#N/A</v>
      </c>
      <c r="I152" s="185" t="e">
        <v>#N/A</v>
      </c>
      <c r="J152" s="309" t="e">
        <v>#N/A</v>
      </c>
      <c r="K152" s="310" t="e">
        <v>#N/A</v>
      </c>
      <c r="L152" s="237" t="e">
        <v>#N/A</v>
      </c>
      <c r="M152" s="185" t="e">
        <v>#N/A</v>
      </c>
      <c r="N152" s="185" t="e">
        <v>#N/A</v>
      </c>
      <c r="O152" s="185" t="e">
        <v>#N/A</v>
      </c>
      <c r="P152" s="185" t="e">
        <v>#N/A</v>
      </c>
      <c r="Q152" s="185" t="e">
        <v>#N/A</v>
      </c>
      <c r="R152" s="185" t="e">
        <v>#N/A</v>
      </c>
      <c r="S152" s="185" t="e">
        <v>#N/A</v>
      </c>
      <c r="T152" s="185" t="e">
        <v>#N/A</v>
      </c>
      <c r="U152" s="185" t="e">
        <v>#N/A</v>
      </c>
      <c r="V152" s="185" t="e">
        <v>#N/A</v>
      </c>
      <c r="W152" s="185" t="e">
        <v>#N/A</v>
      </c>
      <c r="X152" s="185" t="e">
        <v>#N/A</v>
      </c>
      <c r="Y152" s="185" t="e">
        <v>#N/A</v>
      </c>
      <c r="Z152" s="185" t="e">
        <v>#N/A</v>
      </c>
      <c r="AA152" s="185" t="e">
        <v>#N/A</v>
      </c>
      <c r="AB152" s="185" t="e">
        <v>#N/A</v>
      </c>
      <c r="AC152" s="185" t="e">
        <v>#N/A</v>
      </c>
      <c r="AD152" s="185" t="e">
        <v>#N/A</v>
      </c>
      <c r="AE152" s="185" t="e">
        <v>#N/A</v>
      </c>
      <c r="AF152" s="201" t="e">
        <v>#N/A</v>
      </c>
    </row>
    <row r="153" spans="7:32">
      <c r="G153" s="213" t="e">
        <v>#N/A</v>
      </c>
      <c r="H153" s="193" t="e">
        <v>#N/A</v>
      </c>
      <c r="I153" s="185" t="e">
        <v>#N/A</v>
      </c>
      <c r="J153" s="309" t="e">
        <v>#N/A</v>
      </c>
      <c r="K153" s="310" t="e">
        <v>#N/A</v>
      </c>
      <c r="L153" s="237" t="e">
        <v>#N/A</v>
      </c>
      <c r="M153" s="185" t="e">
        <v>#N/A</v>
      </c>
      <c r="N153" s="185" t="e">
        <v>#N/A</v>
      </c>
      <c r="O153" s="185" t="e">
        <v>#N/A</v>
      </c>
      <c r="P153" s="185" t="e">
        <v>#N/A</v>
      </c>
      <c r="Q153" s="185" t="e">
        <v>#N/A</v>
      </c>
      <c r="R153" s="185" t="e">
        <v>#N/A</v>
      </c>
      <c r="S153" s="185" t="e">
        <v>#N/A</v>
      </c>
      <c r="T153" s="185" t="e">
        <v>#N/A</v>
      </c>
      <c r="U153" s="185" t="e">
        <v>#N/A</v>
      </c>
      <c r="V153" s="185" t="e">
        <v>#N/A</v>
      </c>
      <c r="W153" s="185" t="e">
        <v>#N/A</v>
      </c>
      <c r="X153" s="185" t="e">
        <v>#N/A</v>
      </c>
      <c r="Y153" s="185" t="e">
        <v>#N/A</v>
      </c>
      <c r="Z153" s="185" t="e">
        <v>#N/A</v>
      </c>
      <c r="AA153" s="185" t="e">
        <v>#N/A</v>
      </c>
      <c r="AB153" s="185" t="e">
        <v>#N/A</v>
      </c>
      <c r="AC153" s="185" t="e">
        <v>#N/A</v>
      </c>
      <c r="AD153" s="185" t="e">
        <v>#N/A</v>
      </c>
      <c r="AE153" s="185" t="e">
        <v>#N/A</v>
      </c>
      <c r="AF153" s="201" t="e">
        <v>#N/A</v>
      </c>
    </row>
    <row r="154" spans="7:32">
      <c r="G154" s="213" t="e">
        <v>#N/A</v>
      </c>
      <c r="H154" s="193" t="e">
        <v>#N/A</v>
      </c>
      <c r="I154" s="185" t="e">
        <v>#N/A</v>
      </c>
      <c r="J154" s="309" t="e">
        <v>#N/A</v>
      </c>
      <c r="K154" s="310" t="e">
        <v>#N/A</v>
      </c>
      <c r="L154" s="237" t="e">
        <v>#N/A</v>
      </c>
      <c r="M154" s="185" t="e">
        <v>#N/A</v>
      </c>
      <c r="N154" s="185" t="e">
        <v>#N/A</v>
      </c>
      <c r="O154" s="185" t="e">
        <v>#N/A</v>
      </c>
      <c r="P154" s="185" t="e">
        <v>#N/A</v>
      </c>
      <c r="Q154" s="185" t="e">
        <v>#N/A</v>
      </c>
      <c r="R154" s="185" t="e">
        <v>#N/A</v>
      </c>
      <c r="S154" s="185" t="e">
        <v>#N/A</v>
      </c>
      <c r="T154" s="185" t="e">
        <v>#N/A</v>
      </c>
      <c r="U154" s="185" t="e">
        <v>#N/A</v>
      </c>
      <c r="V154" s="185" t="e">
        <v>#N/A</v>
      </c>
      <c r="W154" s="185" t="e">
        <v>#N/A</v>
      </c>
      <c r="X154" s="185" t="e">
        <v>#N/A</v>
      </c>
      <c r="Y154" s="185" t="e">
        <v>#N/A</v>
      </c>
      <c r="Z154" s="185" t="e">
        <v>#N/A</v>
      </c>
      <c r="AA154" s="185" t="e">
        <v>#N/A</v>
      </c>
      <c r="AB154" s="185" t="e">
        <v>#N/A</v>
      </c>
      <c r="AC154" s="185" t="e">
        <v>#N/A</v>
      </c>
      <c r="AD154" s="185" t="e">
        <v>#N/A</v>
      </c>
      <c r="AE154" s="185" t="e">
        <v>#N/A</v>
      </c>
      <c r="AF154" s="201" t="e">
        <v>#N/A</v>
      </c>
    </row>
    <row r="155" spans="7:32">
      <c r="G155" s="213" t="e">
        <v>#N/A</v>
      </c>
      <c r="H155" s="193" t="e">
        <v>#N/A</v>
      </c>
      <c r="I155" s="185" t="e">
        <v>#N/A</v>
      </c>
      <c r="J155" s="309" t="e">
        <v>#N/A</v>
      </c>
      <c r="K155" s="310" t="e">
        <v>#N/A</v>
      </c>
      <c r="L155" s="237" t="e">
        <v>#N/A</v>
      </c>
      <c r="M155" s="185" t="e">
        <v>#N/A</v>
      </c>
      <c r="N155" s="185" t="e">
        <v>#N/A</v>
      </c>
      <c r="O155" s="185" t="e">
        <v>#N/A</v>
      </c>
      <c r="P155" s="185" t="e">
        <v>#N/A</v>
      </c>
      <c r="Q155" s="185" t="e">
        <v>#N/A</v>
      </c>
      <c r="R155" s="185" t="e">
        <v>#N/A</v>
      </c>
      <c r="S155" s="185" t="e">
        <v>#N/A</v>
      </c>
      <c r="T155" s="185" t="e">
        <v>#N/A</v>
      </c>
      <c r="U155" s="185" t="e">
        <v>#N/A</v>
      </c>
      <c r="V155" s="185" t="e">
        <v>#N/A</v>
      </c>
      <c r="W155" s="185" t="e">
        <v>#N/A</v>
      </c>
      <c r="X155" s="185" t="e">
        <v>#N/A</v>
      </c>
      <c r="Y155" s="185" t="e">
        <v>#N/A</v>
      </c>
      <c r="Z155" s="185" t="e">
        <v>#N/A</v>
      </c>
      <c r="AA155" s="185" t="e">
        <v>#N/A</v>
      </c>
      <c r="AB155" s="185" t="e">
        <v>#N/A</v>
      </c>
      <c r="AC155" s="185" t="e">
        <v>#N/A</v>
      </c>
      <c r="AD155" s="185" t="e">
        <v>#N/A</v>
      </c>
      <c r="AE155" s="185" t="e">
        <v>#N/A</v>
      </c>
      <c r="AF155" s="201" t="e">
        <v>#N/A</v>
      </c>
    </row>
    <row r="156" spans="7:32">
      <c r="G156" s="213" t="e">
        <v>#N/A</v>
      </c>
      <c r="H156" s="193" t="e">
        <v>#N/A</v>
      </c>
      <c r="I156" s="185" t="e">
        <v>#N/A</v>
      </c>
      <c r="J156" s="309" t="e">
        <v>#N/A</v>
      </c>
      <c r="K156" s="310" t="e">
        <v>#N/A</v>
      </c>
      <c r="L156" s="237" t="e">
        <v>#N/A</v>
      </c>
      <c r="M156" s="185" t="e">
        <v>#N/A</v>
      </c>
      <c r="N156" s="185" t="e">
        <v>#N/A</v>
      </c>
      <c r="O156" s="185" t="e">
        <v>#N/A</v>
      </c>
      <c r="P156" s="185" t="e">
        <v>#N/A</v>
      </c>
      <c r="Q156" s="185" t="e">
        <v>#N/A</v>
      </c>
      <c r="R156" s="185" t="e">
        <v>#N/A</v>
      </c>
      <c r="S156" s="185" t="e">
        <v>#N/A</v>
      </c>
      <c r="T156" s="185" t="e">
        <v>#N/A</v>
      </c>
      <c r="U156" s="185" t="e">
        <v>#N/A</v>
      </c>
      <c r="V156" s="185" t="e">
        <v>#N/A</v>
      </c>
      <c r="W156" s="185" t="e">
        <v>#N/A</v>
      </c>
      <c r="X156" s="185" t="e">
        <v>#N/A</v>
      </c>
      <c r="Y156" s="185" t="e">
        <v>#N/A</v>
      </c>
      <c r="Z156" s="185" t="e">
        <v>#N/A</v>
      </c>
      <c r="AA156" s="185" t="e">
        <v>#N/A</v>
      </c>
      <c r="AB156" s="185" t="e">
        <v>#N/A</v>
      </c>
      <c r="AC156" s="185" t="e">
        <v>#N/A</v>
      </c>
      <c r="AD156" s="185" t="e">
        <v>#N/A</v>
      </c>
      <c r="AE156" s="185" t="e">
        <v>#N/A</v>
      </c>
      <c r="AF156" s="201" t="e">
        <v>#N/A</v>
      </c>
    </row>
    <row r="157" spans="7:32">
      <c r="G157" s="213" t="e">
        <v>#N/A</v>
      </c>
      <c r="H157" s="193" t="e">
        <v>#N/A</v>
      </c>
      <c r="I157" s="185" t="e">
        <v>#N/A</v>
      </c>
      <c r="J157" s="309" t="e">
        <v>#N/A</v>
      </c>
      <c r="K157" s="310" t="e">
        <v>#N/A</v>
      </c>
      <c r="L157" s="237" t="e">
        <v>#N/A</v>
      </c>
      <c r="M157" s="185" t="e">
        <v>#N/A</v>
      </c>
      <c r="N157" s="185" t="e">
        <v>#N/A</v>
      </c>
      <c r="O157" s="185" t="e">
        <v>#N/A</v>
      </c>
      <c r="P157" s="185" t="e">
        <v>#N/A</v>
      </c>
      <c r="Q157" s="185" t="e">
        <v>#N/A</v>
      </c>
      <c r="R157" s="185" t="e">
        <v>#N/A</v>
      </c>
      <c r="S157" s="185" t="e">
        <v>#N/A</v>
      </c>
      <c r="T157" s="185" t="e">
        <v>#N/A</v>
      </c>
      <c r="U157" s="185" t="e">
        <v>#N/A</v>
      </c>
      <c r="V157" s="185" t="e">
        <v>#N/A</v>
      </c>
      <c r="W157" s="185" t="e">
        <v>#N/A</v>
      </c>
      <c r="X157" s="185" t="e">
        <v>#N/A</v>
      </c>
      <c r="Y157" s="185" t="e">
        <v>#N/A</v>
      </c>
      <c r="Z157" s="185" t="e">
        <v>#N/A</v>
      </c>
      <c r="AA157" s="185" t="e">
        <v>#N/A</v>
      </c>
      <c r="AB157" s="185" t="e">
        <v>#N/A</v>
      </c>
      <c r="AC157" s="185" t="e">
        <v>#N/A</v>
      </c>
      <c r="AD157" s="185" t="e">
        <v>#N/A</v>
      </c>
      <c r="AE157" s="185" t="e">
        <v>#N/A</v>
      </c>
      <c r="AF157" s="201" t="e">
        <v>#N/A</v>
      </c>
    </row>
    <row r="158" spans="7:32">
      <c r="G158" s="213" t="e">
        <v>#N/A</v>
      </c>
      <c r="H158" s="193" t="e">
        <v>#N/A</v>
      </c>
      <c r="I158" s="185" t="e">
        <v>#N/A</v>
      </c>
      <c r="J158" s="309" t="e">
        <v>#N/A</v>
      </c>
      <c r="K158" s="310" t="e">
        <v>#N/A</v>
      </c>
      <c r="L158" s="237" t="e">
        <v>#N/A</v>
      </c>
      <c r="M158" s="185" t="e">
        <v>#N/A</v>
      </c>
      <c r="N158" s="185" t="e">
        <v>#N/A</v>
      </c>
      <c r="O158" s="185" t="e">
        <v>#N/A</v>
      </c>
      <c r="P158" s="185" t="e">
        <v>#N/A</v>
      </c>
      <c r="Q158" s="185" t="e">
        <v>#N/A</v>
      </c>
      <c r="R158" s="185" t="e">
        <v>#N/A</v>
      </c>
      <c r="S158" s="185" t="e">
        <v>#N/A</v>
      </c>
      <c r="T158" s="185" t="e">
        <v>#N/A</v>
      </c>
      <c r="U158" s="185" t="e">
        <v>#N/A</v>
      </c>
      <c r="V158" s="185" t="e">
        <v>#N/A</v>
      </c>
      <c r="W158" s="185" t="e">
        <v>#N/A</v>
      </c>
      <c r="X158" s="185" t="e">
        <v>#N/A</v>
      </c>
      <c r="Y158" s="185" t="e">
        <v>#N/A</v>
      </c>
      <c r="Z158" s="185" t="e">
        <v>#N/A</v>
      </c>
      <c r="AA158" s="185" t="e">
        <v>#N/A</v>
      </c>
      <c r="AB158" s="185" t="e">
        <v>#N/A</v>
      </c>
      <c r="AC158" s="185" t="e">
        <v>#N/A</v>
      </c>
      <c r="AD158" s="185" t="e">
        <v>#N/A</v>
      </c>
      <c r="AE158" s="185" t="e">
        <v>#N/A</v>
      </c>
      <c r="AF158" s="201" t="e">
        <v>#N/A</v>
      </c>
    </row>
    <row r="159" spans="7:32">
      <c r="G159" s="213" t="e">
        <v>#N/A</v>
      </c>
      <c r="H159" s="193" t="e">
        <v>#N/A</v>
      </c>
      <c r="I159" s="185" t="e">
        <v>#N/A</v>
      </c>
      <c r="J159" s="309" t="e">
        <v>#N/A</v>
      </c>
      <c r="K159" s="310" t="e">
        <v>#N/A</v>
      </c>
      <c r="L159" s="237" t="e">
        <v>#N/A</v>
      </c>
      <c r="M159" s="185" t="e">
        <v>#N/A</v>
      </c>
      <c r="N159" s="185" t="e">
        <v>#N/A</v>
      </c>
      <c r="O159" s="185" t="e">
        <v>#N/A</v>
      </c>
      <c r="P159" s="185" t="e">
        <v>#N/A</v>
      </c>
      <c r="Q159" s="185" t="e">
        <v>#N/A</v>
      </c>
      <c r="R159" s="185" t="e">
        <v>#N/A</v>
      </c>
      <c r="S159" s="185" t="e">
        <v>#N/A</v>
      </c>
      <c r="T159" s="185" t="e">
        <v>#N/A</v>
      </c>
      <c r="U159" s="185" t="e">
        <v>#N/A</v>
      </c>
      <c r="V159" s="185" t="e">
        <v>#N/A</v>
      </c>
      <c r="W159" s="185" t="e">
        <v>#N/A</v>
      </c>
      <c r="X159" s="185" t="e">
        <v>#N/A</v>
      </c>
      <c r="Y159" s="185" t="e">
        <v>#N/A</v>
      </c>
      <c r="Z159" s="185" t="e">
        <v>#N/A</v>
      </c>
      <c r="AA159" s="185" t="e">
        <v>#N/A</v>
      </c>
      <c r="AB159" s="185" t="e">
        <v>#N/A</v>
      </c>
      <c r="AC159" s="185" t="e">
        <v>#N/A</v>
      </c>
      <c r="AD159" s="185" t="e">
        <v>#N/A</v>
      </c>
      <c r="AE159" s="185" t="e">
        <v>#N/A</v>
      </c>
      <c r="AF159" s="201" t="e">
        <v>#N/A</v>
      </c>
    </row>
    <row r="160" spans="7:32">
      <c r="G160" s="213" t="e">
        <v>#N/A</v>
      </c>
      <c r="H160" s="193" t="e">
        <v>#N/A</v>
      </c>
      <c r="I160" s="185" t="e">
        <v>#N/A</v>
      </c>
      <c r="J160" s="309" t="e">
        <v>#N/A</v>
      </c>
      <c r="K160" s="310" t="e">
        <v>#N/A</v>
      </c>
      <c r="L160" s="237" t="e">
        <v>#N/A</v>
      </c>
      <c r="M160" s="185" t="e">
        <v>#N/A</v>
      </c>
      <c r="N160" s="185" t="e">
        <v>#N/A</v>
      </c>
      <c r="O160" s="185" t="e">
        <v>#N/A</v>
      </c>
      <c r="P160" s="185" t="e">
        <v>#N/A</v>
      </c>
      <c r="Q160" s="185" t="e">
        <v>#N/A</v>
      </c>
      <c r="R160" s="185" t="e">
        <v>#N/A</v>
      </c>
      <c r="S160" s="185" t="e">
        <v>#N/A</v>
      </c>
      <c r="T160" s="185" t="e">
        <v>#N/A</v>
      </c>
      <c r="U160" s="185" t="e">
        <v>#N/A</v>
      </c>
      <c r="V160" s="185" t="e">
        <v>#N/A</v>
      </c>
      <c r="W160" s="185" t="e">
        <v>#N/A</v>
      </c>
      <c r="X160" s="185" t="e">
        <v>#N/A</v>
      </c>
      <c r="Y160" s="185" t="e">
        <v>#N/A</v>
      </c>
      <c r="Z160" s="185" t="e">
        <v>#N/A</v>
      </c>
      <c r="AA160" s="185" t="e">
        <v>#N/A</v>
      </c>
      <c r="AB160" s="185" t="e">
        <v>#N/A</v>
      </c>
      <c r="AC160" s="185" t="e">
        <v>#N/A</v>
      </c>
      <c r="AD160" s="185" t="e">
        <v>#N/A</v>
      </c>
      <c r="AE160" s="185" t="e">
        <v>#N/A</v>
      </c>
      <c r="AF160" s="201" t="e">
        <v>#N/A</v>
      </c>
    </row>
    <row r="161" spans="7:32">
      <c r="G161" s="213" t="e">
        <v>#N/A</v>
      </c>
      <c r="H161" s="193" t="e">
        <v>#N/A</v>
      </c>
      <c r="I161" s="185" t="e">
        <v>#N/A</v>
      </c>
      <c r="J161" s="309" t="e">
        <v>#N/A</v>
      </c>
      <c r="K161" s="310" t="e">
        <v>#N/A</v>
      </c>
      <c r="L161" s="237" t="e">
        <v>#N/A</v>
      </c>
      <c r="M161" s="185" t="e">
        <v>#N/A</v>
      </c>
      <c r="N161" s="185" t="e">
        <v>#N/A</v>
      </c>
      <c r="O161" s="185" t="e">
        <v>#N/A</v>
      </c>
      <c r="P161" s="185" t="e">
        <v>#N/A</v>
      </c>
      <c r="Q161" s="185" t="e">
        <v>#N/A</v>
      </c>
      <c r="R161" s="185" t="e">
        <v>#N/A</v>
      </c>
      <c r="S161" s="185" t="e">
        <v>#N/A</v>
      </c>
      <c r="T161" s="185" t="e">
        <v>#N/A</v>
      </c>
      <c r="U161" s="185" t="e">
        <v>#N/A</v>
      </c>
      <c r="V161" s="185" t="e">
        <v>#N/A</v>
      </c>
      <c r="W161" s="185" t="e">
        <v>#N/A</v>
      </c>
      <c r="X161" s="185" t="e">
        <v>#N/A</v>
      </c>
      <c r="Y161" s="185" t="e">
        <v>#N/A</v>
      </c>
      <c r="Z161" s="185" t="e">
        <v>#N/A</v>
      </c>
      <c r="AA161" s="185" t="e">
        <v>#N/A</v>
      </c>
      <c r="AB161" s="185" t="e">
        <v>#N/A</v>
      </c>
      <c r="AC161" s="185" t="e">
        <v>#N/A</v>
      </c>
      <c r="AD161" s="185" t="e">
        <v>#N/A</v>
      </c>
      <c r="AE161" s="185" t="e">
        <v>#N/A</v>
      </c>
      <c r="AF161" s="201" t="e">
        <v>#N/A</v>
      </c>
    </row>
    <row r="162" spans="7:32">
      <c r="G162" s="213" t="e">
        <v>#N/A</v>
      </c>
      <c r="H162" s="193" t="e">
        <v>#N/A</v>
      </c>
      <c r="I162" s="185" t="e">
        <v>#N/A</v>
      </c>
      <c r="J162" s="309" t="e">
        <v>#N/A</v>
      </c>
      <c r="K162" s="310" t="e">
        <v>#N/A</v>
      </c>
      <c r="L162" s="237" t="e">
        <v>#N/A</v>
      </c>
      <c r="M162" s="185" t="e">
        <v>#N/A</v>
      </c>
      <c r="N162" s="185" t="e">
        <v>#N/A</v>
      </c>
      <c r="O162" s="185" t="e">
        <v>#N/A</v>
      </c>
      <c r="P162" s="185" t="e">
        <v>#N/A</v>
      </c>
      <c r="Q162" s="185" t="e">
        <v>#N/A</v>
      </c>
      <c r="R162" s="185" t="e">
        <v>#N/A</v>
      </c>
      <c r="S162" s="185" t="e">
        <v>#N/A</v>
      </c>
      <c r="T162" s="185" t="e">
        <v>#N/A</v>
      </c>
      <c r="U162" s="185" t="e">
        <v>#N/A</v>
      </c>
      <c r="V162" s="185" t="e">
        <v>#N/A</v>
      </c>
      <c r="W162" s="185" t="e">
        <v>#N/A</v>
      </c>
      <c r="X162" s="185" t="e">
        <v>#N/A</v>
      </c>
      <c r="Y162" s="185" t="e">
        <v>#N/A</v>
      </c>
      <c r="Z162" s="185" t="e">
        <v>#N/A</v>
      </c>
      <c r="AA162" s="185" t="e">
        <v>#N/A</v>
      </c>
      <c r="AB162" s="185" t="e">
        <v>#N/A</v>
      </c>
      <c r="AC162" s="185" t="e">
        <v>#N/A</v>
      </c>
      <c r="AD162" s="185" t="e">
        <v>#N/A</v>
      </c>
      <c r="AE162" s="185" t="e">
        <v>#N/A</v>
      </c>
      <c r="AF162" s="201" t="e">
        <v>#N/A</v>
      </c>
    </row>
    <row r="163" spans="7:32">
      <c r="G163" s="213" t="e">
        <v>#N/A</v>
      </c>
      <c r="H163" s="193" t="e">
        <v>#N/A</v>
      </c>
      <c r="I163" s="185" t="e">
        <v>#N/A</v>
      </c>
      <c r="J163" s="309" t="e">
        <v>#N/A</v>
      </c>
      <c r="K163" s="310" t="e">
        <v>#N/A</v>
      </c>
      <c r="L163" s="237" t="e">
        <v>#N/A</v>
      </c>
      <c r="M163" s="185" t="e">
        <v>#N/A</v>
      </c>
      <c r="N163" s="185" t="e">
        <v>#N/A</v>
      </c>
      <c r="O163" s="185" t="e">
        <v>#N/A</v>
      </c>
      <c r="P163" s="185" t="e">
        <v>#N/A</v>
      </c>
      <c r="Q163" s="185" t="e">
        <v>#N/A</v>
      </c>
      <c r="R163" s="185" t="e">
        <v>#N/A</v>
      </c>
      <c r="S163" s="185" t="e">
        <v>#N/A</v>
      </c>
      <c r="T163" s="185" t="e">
        <v>#N/A</v>
      </c>
      <c r="U163" s="185" t="e">
        <v>#N/A</v>
      </c>
      <c r="V163" s="185" t="e">
        <v>#N/A</v>
      </c>
      <c r="W163" s="185" t="e">
        <v>#N/A</v>
      </c>
      <c r="X163" s="185" t="e">
        <v>#N/A</v>
      </c>
      <c r="Y163" s="185" t="e">
        <v>#N/A</v>
      </c>
      <c r="Z163" s="185" t="e">
        <v>#N/A</v>
      </c>
      <c r="AA163" s="185" t="e">
        <v>#N/A</v>
      </c>
      <c r="AB163" s="185" t="e">
        <v>#N/A</v>
      </c>
      <c r="AC163" s="185" t="e">
        <v>#N/A</v>
      </c>
      <c r="AD163" s="185" t="e">
        <v>#N/A</v>
      </c>
      <c r="AE163" s="185" t="e">
        <v>#N/A</v>
      </c>
      <c r="AF163" s="201" t="e">
        <v>#N/A</v>
      </c>
    </row>
    <row r="164" spans="7:32">
      <c r="G164" s="213" t="e">
        <v>#N/A</v>
      </c>
      <c r="H164" s="193" t="e">
        <v>#N/A</v>
      </c>
      <c r="I164" s="185" t="e">
        <v>#N/A</v>
      </c>
      <c r="J164" s="309" t="e">
        <v>#N/A</v>
      </c>
      <c r="K164" s="310" t="e">
        <v>#N/A</v>
      </c>
      <c r="L164" s="237" t="e">
        <v>#N/A</v>
      </c>
      <c r="M164" s="185" t="e">
        <v>#N/A</v>
      </c>
      <c r="N164" s="185" t="e">
        <v>#N/A</v>
      </c>
      <c r="O164" s="185" t="e">
        <v>#N/A</v>
      </c>
      <c r="P164" s="185" t="e">
        <v>#N/A</v>
      </c>
      <c r="Q164" s="185" t="e">
        <v>#N/A</v>
      </c>
      <c r="R164" s="185" t="e">
        <v>#N/A</v>
      </c>
      <c r="S164" s="185" t="e">
        <v>#N/A</v>
      </c>
      <c r="T164" s="185" t="e">
        <v>#N/A</v>
      </c>
      <c r="U164" s="185" t="e">
        <v>#N/A</v>
      </c>
      <c r="V164" s="185" t="e">
        <v>#N/A</v>
      </c>
      <c r="W164" s="185" t="e">
        <v>#N/A</v>
      </c>
      <c r="X164" s="185" t="e">
        <v>#N/A</v>
      </c>
      <c r="Y164" s="185" t="e">
        <v>#N/A</v>
      </c>
      <c r="Z164" s="185" t="e">
        <v>#N/A</v>
      </c>
      <c r="AA164" s="185" t="e">
        <v>#N/A</v>
      </c>
      <c r="AB164" s="185" t="e">
        <v>#N/A</v>
      </c>
      <c r="AC164" s="185" t="e">
        <v>#N/A</v>
      </c>
      <c r="AD164" s="185" t="e">
        <v>#N/A</v>
      </c>
      <c r="AE164" s="185" t="e">
        <v>#N/A</v>
      </c>
      <c r="AF164" s="201" t="e">
        <v>#N/A</v>
      </c>
    </row>
    <row r="165" spans="7:32">
      <c r="G165" s="213" t="e">
        <v>#N/A</v>
      </c>
      <c r="H165" s="193" t="e">
        <v>#N/A</v>
      </c>
      <c r="I165" s="185" t="e">
        <v>#N/A</v>
      </c>
      <c r="J165" s="309" t="e">
        <v>#N/A</v>
      </c>
      <c r="K165" s="310" t="e">
        <v>#N/A</v>
      </c>
      <c r="L165" s="237" t="e">
        <v>#N/A</v>
      </c>
      <c r="M165" s="185" t="e">
        <v>#N/A</v>
      </c>
      <c r="N165" s="185" t="e">
        <v>#N/A</v>
      </c>
      <c r="O165" s="185" t="e">
        <v>#N/A</v>
      </c>
      <c r="P165" s="185" t="e">
        <v>#N/A</v>
      </c>
      <c r="Q165" s="185" t="e">
        <v>#N/A</v>
      </c>
      <c r="R165" s="185" t="e">
        <v>#N/A</v>
      </c>
      <c r="S165" s="185" t="e">
        <v>#N/A</v>
      </c>
      <c r="T165" s="185" t="e">
        <v>#N/A</v>
      </c>
      <c r="U165" s="185" t="e">
        <v>#N/A</v>
      </c>
      <c r="V165" s="185" t="e">
        <v>#N/A</v>
      </c>
      <c r="W165" s="185" t="e">
        <v>#N/A</v>
      </c>
      <c r="X165" s="185" t="e">
        <v>#N/A</v>
      </c>
      <c r="Y165" s="185" t="e">
        <v>#N/A</v>
      </c>
      <c r="Z165" s="185" t="e">
        <v>#N/A</v>
      </c>
      <c r="AA165" s="185" t="e">
        <v>#N/A</v>
      </c>
      <c r="AB165" s="185" t="e">
        <v>#N/A</v>
      </c>
      <c r="AC165" s="185" t="e">
        <v>#N/A</v>
      </c>
      <c r="AD165" s="185" t="e">
        <v>#N/A</v>
      </c>
      <c r="AE165" s="185" t="e">
        <v>#N/A</v>
      </c>
      <c r="AF165" s="201" t="e">
        <v>#N/A</v>
      </c>
    </row>
    <row r="166" spans="7:32">
      <c r="G166" s="213" t="e">
        <v>#N/A</v>
      </c>
      <c r="H166" s="193" t="e">
        <v>#N/A</v>
      </c>
      <c r="I166" s="185" t="e">
        <v>#N/A</v>
      </c>
      <c r="J166" s="309" t="e">
        <v>#N/A</v>
      </c>
      <c r="K166" s="310" t="e">
        <v>#N/A</v>
      </c>
      <c r="L166" s="237" t="e">
        <v>#N/A</v>
      </c>
      <c r="M166" s="185" t="e">
        <v>#N/A</v>
      </c>
      <c r="N166" s="185" t="e">
        <v>#N/A</v>
      </c>
      <c r="O166" s="185" t="e">
        <v>#N/A</v>
      </c>
      <c r="P166" s="185" t="e">
        <v>#N/A</v>
      </c>
      <c r="Q166" s="185" t="e">
        <v>#N/A</v>
      </c>
      <c r="R166" s="185" t="e">
        <v>#N/A</v>
      </c>
      <c r="S166" s="185" t="e">
        <v>#N/A</v>
      </c>
      <c r="T166" s="185" t="e">
        <v>#N/A</v>
      </c>
      <c r="U166" s="185" t="e">
        <v>#N/A</v>
      </c>
      <c r="V166" s="185" t="e">
        <v>#N/A</v>
      </c>
      <c r="W166" s="185" t="e">
        <v>#N/A</v>
      </c>
      <c r="X166" s="185" t="e">
        <v>#N/A</v>
      </c>
      <c r="Y166" s="185" t="e">
        <v>#N/A</v>
      </c>
      <c r="Z166" s="185" t="e">
        <v>#N/A</v>
      </c>
      <c r="AA166" s="185" t="e">
        <v>#N/A</v>
      </c>
      <c r="AB166" s="185" t="e">
        <v>#N/A</v>
      </c>
      <c r="AC166" s="185" t="e">
        <v>#N/A</v>
      </c>
      <c r="AD166" s="185" t="e">
        <v>#N/A</v>
      </c>
      <c r="AE166" s="185" t="e">
        <v>#N/A</v>
      </c>
      <c r="AF166" s="201" t="e">
        <v>#N/A</v>
      </c>
    </row>
    <row r="167" spans="7:32">
      <c r="G167" s="213" t="e">
        <v>#N/A</v>
      </c>
      <c r="H167" s="193" t="e">
        <v>#N/A</v>
      </c>
      <c r="I167" s="185" t="e">
        <v>#N/A</v>
      </c>
      <c r="J167" s="309" t="e">
        <v>#N/A</v>
      </c>
      <c r="K167" s="310" t="e">
        <v>#N/A</v>
      </c>
      <c r="L167" s="237" t="e">
        <v>#N/A</v>
      </c>
      <c r="M167" s="185" t="e">
        <v>#N/A</v>
      </c>
      <c r="N167" s="185" t="e">
        <v>#N/A</v>
      </c>
      <c r="O167" s="185" t="e">
        <v>#N/A</v>
      </c>
      <c r="P167" s="185" t="e">
        <v>#N/A</v>
      </c>
      <c r="Q167" s="185" t="e">
        <v>#N/A</v>
      </c>
      <c r="R167" s="185" t="e">
        <v>#N/A</v>
      </c>
      <c r="S167" s="185" t="e">
        <v>#N/A</v>
      </c>
      <c r="T167" s="185" t="e">
        <v>#N/A</v>
      </c>
      <c r="U167" s="185" t="e">
        <v>#N/A</v>
      </c>
      <c r="V167" s="185" t="e">
        <v>#N/A</v>
      </c>
      <c r="W167" s="185" t="e">
        <v>#N/A</v>
      </c>
      <c r="X167" s="185" t="e">
        <v>#N/A</v>
      </c>
      <c r="Y167" s="185" t="e">
        <v>#N/A</v>
      </c>
      <c r="Z167" s="185" t="e">
        <v>#N/A</v>
      </c>
      <c r="AA167" s="185" t="e">
        <v>#N/A</v>
      </c>
      <c r="AB167" s="185" t="e">
        <v>#N/A</v>
      </c>
      <c r="AC167" s="185" t="e">
        <v>#N/A</v>
      </c>
      <c r="AD167" s="185" t="e">
        <v>#N/A</v>
      </c>
      <c r="AE167" s="185" t="e">
        <v>#N/A</v>
      </c>
      <c r="AF167" s="201" t="e">
        <v>#N/A</v>
      </c>
    </row>
    <row r="168" spans="7:32">
      <c r="G168" s="213" t="e">
        <v>#N/A</v>
      </c>
      <c r="H168" s="193" t="e">
        <v>#N/A</v>
      </c>
      <c r="I168" s="185" t="e">
        <v>#N/A</v>
      </c>
      <c r="J168" s="309" t="e">
        <v>#N/A</v>
      </c>
      <c r="K168" s="310" t="e">
        <v>#N/A</v>
      </c>
      <c r="L168" s="237" t="e">
        <v>#N/A</v>
      </c>
      <c r="M168" s="185" t="e">
        <v>#N/A</v>
      </c>
      <c r="N168" s="185" t="e">
        <v>#N/A</v>
      </c>
      <c r="O168" s="185" t="e">
        <v>#N/A</v>
      </c>
      <c r="P168" s="185" t="e">
        <v>#N/A</v>
      </c>
      <c r="Q168" s="185" t="e">
        <v>#N/A</v>
      </c>
      <c r="R168" s="185" t="e">
        <v>#N/A</v>
      </c>
      <c r="S168" s="185" t="e">
        <v>#N/A</v>
      </c>
      <c r="T168" s="185" t="e">
        <v>#N/A</v>
      </c>
      <c r="U168" s="185" t="e">
        <v>#N/A</v>
      </c>
      <c r="V168" s="185" t="e">
        <v>#N/A</v>
      </c>
      <c r="W168" s="185" t="e">
        <v>#N/A</v>
      </c>
      <c r="X168" s="185" t="e">
        <v>#N/A</v>
      </c>
      <c r="Y168" s="185" t="e">
        <v>#N/A</v>
      </c>
      <c r="Z168" s="185" t="e">
        <v>#N/A</v>
      </c>
      <c r="AA168" s="185" t="e">
        <v>#N/A</v>
      </c>
      <c r="AB168" s="185" t="e">
        <v>#N/A</v>
      </c>
      <c r="AC168" s="185" t="e">
        <v>#N/A</v>
      </c>
      <c r="AD168" s="185" t="e">
        <v>#N/A</v>
      </c>
      <c r="AE168" s="185" t="e">
        <v>#N/A</v>
      </c>
      <c r="AF168" s="201" t="e">
        <v>#N/A</v>
      </c>
    </row>
    <row r="169" spans="7:32">
      <c r="G169" s="213" t="e">
        <v>#N/A</v>
      </c>
      <c r="H169" s="193" t="e">
        <v>#N/A</v>
      </c>
      <c r="I169" s="185" t="e">
        <v>#N/A</v>
      </c>
      <c r="J169" s="309" t="e">
        <v>#N/A</v>
      </c>
      <c r="K169" s="310" t="e">
        <v>#N/A</v>
      </c>
      <c r="L169" s="237" t="e">
        <v>#N/A</v>
      </c>
      <c r="M169" s="185" t="e">
        <v>#N/A</v>
      </c>
      <c r="N169" s="185" t="e">
        <v>#N/A</v>
      </c>
      <c r="O169" s="185" t="e">
        <v>#N/A</v>
      </c>
      <c r="P169" s="185" t="e">
        <v>#N/A</v>
      </c>
      <c r="Q169" s="185" t="e">
        <v>#N/A</v>
      </c>
      <c r="R169" s="185" t="e">
        <v>#N/A</v>
      </c>
      <c r="S169" s="185" t="e">
        <v>#N/A</v>
      </c>
      <c r="T169" s="185" t="e">
        <v>#N/A</v>
      </c>
      <c r="U169" s="185" t="e">
        <v>#N/A</v>
      </c>
      <c r="V169" s="185" t="e">
        <v>#N/A</v>
      </c>
      <c r="W169" s="185" t="e">
        <v>#N/A</v>
      </c>
      <c r="X169" s="185" t="e">
        <v>#N/A</v>
      </c>
      <c r="Y169" s="185" t="e">
        <v>#N/A</v>
      </c>
      <c r="Z169" s="185" t="e">
        <v>#N/A</v>
      </c>
      <c r="AA169" s="185" t="e">
        <v>#N/A</v>
      </c>
      <c r="AB169" s="185" t="e">
        <v>#N/A</v>
      </c>
      <c r="AC169" s="185" t="e">
        <v>#N/A</v>
      </c>
      <c r="AD169" s="185" t="e">
        <v>#N/A</v>
      </c>
      <c r="AE169" s="185" t="e">
        <v>#N/A</v>
      </c>
      <c r="AF169" s="201" t="e">
        <v>#N/A</v>
      </c>
    </row>
    <row r="170" spans="7:32">
      <c r="G170" s="213" t="e">
        <v>#N/A</v>
      </c>
      <c r="H170" s="193" t="e">
        <v>#N/A</v>
      </c>
      <c r="I170" s="185" t="e">
        <v>#N/A</v>
      </c>
      <c r="J170" s="309" t="e">
        <v>#N/A</v>
      </c>
      <c r="K170" s="310" t="e">
        <v>#N/A</v>
      </c>
      <c r="L170" s="237" t="e">
        <v>#N/A</v>
      </c>
      <c r="M170" s="185" t="e">
        <v>#N/A</v>
      </c>
      <c r="N170" s="185" t="e">
        <v>#N/A</v>
      </c>
      <c r="O170" s="185" t="e">
        <v>#N/A</v>
      </c>
      <c r="P170" s="185" t="e">
        <v>#N/A</v>
      </c>
      <c r="Q170" s="185" t="e">
        <v>#N/A</v>
      </c>
      <c r="R170" s="185" t="e">
        <v>#N/A</v>
      </c>
      <c r="S170" s="185" t="e">
        <v>#N/A</v>
      </c>
      <c r="T170" s="185" t="e">
        <v>#N/A</v>
      </c>
      <c r="U170" s="185" t="e">
        <v>#N/A</v>
      </c>
      <c r="V170" s="185" t="e">
        <v>#N/A</v>
      </c>
      <c r="W170" s="185" t="e">
        <v>#N/A</v>
      </c>
      <c r="X170" s="185" t="e">
        <v>#N/A</v>
      </c>
      <c r="Y170" s="185" t="e">
        <v>#N/A</v>
      </c>
      <c r="Z170" s="185" t="e">
        <v>#N/A</v>
      </c>
      <c r="AA170" s="185" t="e">
        <v>#N/A</v>
      </c>
      <c r="AB170" s="185" t="e">
        <v>#N/A</v>
      </c>
      <c r="AC170" s="185" t="e">
        <v>#N/A</v>
      </c>
      <c r="AD170" s="185" t="e">
        <v>#N/A</v>
      </c>
      <c r="AE170" s="185" t="e">
        <v>#N/A</v>
      </c>
      <c r="AF170" s="201" t="e">
        <v>#N/A</v>
      </c>
    </row>
    <row r="171" spans="7:32">
      <c r="G171" s="213" t="e">
        <v>#N/A</v>
      </c>
      <c r="H171" s="193" t="e">
        <v>#N/A</v>
      </c>
      <c r="I171" s="185" t="e">
        <v>#N/A</v>
      </c>
      <c r="J171" s="309" t="e">
        <v>#N/A</v>
      </c>
      <c r="K171" s="310" t="e">
        <v>#N/A</v>
      </c>
      <c r="L171" s="237" t="e">
        <v>#N/A</v>
      </c>
      <c r="M171" s="185" t="e">
        <v>#N/A</v>
      </c>
      <c r="N171" s="185" t="e">
        <v>#N/A</v>
      </c>
      <c r="O171" s="185" t="e">
        <v>#N/A</v>
      </c>
      <c r="P171" s="185" t="e">
        <v>#N/A</v>
      </c>
      <c r="Q171" s="185" t="e">
        <v>#N/A</v>
      </c>
      <c r="R171" s="185" t="e">
        <v>#N/A</v>
      </c>
      <c r="S171" s="185" t="e">
        <v>#N/A</v>
      </c>
      <c r="T171" s="185" t="e">
        <v>#N/A</v>
      </c>
      <c r="U171" s="185" t="e">
        <v>#N/A</v>
      </c>
      <c r="V171" s="185" t="e">
        <v>#N/A</v>
      </c>
      <c r="W171" s="185" t="e">
        <v>#N/A</v>
      </c>
      <c r="X171" s="185" t="e">
        <v>#N/A</v>
      </c>
      <c r="Y171" s="185" t="e">
        <v>#N/A</v>
      </c>
      <c r="Z171" s="185" t="e">
        <v>#N/A</v>
      </c>
      <c r="AA171" s="185" t="e">
        <v>#N/A</v>
      </c>
      <c r="AB171" s="185" t="e">
        <v>#N/A</v>
      </c>
      <c r="AC171" s="185" t="e">
        <v>#N/A</v>
      </c>
      <c r="AD171" s="185" t="e">
        <v>#N/A</v>
      </c>
      <c r="AE171" s="185" t="e">
        <v>#N/A</v>
      </c>
      <c r="AF171" s="201" t="e">
        <v>#N/A</v>
      </c>
    </row>
    <row r="172" spans="7:32">
      <c r="G172" s="213" t="e">
        <v>#N/A</v>
      </c>
      <c r="H172" s="193" t="e">
        <v>#N/A</v>
      </c>
      <c r="I172" s="185" t="e">
        <v>#N/A</v>
      </c>
      <c r="J172" s="309" t="e">
        <v>#N/A</v>
      </c>
      <c r="K172" s="310" t="e">
        <v>#N/A</v>
      </c>
      <c r="L172" s="237" t="e">
        <v>#N/A</v>
      </c>
      <c r="M172" s="185" t="e">
        <v>#N/A</v>
      </c>
      <c r="N172" s="185" t="e">
        <v>#N/A</v>
      </c>
      <c r="O172" s="185" t="e">
        <v>#N/A</v>
      </c>
      <c r="P172" s="185" t="e">
        <v>#N/A</v>
      </c>
      <c r="Q172" s="185" t="e">
        <v>#N/A</v>
      </c>
      <c r="R172" s="185" t="e">
        <v>#N/A</v>
      </c>
      <c r="S172" s="185" t="e">
        <v>#N/A</v>
      </c>
      <c r="T172" s="185" t="e">
        <v>#N/A</v>
      </c>
      <c r="U172" s="185" t="e">
        <v>#N/A</v>
      </c>
      <c r="V172" s="185" t="e">
        <v>#N/A</v>
      </c>
      <c r="W172" s="185" t="e">
        <v>#N/A</v>
      </c>
      <c r="X172" s="185" t="e">
        <v>#N/A</v>
      </c>
      <c r="Y172" s="185" t="e">
        <v>#N/A</v>
      </c>
      <c r="Z172" s="185" t="e">
        <v>#N/A</v>
      </c>
      <c r="AA172" s="185" t="e">
        <v>#N/A</v>
      </c>
      <c r="AB172" s="185" t="e">
        <v>#N/A</v>
      </c>
      <c r="AC172" s="185" t="e">
        <v>#N/A</v>
      </c>
      <c r="AD172" s="185" t="e">
        <v>#N/A</v>
      </c>
      <c r="AE172" s="185" t="e">
        <v>#N/A</v>
      </c>
      <c r="AF172" s="201" t="e">
        <v>#N/A</v>
      </c>
    </row>
    <row r="173" spans="7:32">
      <c r="G173" s="213" t="e">
        <v>#N/A</v>
      </c>
      <c r="H173" s="193" t="e">
        <v>#N/A</v>
      </c>
      <c r="I173" s="185" t="e">
        <v>#N/A</v>
      </c>
      <c r="J173" s="309" t="e">
        <v>#N/A</v>
      </c>
      <c r="K173" s="310" t="e">
        <v>#N/A</v>
      </c>
      <c r="L173" s="237" t="e">
        <v>#N/A</v>
      </c>
      <c r="M173" s="185" t="e">
        <v>#N/A</v>
      </c>
      <c r="N173" s="185" t="e">
        <v>#N/A</v>
      </c>
      <c r="O173" s="185" t="e">
        <v>#N/A</v>
      </c>
      <c r="P173" s="185" t="e">
        <v>#N/A</v>
      </c>
      <c r="Q173" s="185" t="e">
        <v>#N/A</v>
      </c>
      <c r="R173" s="185" t="e">
        <v>#N/A</v>
      </c>
      <c r="S173" s="185" t="e">
        <v>#N/A</v>
      </c>
      <c r="T173" s="185" t="e">
        <v>#N/A</v>
      </c>
      <c r="U173" s="185" t="e">
        <v>#N/A</v>
      </c>
      <c r="V173" s="185" t="e">
        <v>#N/A</v>
      </c>
      <c r="W173" s="185" t="e">
        <v>#N/A</v>
      </c>
      <c r="X173" s="185" t="e">
        <v>#N/A</v>
      </c>
      <c r="Y173" s="185" t="e">
        <v>#N/A</v>
      </c>
      <c r="Z173" s="185" t="e">
        <v>#N/A</v>
      </c>
      <c r="AA173" s="185" t="e">
        <v>#N/A</v>
      </c>
      <c r="AB173" s="185" t="e">
        <v>#N/A</v>
      </c>
      <c r="AC173" s="185" t="e">
        <v>#N/A</v>
      </c>
      <c r="AD173" s="185" t="e">
        <v>#N/A</v>
      </c>
      <c r="AE173" s="185" t="e">
        <v>#N/A</v>
      </c>
      <c r="AF173" s="201" t="e">
        <v>#N/A</v>
      </c>
    </row>
    <row r="174" spans="7:32">
      <c r="G174" s="213" t="e">
        <v>#N/A</v>
      </c>
      <c r="H174" s="193" t="e">
        <v>#N/A</v>
      </c>
      <c r="I174" s="185" t="e">
        <v>#N/A</v>
      </c>
      <c r="J174" s="309" t="e">
        <v>#N/A</v>
      </c>
      <c r="K174" s="310" t="e">
        <v>#N/A</v>
      </c>
      <c r="L174" s="237" t="e">
        <v>#N/A</v>
      </c>
      <c r="M174" s="185" t="e">
        <v>#N/A</v>
      </c>
      <c r="N174" s="185" t="e">
        <v>#N/A</v>
      </c>
      <c r="O174" s="185" t="e">
        <v>#N/A</v>
      </c>
      <c r="P174" s="185" t="e">
        <v>#N/A</v>
      </c>
      <c r="Q174" s="185" t="e">
        <v>#N/A</v>
      </c>
      <c r="R174" s="185" t="e">
        <v>#N/A</v>
      </c>
      <c r="S174" s="185" t="e">
        <v>#N/A</v>
      </c>
      <c r="T174" s="185" t="e">
        <v>#N/A</v>
      </c>
      <c r="U174" s="185" t="e">
        <v>#N/A</v>
      </c>
      <c r="V174" s="185" t="e">
        <v>#N/A</v>
      </c>
      <c r="W174" s="185" t="e">
        <v>#N/A</v>
      </c>
      <c r="X174" s="185" t="e">
        <v>#N/A</v>
      </c>
      <c r="Y174" s="185" t="e">
        <v>#N/A</v>
      </c>
      <c r="Z174" s="185" t="e">
        <v>#N/A</v>
      </c>
      <c r="AA174" s="185" t="e">
        <v>#N/A</v>
      </c>
      <c r="AB174" s="185" t="e">
        <v>#N/A</v>
      </c>
      <c r="AC174" s="185" t="e">
        <v>#N/A</v>
      </c>
      <c r="AD174" s="185" t="e">
        <v>#N/A</v>
      </c>
      <c r="AE174" s="185" t="e">
        <v>#N/A</v>
      </c>
      <c r="AF174" s="201" t="e">
        <v>#N/A</v>
      </c>
    </row>
    <row r="175" spans="7:32">
      <c r="G175" s="213" t="e">
        <v>#N/A</v>
      </c>
      <c r="H175" s="193" t="e">
        <v>#N/A</v>
      </c>
      <c r="I175" s="185" t="e">
        <v>#N/A</v>
      </c>
      <c r="J175" s="309" t="e">
        <v>#N/A</v>
      </c>
      <c r="K175" s="310" t="e">
        <v>#N/A</v>
      </c>
      <c r="L175" s="237" t="e">
        <v>#N/A</v>
      </c>
      <c r="M175" s="185" t="e">
        <v>#N/A</v>
      </c>
      <c r="N175" s="185" t="e">
        <v>#N/A</v>
      </c>
      <c r="O175" s="185" t="e">
        <v>#N/A</v>
      </c>
      <c r="P175" s="185" t="e">
        <v>#N/A</v>
      </c>
      <c r="Q175" s="185" t="e">
        <v>#N/A</v>
      </c>
      <c r="R175" s="185" t="e">
        <v>#N/A</v>
      </c>
      <c r="S175" s="185" t="e">
        <v>#N/A</v>
      </c>
      <c r="T175" s="185" t="e">
        <v>#N/A</v>
      </c>
      <c r="U175" s="185" t="e">
        <v>#N/A</v>
      </c>
      <c r="V175" s="185" t="e">
        <v>#N/A</v>
      </c>
      <c r="W175" s="185" t="e">
        <v>#N/A</v>
      </c>
      <c r="X175" s="185" t="e">
        <v>#N/A</v>
      </c>
      <c r="Y175" s="185" t="e">
        <v>#N/A</v>
      </c>
      <c r="Z175" s="185" t="e">
        <v>#N/A</v>
      </c>
      <c r="AA175" s="185" t="e">
        <v>#N/A</v>
      </c>
      <c r="AB175" s="185" t="e">
        <v>#N/A</v>
      </c>
      <c r="AC175" s="185" t="e">
        <v>#N/A</v>
      </c>
      <c r="AD175" s="185" t="e">
        <v>#N/A</v>
      </c>
      <c r="AE175" s="185" t="e">
        <v>#N/A</v>
      </c>
      <c r="AF175" s="201" t="e">
        <v>#N/A</v>
      </c>
    </row>
    <row r="176" spans="7:32">
      <c r="G176" s="213" t="e">
        <v>#N/A</v>
      </c>
      <c r="H176" s="193" t="e">
        <v>#N/A</v>
      </c>
      <c r="I176" s="185" t="e">
        <v>#N/A</v>
      </c>
      <c r="J176" s="309" t="e">
        <v>#N/A</v>
      </c>
      <c r="K176" s="310" t="e">
        <v>#N/A</v>
      </c>
      <c r="L176" s="237" t="e">
        <v>#N/A</v>
      </c>
      <c r="M176" s="185" t="e">
        <v>#N/A</v>
      </c>
      <c r="N176" s="185" t="e">
        <v>#N/A</v>
      </c>
      <c r="O176" s="185" t="e">
        <v>#N/A</v>
      </c>
      <c r="P176" s="185" t="e">
        <v>#N/A</v>
      </c>
      <c r="Q176" s="185" t="e">
        <v>#N/A</v>
      </c>
      <c r="R176" s="185" t="e">
        <v>#N/A</v>
      </c>
      <c r="S176" s="185" t="e">
        <v>#N/A</v>
      </c>
      <c r="T176" s="185" t="e">
        <v>#N/A</v>
      </c>
      <c r="U176" s="185" t="e">
        <v>#N/A</v>
      </c>
      <c r="V176" s="185" t="e">
        <v>#N/A</v>
      </c>
      <c r="W176" s="185" t="e">
        <v>#N/A</v>
      </c>
      <c r="X176" s="185" t="e">
        <v>#N/A</v>
      </c>
      <c r="Y176" s="185" t="e">
        <v>#N/A</v>
      </c>
      <c r="Z176" s="185" t="e">
        <v>#N/A</v>
      </c>
      <c r="AA176" s="185" t="e">
        <v>#N/A</v>
      </c>
      <c r="AB176" s="185" t="e">
        <v>#N/A</v>
      </c>
      <c r="AC176" s="185" t="e">
        <v>#N/A</v>
      </c>
      <c r="AD176" s="185" t="e">
        <v>#N/A</v>
      </c>
      <c r="AE176" s="185" t="e">
        <v>#N/A</v>
      </c>
      <c r="AF176" s="201" t="e">
        <v>#N/A</v>
      </c>
    </row>
    <row r="177" spans="7:32">
      <c r="G177" s="213" t="e">
        <v>#N/A</v>
      </c>
      <c r="H177" s="193" t="e">
        <v>#N/A</v>
      </c>
      <c r="I177" s="185" t="e">
        <v>#N/A</v>
      </c>
      <c r="J177" s="309" t="e">
        <v>#N/A</v>
      </c>
      <c r="K177" s="310" t="e">
        <v>#N/A</v>
      </c>
      <c r="L177" s="237" t="e">
        <v>#N/A</v>
      </c>
      <c r="M177" s="185" t="e">
        <v>#N/A</v>
      </c>
      <c r="N177" s="185" t="e">
        <v>#N/A</v>
      </c>
      <c r="O177" s="185" t="e">
        <v>#N/A</v>
      </c>
      <c r="P177" s="185" t="e">
        <v>#N/A</v>
      </c>
      <c r="Q177" s="185" t="e">
        <v>#N/A</v>
      </c>
      <c r="R177" s="185" t="e">
        <v>#N/A</v>
      </c>
      <c r="S177" s="185" t="e">
        <v>#N/A</v>
      </c>
      <c r="T177" s="185" t="e">
        <v>#N/A</v>
      </c>
      <c r="U177" s="185" t="e">
        <v>#N/A</v>
      </c>
      <c r="V177" s="185" t="e">
        <v>#N/A</v>
      </c>
      <c r="W177" s="185" t="e">
        <v>#N/A</v>
      </c>
      <c r="X177" s="185" t="e">
        <v>#N/A</v>
      </c>
      <c r="Y177" s="185" t="e">
        <v>#N/A</v>
      </c>
      <c r="Z177" s="185" t="e">
        <v>#N/A</v>
      </c>
      <c r="AA177" s="185" t="e">
        <v>#N/A</v>
      </c>
      <c r="AB177" s="185" t="e">
        <v>#N/A</v>
      </c>
      <c r="AC177" s="185" t="e">
        <v>#N/A</v>
      </c>
      <c r="AD177" s="185" t="e">
        <v>#N/A</v>
      </c>
      <c r="AE177" s="185" t="e">
        <v>#N/A</v>
      </c>
      <c r="AF177" s="201" t="e">
        <v>#N/A</v>
      </c>
    </row>
    <row r="178" spans="7:32">
      <c r="G178" s="213" t="e">
        <v>#N/A</v>
      </c>
      <c r="H178" s="193" t="e">
        <v>#N/A</v>
      </c>
      <c r="I178" s="185" t="e">
        <v>#N/A</v>
      </c>
      <c r="J178" s="309" t="e">
        <v>#N/A</v>
      </c>
      <c r="K178" s="310" t="e">
        <v>#N/A</v>
      </c>
      <c r="L178" s="237" t="e">
        <v>#N/A</v>
      </c>
      <c r="M178" s="185" t="e">
        <v>#N/A</v>
      </c>
      <c r="N178" s="185" t="e">
        <v>#N/A</v>
      </c>
      <c r="O178" s="185" t="e">
        <v>#N/A</v>
      </c>
      <c r="P178" s="185" t="e">
        <v>#N/A</v>
      </c>
      <c r="Q178" s="185" t="e">
        <v>#N/A</v>
      </c>
      <c r="R178" s="185" t="e">
        <v>#N/A</v>
      </c>
      <c r="S178" s="185" t="e">
        <v>#N/A</v>
      </c>
      <c r="T178" s="185" t="e">
        <v>#N/A</v>
      </c>
      <c r="U178" s="185" t="e">
        <v>#N/A</v>
      </c>
      <c r="V178" s="185" t="e">
        <v>#N/A</v>
      </c>
      <c r="W178" s="185" t="e">
        <v>#N/A</v>
      </c>
      <c r="X178" s="185" t="e">
        <v>#N/A</v>
      </c>
      <c r="Y178" s="185" t="e">
        <v>#N/A</v>
      </c>
      <c r="Z178" s="185" t="e">
        <v>#N/A</v>
      </c>
      <c r="AA178" s="185" t="e">
        <v>#N/A</v>
      </c>
      <c r="AB178" s="185" t="e">
        <v>#N/A</v>
      </c>
      <c r="AC178" s="185" t="e">
        <v>#N/A</v>
      </c>
      <c r="AD178" s="185" t="e">
        <v>#N/A</v>
      </c>
      <c r="AE178" s="185" t="e">
        <v>#N/A</v>
      </c>
      <c r="AF178" s="201" t="e">
        <v>#N/A</v>
      </c>
    </row>
    <row r="179" spans="7:32">
      <c r="G179" s="213" t="e">
        <v>#N/A</v>
      </c>
      <c r="H179" s="193" t="e">
        <v>#N/A</v>
      </c>
      <c r="I179" s="185" t="e">
        <v>#N/A</v>
      </c>
      <c r="J179" s="309" t="e">
        <v>#N/A</v>
      </c>
      <c r="K179" s="310" t="e">
        <v>#N/A</v>
      </c>
      <c r="L179" s="237" t="e">
        <v>#N/A</v>
      </c>
      <c r="M179" s="185" t="e">
        <v>#N/A</v>
      </c>
      <c r="N179" s="185" t="e">
        <v>#N/A</v>
      </c>
      <c r="O179" s="185" t="e">
        <v>#N/A</v>
      </c>
      <c r="P179" s="185" t="e">
        <v>#N/A</v>
      </c>
      <c r="Q179" s="185" t="e">
        <v>#N/A</v>
      </c>
      <c r="R179" s="185" t="e">
        <v>#N/A</v>
      </c>
      <c r="S179" s="185" t="e">
        <v>#N/A</v>
      </c>
      <c r="T179" s="185" t="e">
        <v>#N/A</v>
      </c>
      <c r="U179" s="185" t="e">
        <v>#N/A</v>
      </c>
      <c r="V179" s="185" t="e">
        <v>#N/A</v>
      </c>
      <c r="W179" s="185" t="e">
        <v>#N/A</v>
      </c>
      <c r="X179" s="185" t="e">
        <v>#N/A</v>
      </c>
      <c r="Y179" s="185" t="e">
        <v>#N/A</v>
      </c>
      <c r="Z179" s="185" t="e">
        <v>#N/A</v>
      </c>
      <c r="AA179" s="185" t="e">
        <v>#N/A</v>
      </c>
      <c r="AB179" s="185" t="e">
        <v>#N/A</v>
      </c>
      <c r="AC179" s="185" t="e">
        <v>#N/A</v>
      </c>
      <c r="AD179" s="185" t="e">
        <v>#N/A</v>
      </c>
      <c r="AE179" s="185" t="e">
        <v>#N/A</v>
      </c>
      <c r="AF179" s="201" t="e">
        <v>#N/A</v>
      </c>
    </row>
    <row r="180" spans="7:32">
      <c r="G180" s="213" t="e">
        <v>#N/A</v>
      </c>
      <c r="H180" s="193" t="e">
        <v>#N/A</v>
      </c>
      <c r="I180" s="185" t="e">
        <v>#N/A</v>
      </c>
      <c r="J180" s="309" t="e">
        <v>#N/A</v>
      </c>
      <c r="K180" s="310" t="e">
        <v>#N/A</v>
      </c>
      <c r="L180" s="237" t="e">
        <v>#N/A</v>
      </c>
      <c r="M180" s="185" t="e">
        <v>#N/A</v>
      </c>
      <c r="N180" s="185" t="e">
        <v>#N/A</v>
      </c>
      <c r="O180" s="185" t="e">
        <v>#N/A</v>
      </c>
      <c r="P180" s="185" t="e">
        <v>#N/A</v>
      </c>
      <c r="Q180" s="185" t="e">
        <v>#N/A</v>
      </c>
      <c r="R180" s="185" t="e">
        <v>#N/A</v>
      </c>
      <c r="S180" s="185" t="e">
        <v>#N/A</v>
      </c>
      <c r="T180" s="185" t="e">
        <v>#N/A</v>
      </c>
      <c r="U180" s="185" t="e">
        <v>#N/A</v>
      </c>
      <c r="V180" s="185" t="e">
        <v>#N/A</v>
      </c>
      <c r="W180" s="185" t="e">
        <v>#N/A</v>
      </c>
      <c r="X180" s="185" t="e">
        <v>#N/A</v>
      </c>
      <c r="Y180" s="185" t="e">
        <v>#N/A</v>
      </c>
      <c r="Z180" s="185" t="e">
        <v>#N/A</v>
      </c>
      <c r="AA180" s="185" t="e">
        <v>#N/A</v>
      </c>
      <c r="AB180" s="185" t="e">
        <v>#N/A</v>
      </c>
      <c r="AC180" s="185" t="e">
        <v>#N/A</v>
      </c>
      <c r="AD180" s="185" t="e">
        <v>#N/A</v>
      </c>
      <c r="AE180" s="185" t="e">
        <v>#N/A</v>
      </c>
      <c r="AF180" s="201" t="e">
        <v>#N/A</v>
      </c>
    </row>
    <row r="181" spans="7:32">
      <c r="G181" s="213" t="e">
        <v>#N/A</v>
      </c>
      <c r="H181" s="193" t="e">
        <v>#N/A</v>
      </c>
      <c r="I181" s="185" t="e">
        <v>#N/A</v>
      </c>
      <c r="J181" s="309" t="e">
        <v>#N/A</v>
      </c>
      <c r="K181" s="310" t="e">
        <v>#N/A</v>
      </c>
      <c r="L181" s="237" t="e">
        <v>#N/A</v>
      </c>
      <c r="M181" s="185" t="e">
        <v>#N/A</v>
      </c>
      <c r="N181" s="185" t="e">
        <v>#N/A</v>
      </c>
      <c r="O181" s="185" t="e">
        <v>#N/A</v>
      </c>
      <c r="P181" s="185" t="e">
        <v>#N/A</v>
      </c>
      <c r="Q181" s="185" t="e">
        <v>#N/A</v>
      </c>
      <c r="R181" s="185" t="e">
        <v>#N/A</v>
      </c>
      <c r="S181" s="185" t="e">
        <v>#N/A</v>
      </c>
      <c r="T181" s="185" t="e">
        <v>#N/A</v>
      </c>
      <c r="U181" s="185" t="e">
        <v>#N/A</v>
      </c>
      <c r="V181" s="185" t="e">
        <v>#N/A</v>
      </c>
      <c r="W181" s="185" t="e">
        <v>#N/A</v>
      </c>
      <c r="X181" s="185" t="e">
        <v>#N/A</v>
      </c>
      <c r="Y181" s="185" t="e">
        <v>#N/A</v>
      </c>
      <c r="Z181" s="185" t="e">
        <v>#N/A</v>
      </c>
      <c r="AA181" s="185" t="e">
        <v>#N/A</v>
      </c>
      <c r="AB181" s="185" t="e">
        <v>#N/A</v>
      </c>
      <c r="AC181" s="185" t="e">
        <v>#N/A</v>
      </c>
      <c r="AD181" s="185" t="e">
        <v>#N/A</v>
      </c>
      <c r="AE181" s="185" t="e">
        <v>#N/A</v>
      </c>
      <c r="AF181" s="201" t="e">
        <v>#N/A</v>
      </c>
    </row>
    <row r="182" spans="7:32">
      <c r="G182" s="213" t="e">
        <v>#N/A</v>
      </c>
      <c r="H182" s="193" t="e">
        <v>#N/A</v>
      </c>
      <c r="I182" s="185" t="e">
        <v>#N/A</v>
      </c>
      <c r="J182" s="309" t="e">
        <v>#N/A</v>
      </c>
      <c r="K182" s="310" t="e">
        <v>#N/A</v>
      </c>
      <c r="L182" s="237" t="e">
        <v>#N/A</v>
      </c>
      <c r="M182" s="185" t="e">
        <v>#N/A</v>
      </c>
      <c r="N182" s="185" t="e">
        <v>#N/A</v>
      </c>
      <c r="O182" s="185" t="e">
        <v>#N/A</v>
      </c>
      <c r="P182" s="185" t="e">
        <v>#N/A</v>
      </c>
      <c r="Q182" s="185" t="e">
        <v>#N/A</v>
      </c>
      <c r="R182" s="185" t="e">
        <v>#N/A</v>
      </c>
      <c r="S182" s="185" t="e">
        <v>#N/A</v>
      </c>
      <c r="T182" s="185" t="e">
        <v>#N/A</v>
      </c>
      <c r="U182" s="185" t="e">
        <v>#N/A</v>
      </c>
      <c r="V182" s="185" t="e">
        <v>#N/A</v>
      </c>
      <c r="W182" s="185" t="e">
        <v>#N/A</v>
      </c>
      <c r="X182" s="185" t="e">
        <v>#N/A</v>
      </c>
      <c r="Y182" s="185" t="e">
        <v>#N/A</v>
      </c>
      <c r="Z182" s="185" t="e">
        <v>#N/A</v>
      </c>
      <c r="AA182" s="185" t="e">
        <v>#N/A</v>
      </c>
      <c r="AB182" s="185" t="e">
        <v>#N/A</v>
      </c>
      <c r="AC182" s="185" t="e">
        <v>#N/A</v>
      </c>
      <c r="AD182" s="185" t="e">
        <v>#N/A</v>
      </c>
      <c r="AE182" s="185" t="e">
        <v>#N/A</v>
      </c>
      <c r="AF182" s="201" t="e">
        <v>#N/A</v>
      </c>
    </row>
    <row r="183" spans="7:32">
      <c r="G183" s="213" t="e">
        <v>#N/A</v>
      </c>
      <c r="H183" s="193" t="e">
        <v>#N/A</v>
      </c>
      <c r="I183" s="185" t="e">
        <v>#N/A</v>
      </c>
      <c r="J183" s="309" t="e">
        <v>#N/A</v>
      </c>
      <c r="K183" s="310" t="e">
        <v>#N/A</v>
      </c>
      <c r="L183" s="237" t="e">
        <v>#N/A</v>
      </c>
      <c r="M183" s="185" t="e">
        <v>#N/A</v>
      </c>
      <c r="N183" s="185" t="e">
        <v>#N/A</v>
      </c>
      <c r="O183" s="185" t="e">
        <v>#N/A</v>
      </c>
      <c r="P183" s="185" t="e">
        <v>#N/A</v>
      </c>
      <c r="Q183" s="185" t="e">
        <v>#N/A</v>
      </c>
      <c r="R183" s="185" t="e">
        <v>#N/A</v>
      </c>
      <c r="S183" s="185" t="e">
        <v>#N/A</v>
      </c>
      <c r="T183" s="185" t="e">
        <v>#N/A</v>
      </c>
      <c r="U183" s="185" t="e">
        <v>#N/A</v>
      </c>
      <c r="V183" s="185" t="e">
        <v>#N/A</v>
      </c>
      <c r="W183" s="185" t="e">
        <v>#N/A</v>
      </c>
      <c r="X183" s="185" t="e">
        <v>#N/A</v>
      </c>
      <c r="Y183" s="185" t="e">
        <v>#N/A</v>
      </c>
      <c r="Z183" s="185" t="e">
        <v>#N/A</v>
      </c>
      <c r="AA183" s="185" t="e">
        <v>#N/A</v>
      </c>
      <c r="AB183" s="185" t="e">
        <v>#N/A</v>
      </c>
      <c r="AC183" s="185" t="e">
        <v>#N/A</v>
      </c>
      <c r="AD183" s="185" t="e">
        <v>#N/A</v>
      </c>
      <c r="AE183" s="185" t="e">
        <v>#N/A</v>
      </c>
      <c r="AF183" s="201" t="e">
        <v>#N/A</v>
      </c>
    </row>
    <row r="184" spans="7:32">
      <c r="G184" s="213" t="e">
        <v>#N/A</v>
      </c>
      <c r="H184" s="193" t="e">
        <v>#N/A</v>
      </c>
      <c r="I184" s="185" t="e">
        <v>#N/A</v>
      </c>
      <c r="J184" s="309" t="e">
        <v>#N/A</v>
      </c>
      <c r="K184" s="310" t="e">
        <v>#N/A</v>
      </c>
      <c r="L184" s="237" t="e">
        <v>#N/A</v>
      </c>
      <c r="M184" s="185" t="e">
        <v>#N/A</v>
      </c>
      <c r="N184" s="185" t="e">
        <v>#N/A</v>
      </c>
      <c r="O184" s="185" t="e">
        <v>#N/A</v>
      </c>
      <c r="P184" s="185" t="e">
        <v>#N/A</v>
      </c>
      <c r="Q184" s="185" t="e">
        <v>#N/A</v>
      </c>
      <c r="R184" s="185" t="e">
        <v>#N/A</v>
      </c>
      <c r="S184" s="185" t="e">
        <v>#N/A</v>
      </c>
      <c r="T184" s="185" t="e">
        <v>#N/A</v>
      </c>
      <c r="U184" s="185" t="e">
        <v>#N/A</v>
      </c>
      <c r="V184" s="185" t="e">
        <v>#N/A</v>
      </c>
      <c r="W184" s="185" t="e">
        <v>#N/A</v>
      </c>
      <c r="X184" s="185" t="e">
        <v>#N/A</v>
      </c>
      <c r="Y184" s="185" t="e">
        <v>#N/A</v>
      </c>
      <c r="Z184" s="185" t="e">
        <v>#N/A</v>
      </c>
      <c r="AA184" s="185" t="e">
        <v>#N/A</v>
      </c>
      <c r="AB184" s="185" t="e">
        <v>#N/A</v>
      </c>
      <c r="AC184" s="185" t="e">
        <v>#N/A</v>
      </c>
      <c r="AD184" s="185" t="e">
        <v>#N/A</v>
      </c>
      <c r="AE184" s="185" t="e">
        <v>#N/A</v>
      </c>
      <c r="AF184" s="201" t="e">
        <v>#N/A</v>
      </c>
    </row>
    <row r="185" spans="7:32">
      <c r="G185" s="213" t="e">
        <v>#N/A</v>
      </c>
      <c r="H185" s="193" t="e">
        <v>#N/A</v>
      </c>
      <c r="I185" s="185" t="e">
        <v>#N/A</v>
      </c>
      <c r="J185" s="309" t="e">
        <v>#N/A</v>
      </c>
      <c r="K185" s="310" t="e">
        <v>#N/A</v>
      </c>
      <c r="L185" s="237" t="e">
        <v>#N/A</v>
      </c>
      <c r="M185" s="185" t="e">
        <v>#N/A</v>
      </c>
      <c r="N185" s="185" t="e">
        <v>#N/A</v>
      </c>
      <c r="O185" s="185" t="e">
        <v>#N/A</v>
      </c>
      <c r="P185" s="185" t="e">
        <v>#N/A</v>
      </c>
      <c r="Q185" s="185" t="e">
        <v>#N/A</v>
      </c>
      <c r="R185" s="185" t="e">
        <v>#N/A</v>
      </c>
      <c r="S185" s="185" t="e">
        <v>#N/A</v>
      </c>
      <c r="T185" s="185" t="e">
        <v>#N/A</v>
      </c>
      <c r="U185" s="185" t="e">
        <v>#N/A</v>
      </c>
      <c r="V185" s="185" t="e">
        <v>#N/A</v>
      </c>
      <c r="W185" s="185" t="e">
        <v>#N/A</v>
      </c>
      <c r="X185" s="185" t="e">
        <v>#N/A</v>
      </c>
      <c r="Y185" s="185" t="e">
        <v>#N/A</v>
      </c>
      <c r="Z185" s="185" t="e">
        <v>#N/A</v>
      </c>
      <c r="AA185" s="185" t="e">
        <v>#N/A</v>
      </c>
      <c r="AB185" s="185" t="e">
        <v>#N/A</v>
      </c>
      <c r="AC185" s="185" t="e">
        <v>#N/A</v>
      </c>
      <c r="AD185" s="185" t="e">
        <v>#N/A</v>
      </c>
      <c r="AE185" s="185" t="e">
        <v>#N/A</v>
      </c>
      <c r="AF185" s="201" t="e">
        <v>#N/A</v>
      </c>
    </row>
    <row r="186" spans="7:32">
      <c r="G186" s="213" t="e">
        <v>#N/A</v>
      </c>
      <c r="H186" s="193" t="e">
        <v>#N/A</v>
      </c>
      <c r="I186" s="185" t="e">
        <v>#N/A</v>
      </c>
      <c r="J186" s="309" t="e">
        <v>#N/A</v>
      </c>
      <c r="K186" s="310" t="e">
        <v>#N/A</v>
      </c>
      <c r="L186" s="237" t="e">
        <v>#N/A</v>
      </c>
      <c r="M186" s="185" t="e">
        <v>#N/A</v>
      </c>
      <c r="N186" s="185" t="e">
        <v>#N/A</v>
      </c>
      <c r="O186" s="185" t="e">
        <v>#N/A</v>
      </c>
      <c r="P186" s="185" t="e">
        <v>#N/A</v>
      </c>
      <c r="Q186" s="185" t="e">
        <v>#N/A</v>
      </c>
      <c r="R186" s="185" t="e">
        <v>#N/A</v>
      </c>
      <c r="S186" s="185" t="e">
        <v>#N/A</v>
      </c>
      <c r="T186" s="185" t="e">
        <v>#N/A</v>
      </c>
      <c r="U186" s="185" t="e">
        <v>#N/A</v>
      </c>
      <c r="V186" s="185" t="e">
        <v>#N/A</v>
      </c>
      <c r="W186" s="185" t="e">
        <v>#N/A</v>
      </c>
      <c r="X186" s="185" t="e">
        <v>#N/A</v>
      </c>
      <c r="Y186" s="185" t="e">
        <v>#N/A</v>
      </c>
      <c r="Z186" s="185" t="e">
        <v>#N/A</v>
      </c>
      <c r="AA186" s="185" t="e">
        <v>#N/A</v>
      </c>
      <c r="AB186" s="185" t="e">
        <v>#N/A</v>
      </c>
      <c r="AC186" s="185" t="e">
        <v>#N/A</v>
      </c>
      <c r="AD186" s="185" t="e">
        <v>#N/A</v>
      </c>
      <c r="AE186" s="185" t="e">
        <v>#N/A</v>
      </c>
      <c r="AF186" s="201" t="e">
        <v>#N/A</v>
      </c>
    </row>
    <row r="187" spans="7:32">
      <c r="G187" s="213" t="e">
        <v>#N/A</v>
      </c>
      <c r="H187" s="193" t="e">
        <v>#N/A</v>
      </c>
      <c r="I187" s="185" t="e">
        <v>#N/A</v>
      </c>
      <c r="J187" s="309" t="e">
        <v>#N/A</v>
      </c>
      <c r="K187" s="310" t="e">
        <v>#N/A</v>
      </c>
      <c r="L187" s="237" t="e">
        <v>#N/A</v>
      </c>
      <c r="M187" s="185" t="e">
        <v>#N/A</v>
      </c>
      <c r="N187" s="185" t="e">
        <v>#N/A</v>
      </c>
      <c r="O187" s="185" t="e">
        <v>#N/A</v>
      </c>
      <c r="P187" s="185" t="e">
        <v>#N/A</v>
      </c>
      <c r="Q187" s="185" t="e">
        <v>#N/A</v>
      </c>
      <c r="R187" s="185" t="e">
        <v>#N/A</v>
      </c>
      <c r="S187" s="185" t="e">
        <v>#N/A</v>
      </c>
      <c r="T187" s="185" t="e">
        <v>#N/A</v>
      </c>
      <c r="U187" s="185" t="e">
        <v>#N/A</v>
      </c>
      <c r="V187" s="185" t="e">
        <v>#N/A</v>
      </c>
      <c r="W187" s="185" t="e">
        <v>#N/A</v>
      </c>
      <c r="X187" s="185" t="e">
        <v>#N/A</v>
      </c>
      <c r="Y187" s="185" t="e">
        <v>#N/A</v>
      </c>
      <c r="Z187" s="185" t="e">
        <v>#N/A</v>
      </c>
      <c r="AA187" s="185" t="e">
        <v>#N/A</v>
      </c>
      <c r="AB187" s="185" t="e">
        <v>#N/A</v>
      </c>
      <c r="AC187" s="185" t="e">
        <v>#N/A</v>
      </c>
      <c r="AD187" s="185" t="e">
        <v>#N/A</v>
      </c>
      <c r="AE187" s="185" t="e">
        <v>#N/A</v>
      </c>
      <c r="AF187" s="201" t="e">
        <v>#N/A</v>
      </c>
    </row>
    <row r="188" spans="7:32">
      <c r="G188" s="213" t="e">
        <v>#N/A</v>
      </c>
      <c r="H188" s="193" t="e">
        <v>#N/A</v>
      </c>
      <c r="I188" s="185" t="e">
        <v>#N/A</v>
      </c>
      <c r="J188" s="309" t="e">
        <v>#N/A</v>
      </c>
      <c r="K188" s="310" t="e">
        <v>#N/A</v>
      </c>
      <c r="L188" s="237" t="e">
        <v>#N/A</v>
      </c>
      <c r="M188" s="185" t="e">
        <v>#N/A</v>
      </c>
      <c r="N188" s="185" t="e">
        <v>#N/A</v>
      </c>
      <c r="O188" s="185" t="e">
        <v>#N/A</v>
      </c>
      <c r="P188" s="185" t="e">
        <v>#N/A</v>
      </c>
      <c r="Q188" s="185" t="e">
        <v>#N/A</v>
      </c>
      <c r="R188" s="185" t="e">
        <v>#N/A</v>
      </c>
      <c r="S188" s="185" t="e">
        <v>#N/A</v>
      </c>
      <c r="T188" s="185" t="e">
        <v>#N/A</v>
      </c>
      <c r="U188" s="185" t="e">
        <v>#N/A</v>
      </c>
      <c r="V188" s="185" t="e">
        <v>#N/A</v>
      </c>
      <c r="W188" s="185" t="e">
        <v>#N/A</v>
      </c>
      <c r="X188" s="185" t="e">
        <v>#N/A</v>
      </c>
      <c r="Y188" s="185" t="e">
        <v>#N/A</v>
      </c>
      <c r="Z188" s="185" t="e">
        <v>#N/A</v>
      </c>
      <c r="AA188" s="185" t="e">
        <v>#N/A</v>
      </c>
      <c r="AB188" s="185" t="e">
        <v>#N/A</v>
      </c>
      <c r="AC188" s="185" t="e">
        <v>#N/A</v>
      </c>
      <c r="AD188" s="185" t="e">
        <v>#N/A</v>
      </c>
      <c r="AE188" s="185" t="e">
        <v>#N/A</v>
      </c>
      <c r="AF188" s="201" t="e">
        <v>#N/A</v>
      </c>
    </row>
    <row r="189" spans="7:32">
      <c r="G189" s="213" t="e">
        <v>#N/A</v>
      </c>
      <c r="H189" s="193" t="e">
        <v>#N/A</v>
      </c>
      <c r="I189" s="185" t="e">
        <v>#N/A</v>
      </c>
      <c r="J189" s="309" t="e">
        <v>#N/A</v>
      </c>
      <c r="K189" s="310" t="e">
        <v>#N/A</v>
      </c>
      <c r="L189" s="237" t="e">
        <v>#N/A</v>
      </c>
      <c r="M189" s="185" t="e">
        <v>#N/A</v>
      </c>
      <c r="N189" s="185" t="e">
        <v>#N/A</v>
      </c>
      <c r="O189" s="185" t="e">
        <v>#N/A</v>
      </c>
      <c r="P189" s="185" t="e">
        <v>#N/A</v>
      </c>
      <c r="Q189" s="185" t="e">
        <v>#N/A</v>
      </c>
      <c r="R189" s="185" t="e">
        <v>#N/A</v>
      </c>
      <c r="S189" s="185" t="e">
        <v>#N/A</v>
      </c>
      <c r="T189" s="185" t="e">
        <v>#N/A</v>
      </c>
      <c r="U189" s="185" t="e">
        <v>#N/A</v>
      </c>
      <c r="V189" s="185" t="e">
        <v>#N/A</v>
      </c>
      <c r="W189" s="185" t="e">
        <v>#N/A</v>
      </c>
      <c r="X189" s="185" t="e">
        <v>#N/A</v>
      </c>
      <c r="Y189" s="185" t="e">
        <v>#N/A</v>
      </c>
      <c r="Z189" s="185" t="e">
        <v>#N/A</v>
      </c>
      <c r="AA189" s="185" t="e">
        <v>#N/A</v>
      </c>
      <c r="AB189" s="185" t="e">
        <v>#N/A</v>
      </c>
      <c r="AC189" s="185" t="e">
        <v>#N/A</v>
      </c>
      <c r="AD189" s="185" t="e">
        <v>#N/A</v>
      </c>
      <c r="AE189" s="185" t="e">
        <v>#N/A</v>
      </c>
      <c r="AF189" s="201" t="e">
        <v>#N/A</v>
      </c>
    </row>
    <row r="190" spans="7:32">
      <c r="G190" s="213" t="e">
        <v>#N/A</v>
      </c>
      <c r="H190" s="193" t="e">
        <v>#N/A</v>
      </c>
      <c r="I190" s="185" t="e">
        <v>#N/A</v>
      </c>
      <c r="J190" s="309" t="e">
        <v>#N/A</v>
      </c>
      <c r="K190" s="310" t="e">
        <v>#N/A</v>
      </c>
      <c r="L190" s="237" t="e">
        <v>#N/A</v>
      </c>
      <c r="M190" s="185" t="e">
        <v>#N/A</v>
      </c>
      <c r="N190" s="185" t="e">
        <v>#N/A</v>
      </c>
      <c r="O190" s="185" t="e">
        <v>#N/A</v>
      </c>
      <c r="P190" s="185" t="e">
        <v>#N/A</v>
      </c>
      <c r="Q190" s="185" t="e">
        <v>#N/A</v>
      </c>
      <c r="R190" s="185" t="e">
        <v>#N/A</v>
      </c>
      <c r="S190" s="185" t="e">
        <v>#N/A</v>
      </c>
      <c r="T190" s="185" t="e">
        <v>#N/A</v>
      </c>
      <c r="U190" s="185" t="e">
        <v>#N/A</v>
      </c>
      <c r="V190" s="185" t="e">
        <v>#N/A</v>
      </c>
      <c r="W190" s="185" t="e">
        <v>#N/A</v>
      </c>
      <c r="X190" s="185" t="e">
        <v>#N/A</v>
      </c>
      <c r="Y190" s="185" t="e">
        <v>#N/A</v>
      </c>
      <c r="Z190" s="185" t="e">
        <v>#N/A</v>
      </c>
      <c r="AA190" s="185" t="e">
        <v>#N/A</v>
      </c>
      <c r="AB190" s="185" t="e">
        <v>#N/A</v>
      </c>
      <c r="AC190" s="185" t="e">
        <v>#N/A</v>
      </c>
      <c r="AD190" s="185" t="e">
        <v>#N/A</v>
      </c>
      <c r="AE190" s="185" t="e">
        <v>#N/A</v>
      </c>
      <c r="AF190" s="201" t="e">
        <v>#N/A</v>
      </c>
    </row>
    <row r="191" spans="7:32">
      <c r="G191" s="213" t="e">
        <v>#N/A</v>
      </c>
      <c r="H191" s="193" t="e">
        <v>#N/A</v>
      </c>
      <c r="I191" s="185" t="e">
        <v>#N/A</v>
      </c>
      <c r="J191" s="309" t="e">
        <v>#N/A</v>
      </c>
      <c r="K191" s="310" t="e">
        <v>#N/A</v>
      </c>
      <c r="L191" s="237" t="e">
        <v>#N/A</v>
      </c>
      <c r="M191" s="185" t="e">
        <v>#N/A</v>
      </c>
      <c r="N191" s="185" t="e">
        <v>#N/A</v>
      </c>
      <c r="O191" s="185" t="e">
        <v>#N/A</v>
      </c>
      <c r="P191" s="185" t="e">
        <v>#N/A</v>
      </c>
      <c r="Q191" s="185" t="e">
        <v>#N/A</v>
      </c>
      <c r="R191" s="185" t="e">
        <v>#N/A</v>
      </c>
      <c r="S191" s="185" t="e">
        <v>#N/A</v>
      </c>
      <c r="T191" s="185" t="e">
        <v>#N/A</v>
      </c>
      <c r="U191" s="185" t="e">
        <v>#N/A</v>
      </c>
      <c r="V191" s="185" t="e">
        <v>#N/A</v>
      </c>
      <c r="W191" s="185" t="e">
        <v>#N/A</v>
      </c>
      <c r="X191" s="185" t="e">
        <v>#N/A</v>
      </c>
      <c r="Y191" s="185" t="e">
        <v>#N/A</v>
      </c>
      <c r="Z191" s="185" t="e">
        <v>#N/A</v>
      </c>
      <c r="AA191" s="185" t="e">
        <v>#N/A</v>
      </c>
      <c r="AB191" s="185" t="e">
        <v>#N/A</v>
      </c>
      <c r="AC191" s="185" t="e">
        <v>#N/A</v>
      </c>
      <c r="AD191" s="185" t="e">
        <v>#N/A</v>
      </c>
      <c r="AE191" s="185" t="e">
        <v>#N/A</v>
      </c>
      <c r="AF191" s="201" t="e">
        <v>#N/A</v>
      </c>
    </row>
    <row r="192" spans="7:32">
      <c r="G192" s="213" t="e">
        <v>#N/A</v>
      </c>
      <c r="H192" s="193" t="e">
        <v>#N/A</v>
      </c>
      <c r="I192" s="185" t="e">
        <v>#N/A</v>
      </c>
      <c r="J192" s="309" t="e">
        <v>#N/A</v>
      </c>
      <c r="K192" s="310" t="e">
        <v>#N/A</v>
      </c>
      <c r="L192" s="237" t="e">
        <v>#N/A</v>
      </c>
      <c r="M192" s="185" t="e">
        <v>#N/A</v>
      </c>
      <c r="N192" s="185" t="e">
        <v>#N/A</v>
      </c>
      <c r="O192" s="185" t="e">
        <v>#N/A</v>
      </c>
      <c r="P192" s="185" t="e">
        <v>#N/A</v>
      </c>
      <c r="Q192" s="185" t="e">
        <v>#N/A</v>
      </c>
      <c r="R192" s="185" t="e">
        <v>#N/A</v>
      </c>
      <c r="S192" s="185" t="e">
        <v>#N/A</v>
      </c>
      <c r="T192" s="185" t="e">
        <v>#N/A</v>
      </c>
      <c r="U192" s="185" t="e">
        <v>#N/A</v>
      </c>
      <c r="V192" s="185" t="e">
        <v>#N/A</v>
      </c>
      <c r="W192" s="185" t="e">
        <v>#N/A</v>
      </c>
      <c r="X192" s="185" t="e">
        <v>#N/A</v>
      </c>
      <c r="Y192" s="185" t="e">
        <v>#N/A</v>
      </c>
      <c r="Z192" s="185" t="e">
        <v>#N/A</v>
      </c>
      <c r="AA192" s="185" t="e">
        <v>#N/A</v>
      </c>
      <c r="AB192" s="185" t="e">
        <v>#N/A</v>
      </c>
      <c r="AC192" s="185" t="e">
        <v>#N/A</v>
      </c>
      <c r="AD192" s="185" t="e">
        <v>#N/A</v>
      </c>
      <c r="AE192" s="185" t="e">
        <v>#N/A</v>
      </c>
      <c r="AF192" s="201" t="e">
        <v>#N/A</v>
      </c>
    </row>
    <row r="193" spans="7:32">
      <c r="G193" s="213" t="e">
        <v>#N/A</v>
      </c>
      <c r="H193" s="193" t="e">
        <v>#N/A</v>
      </c>
      <c r="I193" s="185" t="e">
        <v>#N/A</v>
      </c>
      <c r="J193" s="309" t="e">
        <v>#N/A</v>
      </c>
      <c r="K193" s="310" t="e">
        <v>#N/A</v>
      </c>
      <c r="L193" s="237" t="e">
        <v>#N/A</v>
      </c>
      <c r="M193" s="185" t="e">
        <v>#N/A</v>
      </c>
      <c r="N193" s="185" t="e">
        <v>#N/A</v>
      </c>
      <c r="O193" s="185" t="e">
        <v>#N/A</v>
      </c>
      <c r="P193" s="185" t="e">
        <v>#N/A</v>
      </c>
      <c r="Q193" s="185" t="e">
        <v>#N/A</v>
      </c>
      <c r="R193" s="185" t="e">
        <v>#N/A</v>
      </c>
      <c r="S193" s="185" t="e">
        <v>#N/A</v>
      </c>
      <c r="T193" s="185" t="e">
        <v>#N/A</v>
      </c>
      <c r="U193" s="185" t="e">
        <v>#N/A</v>
      </c>
      <c r="V193" s="185" t="e">
        <v>#N/A</v>
      </c>
      <c r="W193" s="185" t="e">
        <v>#N/A</v>
      </c>
      <c r="X193" s="185" t="e">
        <v>#N/A</v>
      </c>
      <c r="Y193" s="185" t="e">
        <v>#N/A</v>
      </c>
      <c r="Z193" s="185" t="e">
        <v>#N/A</v>
      </c>
      <c r="AA193" s="185" t="e">
        <v>#N/A</v>
      </c>
      <c r="AB193" s="185" t="e">
        <v>#N/A</v>
      </c>
      <c r="AC193" s="185" t="e">
        <v>#N/A</v>
      </c>
      <c r="AD193" s="185" t="e">
        <v>#N/A</v>
      </c>
      <c r="AE193" s="185" t="e">
        <v>#N/A</v>
      </c>
      <c r="AF193" s="201" t="e">
        <v>#N/A</v>
      </c>
    </row>
    <row r="194" spans="7:32">
      <c r="G194" s="213" t="e">
        <v>#N/A</v>
      </c>
      <c r="H194" s="193" t="e">
        <v>#N/A</v>
      </c>
      <c r="I194" s="185" t="e">
        <v>#N/A</v>
      </c>
      <c r="J194" s="309" t="e">
        <v>#N/A</v>
      </c>
      <c r="K194" s="310" t="e">
        <v>#N/A</v>
      </c>
      <c r="L194" s="237" t="e">
        <v>#N/A</v>
      </c>
      <c r="M194" s="185" t="e">
        <v>#N/A</v>
      </c>
      <c r="N194" s="185" t="e">
        <v>#N/A</v>
      </c>
      <c r="O194" s="185" t="e">
        <v>#N/A</v>
      </c>
      <c r="P194" s="185" t="e">
        <v>#N/A</v>
      </c>
      <c r="Q194" s="185" t="e">
        <v>#N/A</v>
      </c>
      <c r="R194" s="185" t="e">
        <v>#N/A</v>
      </c>
      <c r="S194" s="185" t="e">
        <v>#N/A</v>
      </c>
      <c r="T194" s="185" t="e">
        <v>#N/A</v>
      </c>
      <c r="U194" s="185" t="e">
        <v>#N/A</v>
      </c>
      <c r="V194" s="185" t="e">
        <v>#N/A</v>
      </c>
      <c r="W194" s="185" t="e">
        <v>#N/A</v>
      </c>
      <c r="X194" s="185" t="e">
        <v>#N/A</v>
      </c>
      <c r="Y194" s="185" t="e">
        <v>#N/A</v>
      </c>
      <c r="Z194" s="185" t="e">
        <v>#N/A</v>
      </c>
      <c r="AA194" s="185" t="e">
        <v>#N/A</v>
      </c>
      <c r="AB194" s="185" t="e">
        <v>#N/A</v>
      </c>
      <c r="AC194" s="185" t="e">
        <v>#N/A</v>
      </c>
      <c r="AD194" s="185" t="e">
        <v>#N/A</v>
      </c>
      <c r="AE194" s="185" t="e">
        <v>#N/A</v>
      </c>
      <c r="AF194" s="201" t="e">
        <v>#N/A</v>
      </c>
    </row>
    <row r="195" spans="7:32">
      <c r="G195" s="213" t="e">
        <v>#N/A</v>
      </c>
      <c r="H195" s="193" t="e">
        <v>#N/A</v>
      </c>
      <c r="I195" s="185" t="e">
        <v>#N/A</v>
      </c>
      <c r="J195" s="309" t="e">
        <v>#N/A</v>
      </c>
      <c r="K195" s="310" t="e">
        <v>#N/A</v>
      </c>
      <c r="L195" s="237" t="e">
        <v>#N/A</v>
      </c>
      <c r="M195" s="185" t="e">
        <v>#N/A</v>
      </c>
      <c r="N195" s="185" t="e">
        <v>#N/A</v>
      </c>
      <c r="O195" s="185" t="e">
        <v>#N/A</v>
      </c>
      <c r="P195" s="185" t="e">
        <v>#N/A</v>
      </c>
      <c r="Q195" s="185" t="e">
        <v>#N/A</v>
      </c>
      <c r="R195" s="185" t="e">
        <v>#N/A</v>
      </c>
      <c r="S195" s="185" t="e">
        <v>#N/A</v>
      </c>
      <c r="T195" s="185" t="e">
        <v>#N/A</v>
      </c>
      <c r="U195" s="185" t="e">
        <v>#N/A</v>
      </c>
      <c r="V195" s="185" t="e">
        <v>#N/A</v>
      </c>
      <c r="W195" s="185" t="e">
        <v>#N/A</v>
      </c>
      <c r="X195" s="185" t="e">
        <v>#N/A</v>
      </c>
      <c r="Y195" s="185" t="e">
        <v>#N/A</v>
      </c>
      <c r="Z195" s="185" t="e">
        <v>#N/A</v>
      </c>
      <c r="AA195" s="185" t="e">
        <v>#N/A</v>
      </c>
      <c r="AB195" s="185" t="e">
        <v>#N/A</v>
      </c>
      <c r="AC195" s="185" t="e">
        <v>#N/A</v>
      </c>
      <c r="AD195" s="185" t="e">
        <v>#N/A</v>
      </c>
      <c r="AE195" s="185" t="e">
        <v>#N/A</v>
      </c>
      <c r="AF195" s="201" t="e">
        <v>#N/A</v>
      </c>
    </row>
    <row r="196" spans="7:32">
      <c r="G196" s="213" t="e">
        <v>#N/A</v>
      </c>
      <c r="H196" s="193" t="e">
        <v>#N/A</v>
      </c>
      <c r="I196" s="185" t="e">
        <v>#N/A</v>
      </c>
      <c r="J196" s="309" t="e">
        <v>#N/A</v>
      </c>
      <c r="K196" s="310" t="e">
        <v>#N/A</v>
      </c>
      <c r="L196" s="237" t="e">
        <v>#N/A</v>
      </c>
      <c r="M196" s="185" t="e">
        <v>#N/A</v>
      </c>
      <c r="N196" s="185" t="e">
        <v>#N/A</v>
      </c>
      <c r="O196" s="185" t="e">
        <v>#N/A</v>
      </c>
      <c r="P196" s="185" t="e">
        <v>#N/A</v>
      </c>
      <c r="Q196" s="185" t="e">
        <v>#N/A</v>
      </c>
      <c r="R196" s="185" t="e">
        <v>#N/A</v>
      </c>
      <c r="S196" s="185" t="e">
        <v>#N/A</v>
      </c>
      <c r="T196" s="185" t="e">
        <v>#N/A</v>
      </c>
      <c r="U196" s="185" t="e">
        <v>#N/A</v>
      </c>
      <c r="V196" s="185" t="e">
        <v>#N/A</v>
      </c>
      <c r="W196" s="185" t="e">
        <v>#N/A</v>
      </c>
      <c r="X196" s="185" t="e">
        <v>#N/A</v>
      </c>
      <c r="Y196" s="185" t="e">
        <v>#N/A</v>
      </c>
      <c r="Z196" s="185" t="e">
        <v>#N/A</v>
      </c>
      <c r="AA196" s="185" t="e">
        <v>#N/A</v>
      </c>
      <c r="AB196" s="185" t="e">
        <v>#N/A</v>
      </c>
      <c r="AC196" s="185" t="e">
        <v>#N/A</v>
      </c>
      <c r="AD196" s="185" t="e">
        <v>#N/A</v>
      </c>
      <c r="AE196" s="185" t="e">
        <v>#N/A</v>
      </c>
      <c r="AF196" s="201" t="e">
        <v>#N/A</v>
      </c>
    </row>
    <row r="197" spans="7:32">
      <c r="G197" s="213" t="e">
        <v>#N/A</v>
      </c>
      <c r="H197" s="193" t="e">
        <v>#N/A</v>
      </c>
      <c r="I197" s="185" t="e">
        <v>#N/A</v>
      </c>
      <c r="J197" s="309" t="e">
        <v>#N/A</v>
      </c>
      <c r="K197" s="310" t="e">
        <v>#N/A</v>
      </c>
      <c r="L197" s="237" t="e">
        <v>#N/A</v>
      </c>
      <c r="M197" s="185" t="e">
        <v>#N/A</v>
      </c>
      <c r="N197" s="185" t="e">
        <v>#N/A</v>
      </c>
      <c r="O197" s="185" t="e">
        <v>#N/A</v>
      </c>
      <c r="P197" s="185" t="e">
        <v>#N/A</v>
      </c>
      <c r="Q197" s="185" t="e">
        <v>#N/A</v>
      </c>
      <c r="R197" s="185" t="e">
        <v>#N/A</v>
      </c>
      <c r="S197" s="185" t="e">
        <v>#N/A</v>
      </c>
      <c r="T197" s="185" t="e">
        <v>#N/A</v>
      </c>
      <c r="U197" s="185" t="e">
        <v>#N/A</v>
      </c>
      <c r="V197" s="185" t="e">
        <v>#N/A</v>
      </c>
      <c r="W197" s="185" t="e">
        <v>#N/A</v>
      </c>
      <c r="X197" s="185" t="e">
        <v>#N/A</v>
      </c>
      <c r="Y197" s="185" t="e">
        <v>#N/A</v>
      </c>
      <c r="Z197" s="185" t="e">
        <v>#N/A</v>
      </c>
      <c r="AA197" s="185" t="e">
        <v>#N/A</v>
      </c>
      <c r="AB197" s="185" t="e">
        <v>#N/A</v>
      </c>
      <c r="AC197" s="185" t="e">
        <v>#N/A</v>
      </c>
      <c r="AD197" s="185" t="e">
        <v>#N/A</v>
      </c>
      <c r="AE197" s="185" t="e">
        <v>#N/A</v>
      </c>
      <c r="AF197" s="201" t="e">
        <v>#N/A</v>
      </c>
    </row>
    <row r="198" spans="7:32">
      <c r="G198" s="213" t="e">
        <v>#N/A</v>
      </c>
      <c r="H198" s="193" t="e">
        <v>#N/A</v>
      </c>
      <c r="I198" s="185" t="e">
        <v>#N/A</v>
      </c>
      <c r="J198" s="309" t="e">
        <v>#N/A</v>
      </c>
      <c r="K198" s="310" t="e">
        <v>#N/A</v>
      </c>
      <c r="L198" s="237" t="e">
        <v>#N/A</v>
      </c>
      <c r="M198" s="185" t="e">
        <v>#N/A</v>
      </c>
      <c r="N198" s="185" t="e">
        <v>#N/A</v>
      </c>
      <c r="O198" s="185" t="e">
        <v>#N/A</v>
      </c>
      <c r="P198" s="185" t="e">
        <v>#N/A</v>
      </c>
      <c r="Q198" s="185" t="e">
        <v>#N/A</v>
      </c>
      <c r="R198" s="185" t="e">
        <v>#N/A</v>
      </c>
      <c r="S198" s="185" t="e">
        <v>#N/A</v>
      </c>
      <c r="T198" s="185" t="e">
        <v>#N/A</v>
      </c>
      <c r="U198" s="185" t="e">
        <v>#N/A</v>
      </c>
      <c r="V198" s="185" t="e">
        <v>#N/A</v>
      </c>
      <c r="W198" s="185" t="e">
        <v>#N/A</v>
      </c>
      <c r="X198" s="185" t="e">
        <v>#N/A</v>
      </c>
      <c r="Y198" s="185" t="e">
        <v>#N/A</v>
      </c>
      <c r="Z198" s="185" t="e">
        <v>#N/A</v>
      </c>
      <c r="AA198" s="185" t="e">
        <v>#N/A</v>
      </c>
      <c r="AB198" s="185" t="e">
        <v>#N/A</v>
      </c>
      <c r="AC198" s="185" t="e">
        <v>#N/A</v>
      </c>
      <c r="AD198" s="185" t="e">
        <v>#N/A</v>
      </c>
      <c r="AE198" s="185" t="e">
        <v>#N/A</v>
      </c>
      <c r="AF198" s="201" t="e">
        <v>#N/A</v>
      </c>
    </row>
    <row r="199" spans="7:32">
      <c r="G199" s="213" t="e">
        <v>#N/A</v>
      </c>
      <c r="H199" s="193" t="e">
        <v>#N/A</v>
      </c>
      <c r="I199" s="185" t="e">
        <v>#N/A</v>
      </c>
      <c r="J199" s="309" t="e">
        <v>#N/A</v>
      </c>
      <c r="K199" s="310" t="e">
        <v>#N/A</v>
      </c>
      <c r="L199" s="237" t="e">
        <v>#N/A</v>
      </c>
      <c r="M199" s="185" t="e">
        <v>#N/A</v>
      </c>
      <c r="N199" s="185" t="e">
        <v>#N/A</v>
      </c>
      <c r="O199" s="185" t="e">
        <v>#N/A</v>
      </c>
      <c r="P199" s="185" t="e">
        <v>#N/A</v>
      </c>
      <c r="Q199" s="185" t="e">
        <v>#N/A</v>
      </c>
      <c r="R199" s="185" t="e">
        <v>#N/A</v>
      </c>
      <c r="S199" s="185" t="e">
        <v>#N/A</v>
      </c>
      <c r="T199" s="185" t="e">
        <v>#N/A</v>
      </c>
      <c r="U199" s="185" t="e">
        <v>#N/A</v>
      </c>
      <c r="V199" s="185" t="e">
        <v>#N/A</v>
      </c>
      <c r="W199" s="185" t="e">
        <v>#N/A</v>
      </c>
      <c r="X199" s="185" t="e">
        <v>#N/A</v>
      </c>
      <c r="Y199" s="185" t="e">
        <v>#N/A</v>
      </c>
      <c r="Z199" s="185" t="e">
        <v>#N/A</v>
      </c>
      <c r="AA199" s="185" t="e">
        <v>#N/A</v>
      </c>
      <c r="AB199" s="185" t="e">
        <v>#N/A</v>
      </c>
      <c r="AC199" s="185" t="e">
        <v>#N/A</v>
      </c>
      <c r="AD199" s="185" t="e">
        <v>#N/A</v>
      </c>
      <c r="AE199" s="185" t="e">
        <v>#N/A</v>
      </c>
      <c r="AF199" s="201" t="e">
        <v>#N/A</v>
      </c>
    </row>
    <row r="200" spans="7:32">
      <c r="G200" s="213" t="e">
        <v>#N/A</v>
      </c>
      <c r="H200" s="193" t="e">
        <v>#N/A</v>
      </c>
      <c r="I200" s="185" t="e">
        <v>#N/A</v>
      </c>
      <c r="J200" s="309" t="e">
        <v>#N/A</v>
      </c>
      <c r="K200" s="310" t="e">
        <v>#N/A</v>
      </c>
      <c r="L200" s="237" t="e">
        <v>#N/A</v>
      </c>
      <c r="M200" s="185" t="e">
        <v>#N/A</v>
      </c>
      <c r="N200" s="185" t="e">
        <v>#N/A</v>
      </c>
      <c r="O200" s="185" t="e">
        <v>#N/A</v>
      </c>
      <c r="P200" s="185" t="e">
        <v>#N/A</v>
      </c>
      <c r="Q200" s="185" t="e">
        <v>#N/A</v>
      </c>
      <c r="R200" s="185" t="e">
        <v>#N/A</v>
      </c>
      <c r="S200" s="185" t="e">
        <v>#N/A</v>
      </c>
      <c r="T200" s="185" t="e">
        <v>#N/A</v>
      </c>
      <c r="U200" s="185" t="e">
        <v>#N/A</v>
      </c>
      <c r="V200" s="185" t="e">
        <v>#N/A</v>
      </c>
      <c r="W200" s="185" t="e">
        <v>#N/A</v>
      </c>
      <c r="X200" s="185" t="e">
        <v>#N/A</v>
      </c>
      <c r="Y200" s="185" t="e">
        <v>#N/A</v>
      </c>
      <c r="Z200" s="185" t="e">
        <v>#N/A</v>
      </c>
      <c r="AA200" s="185" t="e">
        <v>#N/A</v>
      </c>
      <c r="AB200" s="185" t="e">
        <v>#N/A</v>
      </c>
      <c r="AC200" s="185" t="e">
        <v>#N/A</v>
      </c>
      <c r="AD200" s="185" t="e">
        <v>#N/A</v>
      </c>
      <c r="AE200" s="185" t="e">
        <v>#N/A</v>
      </c>
      <c r="AF200" s="201" t="e">
        <v>#N/A</v>
      </c>
    </row>
    <row r="201" spans="7:32">
      <c r="G201" s="213" t="e">
        <v>#N/A</v>
      </c>
      <c r="H201" s="193" t="e">
        <v>#N/A</v>
      </c>
      <c r="I201" s="185" t="e">
        <v>#N/A</v>
      </c>
      <c r="J201" s="309" t="e">
        <v>#N/A</v>
      </c>
      <c r="K201" s="310" t="e">
        <v>#N/A</v>
      </c>
      <c r="L201" s="237" t="e">
        <v>#N/A</v>
      </c>
      <c r="M201" s="185" t="e">
        <v>#N/A</v>
      </c>
      <c r="N201" s="185" t="e">
        <v>#N/A</v>
      </c>
      <c r="O201" s="185" t="e">
        <v>#N/A</v>
      </c>
      <c r="P201" s="185" t="e">
        <v>#N/A</v>
      </c>
      <c r="Q201" s="185" t="e">
        <v>#N/A</v>
      </c>
      <c r="R201" s="185" t="e">
        <v>#N/A</v>
      </c>
      <c r="S201" s="185" t="e">
        <v>#N/A</v>
      </c>
      <c r="T201" s="185" t="e">
        <v>#N/A</v>
      </c>
      <c r="U201" s="185" t="e">
        <v>#N/A</v>
      </c>
      <c r="V201" s="185" t="e">
        <v>#N/A</v>
      </c>
      <c r="W201" s="185" t="e">
        <v>#N/A</v>
      </c>
      <c r="X201" s="185" t="e">
        <v>#N/A</v>
      </c>
      <c r="Y201" s="185" t="e">
        <v>#N/A</v>
      </c>
      <c r="Z201" s="185" t="e">
        <v>#N/A</v>
      </c>
      <c r="AA201" s="185" t="e">
        <v>#N/A</v>
      </c>
      <c r="AB201" s="185" t="e">
        <v>#N/A</v>
      </c>
      <c r="AC201" s="185" t="e">
        <v>#N/A</v>
      </c>
      <c r="AD201" s="185" t="e">
        <v>#N/A</v>
      </c>
      <c r="AE201" s="185" t="e">
        <v>#N/A</v>
      </c>
      <c r="AF201" s="201" t="e">
        <v>#N/A</v>
      </c>
    </row>
    <row r="202" spans="7:32">
      <c r="G202" s="213" t="e">
        <v>#N/A</v>
      </c>
      <c r="H202" s="193" t="e">
        <v>#N/A</v>
      </c>
      <c r="I202" s="185" t="e">
        <v>#N/A</v>
      </c>
      <c r="J202" s="309" t="e">
        <v>#N/A</v>
      </c>
      <c r="K202" s="310" t="e">
        <v>#N/A</v>
      </c>
      <c r="L202" s="237" t="e">
        <v>#N/A</v>
      </c>
      <c r="M202" s="185" t="e">
        <v>#N/A</v>
      </c>
      <c r="N202" s="185" t="e">
        <v>#N/A</v>
      </c>
      <c r="O202" s="185" t="e">
        <v>#N/A</v>
      </c>
      <c r="P202" s="185" t="e">
        <v>#N/A</v>
      </c>
      <c r="Q202" s="185" t="e">
        <v>#N/A</v>
      </c>
      <c r="R202" s="185" t="e">
        <v>#N/A</v>
      </c>
      <c r="S202" s="185" t="e">
        <v>#N/A</v>
      </c>
      <c r="T202" s="185" t="e">
        <v>#N/A</v>
      </c>
      <c r="U202" s="185" t="e">
        <v>#N/A</v>
      </c>
      <c r="V202" s="185" t="e">
        <v>#N/A</v>
      </c>
      <c r="W202" s="185" t="e">
        <v>#N/A</v>
      </c>
      <c r="X202" s="185" t="e">
        <v>#N/A</v>
      </c>
      <c r="Y202" s="185" t="e">
        <v>#N/A</v>
      </c>
      <c r="Z202" s="185" t="e">
        <v>#N/A</v>
      </c>
      <c r="AA202" s="185" t="e">
        <v>#N/A</v>
      </c>
      <c r="AB202" s="185" t="e">
        <v>#N/A</v>
      </c>
      <c r="AC202" s="185" t="e">
        <v>#N/A</v>
      </c>
      <c r="AD202" s="185" t="e">
        <v>#N/A</v>
      </c>
      <c r="AE202" s="185" t="e">
        <v>#N/A</v>
      </c>
      <c r="AF202" s="201" t="e">
        <v>#N/A</v>
      </c>
    </row>
    <row r="203" spans="7:32">
      <c r="G203" s="213" t="e">
        <v>#N/A</v>
      </c>
      <c r="H203" s="193" t="e">
        <v>#N/A</v>
      </c>
      <c r="I203" s="185" t="e">
        <v>#N/A</v>
      </c>
      <c r="J203" s="309" t="e">
        <v>#N/A</v>
      </c>
      <c r="K203" s="310" t="e">
        <v>#N/A</v>
      </c>
      <c r="L203" s="237" t="e">
        <v>#N/A</v>
      </c>
      <c r="M203" s="185" t="e">
        <v>#N/A</v>
      </c>
      <c r="N203" s="185" t="e">
        <v>#N/A</v>
      </c>
      <c r="O203" s="185" t="e">
        <v>#N/A</v>
      </c>
      <c r="P203" s="185" t="e">
        <v>#N/A</v>
      </c>
      <c r="Q203" s="185" t="e">
        <v>#N/A</v>
      </c>
      <c r="R203" s="185" t="e">
        <v>#N/A</v>
      </c>
      <c r="S203" s="185" t="e">
        <v>#N/A</v>
      </c>
      <c r="T203" s="185" t="e">
        <v>#N/A</v>
      </c>
      <c r="U203" s="185" t="e">
        <v>#N/A</v>
      </c>
      <c r="V203" s="185" t="e">
        <v>#N/A</v>
      </c>
      <c r="W203" s="185" t="e">
        <v>#N/A</v>
      </c>
      <c r="X203" s="185" t="e">
        <v>#N/A</v>
      </c>
      <c r="Y203" s="185" t="e">
        <v>#N/A</v>
      </c>
      <c r="Z203" s="185" t="e">
        <v>#N/A</v>
      </c>
      <c r="AA203" s="185" t="e">
        <v>#N/A</v>
      </c>
      <c r="AB203" s="185" t="e">
        <v>#N/A</v>
      </c>
      <c r="AC203" s="185" t="e">
        <v>#N/A</v>
      </c>
      <c r="AD203" s="185" t="e">
        <v>#N/A</v>
      </c>
      <c r="AE203" s="185" t="e">
        <v>#N/A</v>
      </c>
      <c r="AF203" s="201" t="e">
        <v>#N/A</v>
      </c>
    </row>
    <row r="204" spans="7:32">
      <c r="G204" s="213" t="e">
        <v>#N/A</v>
      </c>
      <c r="H204" s="193" t="e">
        <v>#N/A</v>
      </c>
      <c r="I204" s="185" t="e">
        <v>#N/A</v>
      </c>
      <c r="J204" s="309" t="e">
        <v>#N/A</v>
      </c>
      <c r="K204" s="310" t="e">
        <v>#N/A</v>
      </c>
      <c r="L204" s="237" t="e">
        <v>#N/A</v>
      </c>
      <c r="M204" s="185" t="e">
        <v>#N/A</v>
      </c>
      <c r="N204" s="185" t="e">
        <v>#N/A</v>
      </c>
      <c r="O204" s="185" t="e">
        <v>#N/A</v>
      </c>
      <c r="P204" s="185" t="e">
        <v>#N/A</v>
      </c>
      <c r="Q204" s="185" t="e">
        <v>#N/A</v>
      </c>
      <c r="R204" s="185" t="e">
        <v>#N/A</v>
      </c>
      <c r="S204" s="185" t="e">
        <v>#N/A</v>
      </c>
      <c r="T204" s="185" t="e">
        <v>#N/A</v>
      </c>
      <c r="U204" s="185" t="e">
        <v>#N/A</v>
      </c>
      <c r="V204" s="185" t="e">
        <v>#N/A</v>
      </c>
      <c r="W204" s="185" t="e">
        <v>#N/A</v>
      </c>
      <c r="X204" s="185" t="e">
        <v>#N/A</v>
      </c>
      <c r="Y204" s="185" t="e">
        <v>#N/A</v>
      </c>
      <c r="Z204" s="185" t="e">
        <v>#N/A</v>
      </c>
      <c r="AA204" s="185" t="e">
        <v>#N/A</v>
      </c>
      <c r="AB204" s="185" t="e">
        <v>#N/A</v>
      </c>
      <c r="AC204" s="185" t="e">
        <v>#N/A</v>
      </c>
      <c r="AD204" s="185" t="e">
        <v>#N/A</v>
      </c>
      <c r="AE204" s="185" t="e">
        <v>#N/A</v>
      </c>
      <c r="AF204" s="201" t="e">
        <v>#N/A</v>
      </c>
    </row>
    <row r="205" spans="7:32">
      <c r="G205" s="213" t="e">
        <v>#N/A</v>
      </c>
      <c r="H205" s="193" t="e">
        <v>#N/A</v>
      </c>
      <c r="I205" s="185" t="e">
        <v>#N/A</v>
      </c>
      <c r="J205" s="309" t="e">
        <v>#N/A</v>
      </c>
      <c r="K205" s="310" t="e">
        <v>#N/A</v>
      </c>
      <c r="L205" s="212" t="e">
        <v>#N/A</v>
      </c>
      <c r="M205" s="186" t="e">
        <v>#N/A</v>
      </c>
      <c r="N205" s="186" t="e">
        <v>#N/A</v>
      </c>
      <c r="O205" s="186" t="e">
        <v>#N/A</v>
      </c>
      <c r="P205" s="186" t="e">
        <v>#N/A</v>
      </c>
      <c r="Q205" s="186" t="e">
        <v>#N/A</v>
      </c>
      <c r="R205" s="186" t="e">
        <v>#N/A</v>
      </c>
      <c r="S205" s="186" t="e">
        <v>#N/A</v>
      </c>
      <c r="T205" s="186" t="e">
        <v>#N/A</v>
      </c>
      <c r="U205" s="186" t="e">
        <v>#N/A</v>
      </c>
      <c r="V205" s="186" t="e">
        <v>#N/A</v>
      </c>
      <c r="W205" s="186" t="e">
        <v>#N/A</v>
      </c>
      <c r="X205" s="186" t="e">
        <v>#N/A</v>
      </c>
      <c r="Y205" s="186" t="e">
        <v>#N/A</v>
      </c>
      <c r="Z205" s="186" t="e">
        <v>#N/A</v>
      </c>
      <c r="AA205" s="186" t="e">
        <v>#N/A</v>
      </c>
      <c r="AB205" s="186" t="e">
        <v>#N/A</v>
      </c>
      <c r="AC205" s="186" t="e">
        <v>#N/A</v>
      </c>
      <c r="AD205" s="186" t="e">
        <v>#N/A</v>
      </c>
      <c r="AE205" s="186" t="e">
        <v>#N/A</v>
      </c>
      <c r="AF205" s="189" t="e">
        <v>#N/A</v>
      </c>
    </row>
    <row r="206" spans="7:32">
      <c r="G206" s="214" t="e">
        <v>#N/A</v>
      </c>
      <c r="H206" s="307" t="e">
        <v>#N/A</v>
      </c>
      <c r="I206" s="195" t="e">
        <v>#N/A</v>
      </c>
      <c r="J206" s="311" t="e">
        <v>#N/A</v>
      </c>
      <c r="K206" s="312" t="e">
        <v>#N/A</v>
      </c>
      <c r="L206" s="230" t="e">
        <v>#N/A</v>
      </c>
      <c r="M206" s="190" t="e">
        <v>#N/A</v>
      </c>
      <c r="N206" s="190" t="e">
        <v>#N/A</v>
      </c>
      <c r="O206" s="190" t="e">
        <v>#N/A</v>
      </c>
      <c r="P206" s="190" t="e">
        <v>#N/A</v>
      </c>
      <c r="Q206" s="190" t="e">
        <v>#N/A</v>
      </c>
      <c r="R206" s="190" t="e">
        <v>#N/A</v>
      </c>
      <c r="S206" s="190" t="e">
        <v>#N/A</v>
      </c>
      <c r="T206" s="190" t="e">
        <v>#N/A</v>
      </c>
      <c r="U206" s="190" t="e">
        <v>#N/A</v>
      </c>
      <c r="V206" s="190" t="e">
        <v>#N/A</v>
      </c>
      <c r="W206" s="190" t="e">
        <v>#N/A</v>
      </c>
      <c r="X206" s="190" t="e">
        <v>#N/A</v>
      </c>
      <c r="Y206" s="190" t="e">
        <v>#N/A</v>
      </c>
      <c r="Z206" s="190" t="e">
        <v>#N/A</v>
      </c>
      <c r="AA206" s="190" t="e">
        <v>#N/A</v>
      </c>
      <c r="AB206" s="190" t="e">
        <v>#N/A</v>
      </c>
      <c r="AC206" s="190" t="e">
        <v>#N/A</v>
      </c>
      <c r="AD206" s="190" t="e">
        <v>#N/A</v>
      </c>
      <c r="AE206" s="190" t="e">
        <v>#N/A</v>
      </c>
      <c r="AF206" s="191" t="e">
        <v>#N/A</v>
      </c>
    </row>
  </sheetData>
  <phoneticPr fontId="0" type="noConversion"/>
  <pageMargins left="0.78740157499999996" right="0.78740157499999996" top="0.984251969" bottom="0.984251969" header="0.4921259845" footer="0.4921259845"/>
  <pageSetup paperSize="9"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tblPtxDiagrams"/>
  <dimension ref="A1:S306"/>
  <sheetViews>
    <sheetView zoomScale="90" zoomScaleNormal="90" workbookViewId="0">
      <selection activeCell="B7" sqref="B7"/>
    </sheetView>
  </sheetViews>
  <sheetFormatPr baseColWidth="10" defaultColWidth="11.42578125" defaultRowHeight="15"/>
  <cols>
    <col min="1" max="1" width="15.7109375" style="122" customWidth="1"/>
    <col min="2" max="2" width="13.7109375" style="122" customWidth="1"/>
    <col min="3" max="4" width="9.7109375" style="122" customWidth="1"/>
    <col min="5" max="5" width="3.7109375" style="122" customWidth="1"/>
    <col min="6" max="6" width="115.7109375" style="122" customWidth="1"/>
    <col min="7" max="9" width="12.7109375" style="118" customWidth="1"/>
    <col min="10" max="13" width="25.7109375" style="118" customWidth="1"/>
    <col min="14" max="14" width="28.7109375" style="118" customWidth="1"/>
    <col min="15" max="15" width="25.7109375" style="118" customWidth="1"/>
    <col min="16" max="19" width="8.5703125" style="118" customWidth="1"/>
    <col min="20" max="16384" width="11.42578125" style="122"/>
  </cols>
  <sheetData>
    <row r="1" spans="1:19" ht="15" customHeight="1">
      <c r="G1" s="124"/>
      <c r="L1" s="172"/>
    </row>
    <row r="2" spans="1:19" ht="18.75" customHeight="1">
      <c r="A2" s="115" t="s">
        <v>14</v>
      </c>
      <c r="B2" s="116"/>
      <c r="C2" s="116"/>
      <c r="D2" s="116"/>
      <c r="E2" s="116"/>
      <c r="F2" s="116"/>
      <c r="G2" s="115" t="s">
        <v>365</v>
      </c>
      <c r="L2"/>
      <c r="M2" s="125"/>
      <c r="N2" s="125"/>
      <c r="O2" s="125"/>
    </row>
    <row r="3" spans="1:19" ht="15.75" customHeight="1">
      <c r="A3" s="123"/>
      <c r="G3" s="93" t="str">
        <f>[2]!ERRORTEXT(G4)</f>
        <v/>
      </c>
    </row>
    <row r="4" spans="1:19" ht="16.350000000000001" customHeight="1">
      <c r="A4" s="117" t="s">
        <v>0</v>
      </c>
      <c r="B4" s="181"/>
      <c r="C4" s="118"/>
      <c r="D4" s="118"/>
      <c r="E4" s="163"/>
      <c r="F4" s="163"/>
      <c r="G4" s="211" t="str">
        <f t="array" ref="G4:O306">[2]!PTXDIAGEOS(B6,B7,A13:A14,C13:C14,D13,B4,B10)</f>
        <v>Point No.</v>
      </c>
      <c r="H4" s="224" t="str">
        <v>Temperature</v>
      </c>
      <c r="I4" s="225" t="str">
        <v>Pressure</v>
      </c>
      <c r="J4" s="224" t="str">
        <v>Liquid density</v>
      </c>
      <c r="K4" s="225" t="str">
        <v>Vapor (or liquid2) density</v>
      </c>
      <c r="L4" s="224" t="str">
        <v>Liquid composition</v>
      </c>
      <c r="M4" s="225" t="str">
        <v/>
      </c>
      <c r="N4" s="224" t="str">
        <v>Vapor (or liquid2) composition</v>
      </c>
      <c r="O4" s="225" t="str">
        <v/>
      </c>
      <c r="Q4" s="119"/>
      <c r="R4" s="119"/>
      <c r="S4" s="119"/>
    </row>
    <row r="5" spans="1:19" ht="16.350000000000001" customHeight="1">
      <c r="A5" s="120"/>
      <c r="B5" s="118"/>
      <c r="C5" s="118"/>
      <c r="D5" s="118"/>
      <c r="E5" s="163"/>
      <c r="F5" s="163"/>
      <c r="G5" s="219" t="str">
        <v>i (max: 157)</v>
      </c>
      <c r="H5" s="226" t="str">
        <v>T</v>
      </c>
      <c r="I5" s="227" t="str">
        <v>p</v>
      </c>
      <c r="J5" s="226" t="str">
        <v>rho_liq</v>
      </c>
      <c r="K5" s="227" t="str">
        <v>rho_vap(or liq2)</v>
      </c>
      <c r="L5" s="226" t="str">
        <v>x_methane</v>
      </c>
      <c r="M5" s="227" t="str">
        <v>x_ethane</v>
      </c>
      <c r="N5" s="226" t="str">
        <v>x_methane</v>
      </c>
      <c r="O5" s="227" t="str">
        <v>x_ethane</v>
      </c>
      <c r="Q5" s="119"/>
      <c r="R5" s="119"/>
      <c r="S5" s="119"/>
    </row>
    <row r="6" spans="1:19" ht="16.350000000000001" customHeight="1">
      <c r="A6" s="127" t="s">
        <v>13</v>
      </c>
      <c r="B6" s="220" t="s">
        <v>366</v>
      </c>
      <c r="C6" s="118"/>
      <c r="D6" s="118"/>
      <c r="E6" s="163"/>
      <c r="F6" s="163"/>
      <c r="G6" s="219" t="str">
        <v>1</v>
      </c>
      <c r="H6" s="226" t="str">
        <v>K</v>
      </c>
      <c r="I6" s="227" t="str">
        <v>MPa</v>
      </c>
      <c r="J6" s="226" t="str">
        <v>mol/m3</v>
      </c>
      <c r="K6" s="227" t="str">
        <v>mol/m3</v>
      </c>
      <c r="L6" s="226" t="str">
        <v>mol/mol</v>
      </c>
      <c r="M6" s="227" t="str">
        <v>mol/mol</v>
      </c>
      <c r="N6" s="226" t="str">
        <v>mol/mol</v>
      </c>
      <c r="O6" s="227" t="str">
        <v>mol/mol</v>
      </c>
      <c r="Q6" s="119"/>
      <c r="R6" s="119"/>
      <c r="S6" s="119"/>
    </row>
    <row r="7" spans="1:19" ht="16.350000000000001" customHeight="1">
      <c r="A7" s="127" t="s">
        <v>15</v>
      </c>
      <c r="B7" s="221">
        <v>180</v>
      </c>
      <c r="C7" s="118" t="str">
        <f>[2]!PROPUNIT(LEFT(B6,1))</f>
        <v>K</v>
      </c>
      <c r="D7" s="118"/>
      <c r="E7" s="163"/>
      <c r="F7" s="163"/>
      <c r="G7" s="228">
        <v>1</v>
      </c>
      <c r="H7" s="308">
        <v>180</v>
      </c>
      <c r="I7" s="223">
        <v>3.2851804144731753</v>
      </c>
      <c r="J7" s="313">
        <v>17218.223248185594</v>
      </c>
      <c r="K7" s="314">
        <v>3825.7083376828064</v>
      </c>
      <c r="L7" s="222">
        <v>1</v>
      </c>
      <c r="M7" s="223">
        <v>0</v>
      </c>
      <c r="N7" s="222">
        <v>1</v>
      </c>
      <c r="O7" s="223">
        <v>0</v>
      </c>
      <c r="Q7" s="119"/>
      <c r="R7" s="119"/>
      <c r="S7" s="119"/>
    </row>
    <row r="8" spans="1:19" ht="16.350000000000001" customHeight="1">
      <c r="G8" s="228">
        <v>2</v>
      </c>
      <c r="H8" s="308">
        <v>180</v>
      </c>
      <c r="I8" s="223">
        <v>3.2382718894930149</v>
      </c>
      <c r="J8" s="313">
        <v>17427.493105848989</v>
      </c>
      <c r="K8" s="314">
        <v>3705.9309076959862</v>
      </c>
      <c r="L8" s="222">
        <v>0.99191846178770116</v>
      </c>
      <c r="M8" s="223">
        <v>8.08153821229886E-3</v>
      </c>
      <c r="N8" s="222">
        <v>0.9985374065981818</v>
      </c>
      <c r="O8" s="223">
        <v>1.4625934018182084E-3</v>
      </c>
      <c r="Q8" s="119"/>
      <c r="R8" s="119"/>
      <c r="S8" s="119"/>
    </row>
    <row r="9" spans="1:19" ht="16.350000000000001" customHeight="1">
      <c r="G9" s="228">
        <v>3</v>
      </c>
      <c r="H9" s="308">
        <v>180</v>
      </c>
      <c r="I9" s="223">
        <v>3.1833915104173811</v>
      </c>
      <c r="J9" s="313">
        <v>17657.743227884821</v>
      </c>
      <c r="K9" s="314">
        <v>3573.6316804898438</v>
      </c>
      <c r="L9" s="222">
        <v>0.98191846178770115</v>
      </c>
      <c r="M9" s="223">
        <v>1.808153821229886E-2</v>
      </c>
      <c r="N9" s="222">
        <v>0.99689650290357679</v>
      </c>
      <c r="O9" s="223">
        <v>3.1034970964232099E-3</v>
      </c>
      <c r="Q9" s="119"/>
      <c r="R9" s="119"/>
      <c r="S9" s="119"/>
    </row>
    <row r="10" spans="1:19" ht="16.350000000000001" customHeight="1">
      <c r="A10" s="127" t="s">
        <v>374</v>
      </c>
      <c r="B10" s="181" t="b">
        <v>1</v>
      </c>
      <c r="C10" s="118"/>
      <c r="G10" s="228">
        <v>4</v>
      </c>
      <c r="H10" s="308">
        <v>180</v>
      </c>
      <c r="I10" s="223">
        <v>3.1314502014297929</v>
      </c>
      <c r="J10" s="313">
        <v>17861.989540497463</v>
      </c>
      <c r="K10" s="314">
        <v>3455.2297527728833</v>
      </c>
      <c r="L10" s="222">
        <v>0.97191846178770114</v>
      </c>
      <c r="M10" s="223">
        <v>2.8081538212298862E-2</v>
      </c>
      <c r="N10" s="222">
        <v>0.99540441583696693</v>
      </c>
      <c r="O10" s="223">
        <v>4.5955841630330426E-3</v>
      </c>
      <c r="Q10" s="119"/>
      <c r="R10" s="119"/>
      <c r="S10" s="119"/>
    </row>
    <row r="11" spans="1:19" ht="16.350000000000001" customHeight="1">
      <c r="G11" s="229">
        <v>5</v>
      </c>
      <c r="H11" s="308">
        <v>180</v>
      </c>
      <c r="I11" s="223">
        <v>3.081993319548999</v>
      </c>
      <c r="J11" s="313">
        <v>18044.699169559455</v>
      </c>
      <c r="K11" s="314">
        <v>3347.9220832731708</v>
      </c>
      <c r="L11" s="222">
        <v>0.96191846178770113</v>
      </c>
      <c r="M11" s="223">
        <v>3.8081538212298864E-2</v>
      </c>
      <c r="N11" s="222">
        <v>0.99403181544509167</v>
      </c>
      <c r="O11" s="223">
        <v>5.9681845549082744E-3</v>
      </c>
      <c r="Q11" s="78"/>
      <c r="R11" s="119"/>
      <c r="S11" s="119"/>
    </row>
    <row r="12" spans="1:19" ht="16.350000000000001" customHeight="1">
      <c r="A12" s="149" t="s">
        <v>1</v>
      </c>
      <c r="C12" s="149" t="s">
        <v>87</v>
      </c>
      <c r="D12" s="149" t="s">
        <v>88</v>
      </c>
      <c r="G12" s="228">
        <v>6</v>
      </c>
      <c r="H12" s="308">
        <v>180</v>
      </c>
      <c r="I12" s="223">
        <v>3.034669457132134</v>
      </c>
      <c r="J12" s="313">
        <v>18209.198527889672</v>
      </c>
      <c r="K12" s="314">
        <v>3249.6805419626189</v>
      </c>
      <c r="L12" s="222">
        <v>0.95191846178770112</v>
      </c>
      <c r="M12" s="223">
        <v>4.8081538212298866E-2</v>
      </c>
      <c r="N12" s="222">
        <v>0.99275707953940817</v>
      </c>
      <c r="O12" s="223">
        <v>7.2429204605918172E-3</v>
      </c>
      <c r="Q12" s="119"/>
      <c r="R12" s="119"/>
      <c r="S12" s="119"/>
    </row>
    <row r="13" spans="1:19" ht="16.350000000000001" customHeight="1">
      <c r="A13" s="255" t="s">
        <v>242</v>
      </c>
      <c r="C13" s="181">
        <v>1</v>
      </c>
      <c r="D13" s="181">
        <v>1</v>
      </c>
      <c r="G13" s="228">
        <v>7</v>
      </c>
      <c r="H13" s="308">
        <v>180</v>
      </c>
      <c r="I13" s="223">
        <v>2.9891994975635163</v>
      </c>
      <c r="J13" s="313">
        <v>18358.04633528653</v>
      </c>
      <c r="K13" s="314">
        <v>3158.9876183581277</v>
      </c>
      <c r="L13" s="222">
        <v>0.94191846178770111</v>
      </c>
      <c r="M13" s="223">
        <v>5.8081538212298868E-2</v>
      </c>
      <c r="N13" s="222">
        <v>0.99156375415439291</v>
      </c>
      <c r="O13" s="223">
        <v>8.4362458456071297E-3</v>
      </c>
      <c r="Q13" s="119"/>
      <c r="R13" s="119"/>
      <c r="S13" s="119"/>
    </row>
    <row r="14" spans="1:19" ht="16.350000000000001" customHeight="1">
      <c r="A14" s="255" t="s">
        <v>367</v>
      </c>
      <c r="C14" s="181">
        <v>1</v>
      </c>
      <c r="D14" s="118"/>
      <c r="E14" s="163"/>
      <c r="F14" s="163"/>
      <c r="G14" s="228">
        <v>8</v>
      </c>
      <c r="H14" s="308">
        <v>180</v>
      </c>
      <c r="I14" s="223">
        <v>2.9453568719118062</v>
      </c>
      <c r="J14" s="313">
        <v>18493.262486601823</v>
      </c>
      <c r="K14" s="314">
        <v>3074.6767845279433</v>
      </c>
      <c r="L14" s="222">
        <v>0.9319184617877011</v>
      </c>
      <c r="M14" s="223">
        <v>6.808153821229887E-2</v>
      </c>
      <c r="N14" s="222">
        <v>0.99043899204991137</v>
      </c>
      <c r="O14" s="223">
        <v>9.5610079500886534E-3</v>
      </c>
      <c r="Q14" s="119"/>
      <c r="R14" s="119"/>
      <c r="S14" s="119"/>
    </row>
    <row r="15" spans="1:19" ht="16.350000000000001" customHeight="1">
      <c r="D15" s="118"/>
      <c r="E15" s="163"/>
      <c r="F15" s="163"/>
      <c r="G15" s="228">
        <v>9</v>
      </c>
      <c r="H15" s="308">
        <v>180</v>
      </c>
      <c r="I15" s="223">
        <v>2.9029543725867497</v>
      </c>
      <c r="J15" s="313">
        <v>18616.475647903491</v>
      </c>
      <c r="K15" s="314">
        <v>2995.831166555944</v>
      </c>
      <c r="L15" s="222">
        <v>0.92191846178770109</v>
      </c>
      <c r="M15" s="223">
        <v>7.8081538212298865E-2</v>
      </c>
      <c r="N15" s="222">
        <v>0.98937254550013931</v>
      </c>
      <c r="O15" s="223">
        <v>1.062745449986072E-2</v>
      </c>
      <c r="Q15" s="119"/>
      <c r="R15" s="119"/>
      <c r="S15" s="119"/>
    </row>
    <row r="16" spans="1:19" ht="16.350000000000001" customHeight="1">
      <c r="A16" s="127"/>
      <c r="B16" s="117" t="str">
        <f>IF(OR(B6="Tliq",B6="Tvap"),"pure vapor pressures","pure saturation temperatures")</f>
        <v>pure vapor pressures</v>
      </c>
      <c r="C16" s="121"/>
      <c r="D16" s="118"/>
      <c r="E16" s="163"/>
      <c r="F16" s="163"/>
      <c r="G16" s="228">
        <v>10</v>
      </c>
      <c r="H16" s="308">
        <v>180</v>
      </c>
      <c r="I16" s="223">
        <v>2.8618350135750732</v>
      </c>
      <c r="J16" s="313">
        <v>18729.022379665443</v>
      </c>
      <c r="K16" s="314">
        <v>2921.7165722792179</v>
      </c>
      <c r="L16" s="222">
        <v>0.9119184617877012</v>
      </c>
      <c r="M16" s="223">
        <v>8.808153821229886E-2</v>
      </c>
      <c r="N16" s="222">
        <v>0.98835609079052233</v>
      </c>
      <c r="O16" s="223">
        <v>1.164390920947767E-2</v>
      </c>
      <c r="Q16" s="119"/>
      <c r="R16" s="119"/>
      <c r="S16" s="119"/>
    </row>
    <row r="17" spans="1:19" ht="16.350000000000001" customHeight="1">
      <c r="A17" t="str">
        <f>IF(B17="","",A13)</f>
        <v>methane</v>
      </c>
      <c r="B17">
        <f>IF(OR(LOWER($B$6)="tliq",LOWER($B$6)="tvap"),
[2]!TRENDEOS("p","tvap",$B$7,$B$7,A13,1,$C$13,$C$13,$B$4,"molar",$B$10),
[2]!TRENDEOS("t","pvap",$B$7,$B$7,A13,1,$C$13,$C$13,$B$4,"molar",$B$10))</f>
        <v>3.2851807021131489</v>
      </c>
      <c r="C17" s="118" t="str">
        <f>IF(B17="","",IF(OR(LOWER($B$6)="tliq",LOWER($B$6)="tvap"),"MPa","K"))</f>
        <v>MPa</v>
      </c>
      <c r="D17" s="93" t="str">
        <f>[2]!ERRORTEXT(B17)</f>
        <v/>
      </c>
      <c r="E17" s="163"/>
      <c r="F17" s="163"/>
      <c r="G17" s="228">
        <v>11</v>
      </c>
      <c r="H17" s="308">
        <v>180</v>
      </c>
      <c r="I17" s="223">
        <v>2.8218654972801254</v>
      </c>
      <c r="J17" s="313">
        <v>18832.015995158523</v>
      </c>
      <c r="K17" s="314">
        <v>2851.735710842609</v>
      </c>
      <c r="L17" s="222">
        <v>0.90191846178770119</v>
      </c>
      <c r="M17" s="223">
        <v>9.8081538212298855E-2</v>
      </c>
      <c r="N17" s="222">
        <v>0.98738276024213312</v>
      </c>
      <c r="O17" s="223">
        <v>1.2617239757866916E-2</v>
      </c>
      <c r="Q17" s="119"/>
      <c r="R17" s="119"/>
      <c r="S17" s="119"/>
    </row>
    <row r="18" spans="1:19" ht="16.350000000000001" customHeight="1">
      <c r="A18" t="str">
        <f>IF(B18="","",A14)</f>
        <v>ethane</v>
      </c>
      <c r="B18" s="161">
        <f>IF(OR(LOWER($B$6)="tliq",LOWER($B$6)="tvap"),
[2]!TRENDEOS("p","tvap",$B$7,$B$7,A14,1,$C$13,$C$13,$B$4,"molar",$B$10),
[2]!TRENDEOS("t","pvap",$B$7,$B$7,A14,1,$C$13,$C$13,$B$4,"molar",$B$10))</f>
        <v>7.8638136972784198E-2</v>
      </c>
      <c r="C18" s="163" t="str">
        <f>IF(B18="","",IF(OR(LOWER($B$6)="tliq",LOWER($B$6)="tvap"),"MPa","K"))</f>
        <v>MPa</v>
      </c>
      <c r="D18" s="93" t="str">
        <f>[2]!ERRORTEXT(B18)</f>
        <v/>
      </c>
      <c r="E18" s="163"/>
      <c r="F18" s="163"/>
      <c r="G18" s="228">
        <v>12</v>
      </c>
      <c r="H18" s="308">
        <v>180</v>
      </c>
      <c r="I18" s="223">
        <v>2.7829314214888772</v>
      </c>
      <c r="J18" s="313">
        <v>18926.39578724941</v>
      </c>
      <c r="K18" s="314">
        <v>2785.3959940878558</v>
      </c>
      <c r="L18" s="222">
        <v>0.89191846178770118</v>
      </c>
      <c r="M18" s="223">
        <v>0.10808153821229885</v>
      </c>
      <c r="N18" s="222">
        <v>0.98644680897637138</v>
      </c>
      <c r="O18" s="223">
        <v>1.3553191023628617E-2</v>
      </c>
      <c r="Q18" s="119"/>
      <c r="R18" s="119"/>
      <c r="S18" s="119"/>
    </row>
    <row r="19" spans="1:19" ht="16.350000000000001" customHeight="1">
      <c r="A19" s="118"/>
      <c r="B19" s="118"/>
      <c r="C19" s="118"/>
      <c r="D19" s="118"/>
      <c r="E19" s="163"/>
      <c r="F19" s="163"/>
      <c r="G19" s="228">
        <v>13</v>
      </c>
      <c r="H19" s="308">
        <v>180</v>
      </c>
      <c r="I19" s="223">
        <v>2.7449336840378029</v>
      </c>
      <c r="J19" s="313">
        <v>19012.963097252432</v>
      </c>
      <c r="K19" s="314">
        <v>2722.2863307480629</v>
      </c>
      <c r="L19" s="222">
        <v>0.88191846178770117</v>
      </c>
      <c r="M19" s="223">
        <v>0.11808153821229884</v>
      </c>
      <c r="N19" s="222">
        <v>0.98554337196323116</v>
      </c>
      <c r="O19" s="223">
        <v>1.4456628036768787E-2</v>
      </c>
      <c r="Q19" s="119"/>
      <c r="R19" s="119"/>
      <c r="S19" s="119"/>
    </row>
    <row r="20" spans="1:19" ht="16.350000000000001" customHeight="1">
      <c r="A20" s="118"/>
      <c r="B20" s="118"/>
      <c r="C20" s="118"/>
      <c r="D20" s="118"/>
      <c r="E20" s="163"/>
      <c r="F20" s="163"/>
      <c r="G20" s="228">
        <v>14</v>
      </c>
      <c r="H20" s="308">
        <v>180</v>
      </c>
      <c r="I20" s="223">
        <v>2.7077857339871936</v>
      </c>
      <c r="J20" s="313">
        <v>19092.408307383808</v>
      </c>
      <c r="K20" s="314">
        <v>2662.0600445700684</v>
      </c>
      <c r="L20" s="222">
        <v>0.87191846178770116</v>
      </c>
      <c r="M20" s="223">
        <v>0.12808153821229884</v>
      </c>
      <c r="N20" s="222">
        <v>0.98466828323100231</v>
      </c>
      <c r="O20" s="223">
        <v>1.5331716768997708E-2</v>
      </c>
      <c r="Q20" s="119"/>
      <c r="R20" s="119"/>
      <c r="S20" s="119"/>
    </row>
    <row r="21" spans="1:19" ht="16.350000000000001" customHeight="1">
      <c r="A21" s="118"/>
      <c r="B21" s="118"/>
      <c r="C21" s="118"/>
      <c r="D21" s="118"/>
      <c r="E21" s="163"/>
      <c r="F21" s="163"/>
      <c r="G21" s="228">
        <v>15</v>
      </c>
      <c r="H21" s="193">
        <v>180</v>
      </c>
      <c r="I21" s="201">
        <v>2.6714114350871427</v>
      </c>
      <c r="J21" s="309">
        <v>19165.331409767958</v>
      </c>
      <c r="K21" s="310">
        <v>2604.4220659029602</v>
      </c>
      <c r="L21" s="185">
        <v>0.86191846178770115</v>
      </c>
      <c r="M21" s="201">
        <v>0.13808153821229885</v>
      </c>
      <c r="N21" s="185">
        <v>0.98381793889854163</v>
      </c>
      <c r="O21" s="201">
        <v>1.6182061101458412E-2</v>
      </c>
    </row>
    <row r="22" spans="1:19" ht="16.350000000000001" customHeight="1">
      <c r="A22" s="118"/>
      <c r="B22" s="118"/>
      <c r="D22" s="118"/>
      <c r="E22" s="163"/>
      <c r="F22" s="163"/>
      <c r="G22" s="228">
        <v>16</v>
      </c>
      <c r="H22" s="193">
        <v>180</v>
      </c>
      <c r="I22" s="201">
        <v>2.6357433810907214</v>
      </c>
      <c r="J22" s="309">
        <v>19232.257924849175</v>
      </c>
      <c r="K22" s="310">
        <v>2549.1191699494748</v>
      </c>
      <c r="L22" s="185">
        <v>0.85191846178770114</v>
      </c>
      <c r="M22" s="201">
        <v>0.14808153821229886</v>
      </c>
      <c r="N22" s="185">
        <v>0.98298919174603505</v>
      </c>
      <c r="O22" s="201">
        <v>1.7010808253964897E-2</v>
      </c>
    </row>
    <row r="23" spans="1:19" ht="16.350000000000001" customHeight="1">
      <c r="D23" s="118"/>
      <c r="E23" s="163"/>
      <c r="F23" s="163"/>
      <c r="G23" s="228">
        <v>17</v>
      </c>
      <c r="H23" s="308">
        <v>180</v>
      </c>
      <c r="I23" s="223">
        <v>2.6007215503240357</v>
      </c>
      <c r="J23" s="313">
        <v>19293.651385245648</v>
      </c>
      <c r="K23" s="314">
        <v>2495.9324283748692</v>
      </c>
      <c r="L23" s="222">
        <v>0.84191846178770113</v>
      </c>
      <c r="M23" s="223">
        <v>0.15808153821229887</v>
      </c>
      <c r="N23" s="222">
        <v>0.98217926889731366</v>
      </c>
      <c r="O23" s="223">
        <v>1.7820731102686335E-2</v>
      </c>
    </row>
    <row r="24" spans="1:19" ht="16.350000000000001" customHeight="1">
      <c r="D24" s="118"/>
      <c r="E24" s="163"/>
      <c r="F24" s="163"/>
      <c r="G24" s="228">
        <v>18</v>
      </c>
      <c r="H24" s="308">
        <v>180</v>
      </c>
      <c r="I24" s="223">
        <v>2.566292218778877</v>
      </c>
      <c r="J24" s="313">
        <v>19349.923239962798</v>
      </c>
      <c r="K24" s="314">
        <v>2444.671295930993</v>
      </c>
      <c r="L24" s="222">
        <v>0.83191846178770112</v>
      </c>
      <c r="M24" s="223">
        <v>0.16808153821229888</v>
      </c>
      <c r="N24" s="222">
        <v>0.98138570670899616</v>
      </c>
      <c r="O24" s="223">
        <v>1.8614293291003805E-2</v>
      </c>
    </row>
    <row r="25" spans="1:19" ht="16.350000000000001" customHeight="1">
      <c r="D25" s="118"/>
      <c r="E25" s="163"/>
      <c r="F25" s="163"/>
      <c r="G25" s="228">
        <v>19</v>
      </c>
      <c r="H25" s="308">
        <v>180</v>
      </c>
      <c r="I25" s="223">
        <v>2.5324070727707748</v>
      </c>
      <c r="J25" s="313">
        <v>19401.44079376206</v>
      </c>
      <c r="K25" s="314">
        <v>2395.1689230162306</v>
      </c>
      <c r="L25" s="222">
        <v>0.82191846178770112</v>
      </c>
      <c r="M25" s="223">
        <v>0.17808153821229888</v>
      </c>
      <c r="N25" s="222">
        <v>0.98060629865065774</v>
      </c>
      <c r="O25" s="223">
        <v>1.9393701349342259E-2</v>
      </c>
    </row>
    <row r="26" spans="1:19" ht="16.350000000000001" customHeight="1">
      <c r="D26" s="118"/>
      <c r="E26" s="163"/>
      <c r="F26" s="163"/>
      <c r="G26" s="212">
        <v>20</v>
      </c>
      <c r="H26" s="193">
        <v>180</v>
      </c>
      <c r="I26" s="201">
        <v>2.4990224774498992</v>
      </c>
      <c r="J26" s="309">
        <v>19448.533632603361</v>
      </c>
      <c r="K26" s="310">
        <v>2347.2783999154808</v>
      </c>
      <c r="L26" s="185">
        <v>0.81191846178770111</v>
      </c>
      <c r="M26" s="201">
        <v>0.18808153821229889</v>
      </c>
      <c r="N26" s="185">
        <v>0.97983905311592079</v>
      </c>
      <c r="O26" s="201">
        <v>2.0160946884079219E-2</v>
      </c>
    </row>
    <row r="27" spans="1:19" ht="16.350000000000001" customHeight="1">
      <c r="D27" s="118"/>
      <c r="E27" s="163"/>
      <c r="F27" s="163"/>
      <c r="G27" s="212">
        <v>21</v>
      </c>
      <c r="H27" s="193">
        <v>180</v>
      </c>
      <c r="I27" s="201">
        <v>2.4660988683553096</v>
      </c>
      <c r="J27" s="309">
        <v>19491.498871243661</v>
      </c>
      <c r="K27" s="310">
        <v>2300.8697178815587</v>
      </c>
      <c r="L27" s="185">
        <v>0.8019184617877011</v>
      </c>
      <c r="M27" s="201">
        <v>0.1980815382122989</v>
      </c>
      <c r="N27" s="185">
        <v>0.97908215891060479</v>
      </c>
      <c r="O27" s="201">
        <v>2.0917841089395244E-2</v>
      </c>
    </row>
    <row r="28" spans="1:19" ht="16.350000000000001" customHeight="1">
      <c r="D28" s="118"/>
      <c r="E28" s="163"/>
      <c r="F28" s="163"/>
      <c r="G28" s="212">
        <v>22</v>
      </c>
      <c r="H28" s="193">
        <v>180</v>
      </c>
      <c r="I28" s="201">
        <v>2.433600241113389</v>
      </c>
      <c r="J28" s="309">
        <v>19530.605476599176</v>
      </c>
      <c r="K28" s="310">
        <v>2255.8272880577078</v>
      </c>
      <c r="L28" s="185">
        <v>0.79191846178770109</v>
      </c>
      <c r="M28" s="201">
        <v>0.20808153821229891</v>
      </c>
      <c r="N28" s="185">
        <v>0.97833395673619394</v>
      </c>
      <c r="O28" s="201">
        <v>2.1666043263806022E-2</v>
      </c>
    </row>
    <row r="29" spans="1:19" ht="16.350000000000001" customHeight="1">
      <c r="D29" s="118"/>
      <c r="E29" s="163"/>
      <c r="F29" s="163"/>
      <c r="G29" s="212">
        <v>23</v>
      </c>
      <c r="H29" s="193">
        <v>180</v>
      </c>
      <c r="I29" s="201">
        <v>2.4014937202271849</v>
      </c>
      <c r="J29" s="309">
        <v>19566.097860010825</v>
      </c>
      <c r="K29" s="310">
        <v>2212.0478991407149</v>
      </c>
      <c r="L29" s="185">
        <v>0.78191846178770108</v>
      </c>
      <c r="M29" s="201">
        <v>0.21808153821229892</v>
      </c>
      <c r="N29" s="185">
        <v>0.97759291539850446</v>
      </c>
      <c r="O29" s="201">
        <v>2.2407084601495531E-2</v>
      </c>
    </row>
    <row r="30" spans="1:19" ht="16.350000000000001" customHeight="1">
      <c r="D30" s="118"/>
      <c r="E30" s="163"/>
      <c r="F30" s="163"/>
      <c r="G30" s="212">
        <v>24</v>
      </c>
      <c r="H30" s="193">
        <v>180</v>
      </c>
      <c r="I30" s="201">
        <v>2.3697491922152381</v>
      </c>
      <c r="J30" s="309">
        <v>19598.198886532515</v>
      </c>
      <c r="K30" s="310">
        <v>2169.4390235012092</v>
      </c>
      <c r="L30" s="185">
        <v>0.77191846178770107</v>
      </c>
      <c r="M30" s="201">
        <v>0.22808153821229893</v>
      </c>
      <c r="N30" s="185">
        <v>0.97685761177156372</v>
      </c>
      <c r="O30" s="201">
        <v>2.3142388228436235E-2</v>
      </c>
    </row>
    <row r="31" spans="1:19" ht="16.350000000000001" customHeight="1">
      <c r="D31" s="118"/>
      <c r="E31" s="163"/>
      <c r="F31" s="163"/>
      <c r="G31" s="212">
        <v>25</v>
      </c>
      <c r="H31" s="193">
        <v>180</v>
      </c>
      <c r="I31" s="201">
        <v>2.3383389915910624</v>
      </c>
      <c r="J31" s="309">
        <v>19627.112415509637</v>
      </c>
      <c r="K31" s="310">
        <v>2127.9174025858924</v>
      </c>
      <c r="L31" s="185">
        <v>0.76191846178770106</v>
      </c>
      <c r="M31" s="201">
        <v>0.23808153821229894</v>
      </c>
      <c r="N31" s="185">
        <v>0.9761267137676839</v>
      </c>
      <c r="O31" s="201">
        <v>2.3873286232316104E-2</v>
      </c>
    </row>
    <row r="32" spans="1:19" ht="16.350000000000001" customHeight="1">
      <c r="G32" s="212">
        <v>26</v>
      </c>
      <c r="H32" s="193">
        <v>180</v>
      </c>
      <c r="I32" s="201">
        <v>2.307237630608113</v>
      </c>
      <c r="J32" s="309">
        <v>19653.025461116806</v>
      </c>
      <c r="K32" s="310">
        <v>2087.4078580516589</v>
      </c>
      <c r="L32" s="185">
        <v>0.75191846178770105</v>
      </c>
      <c r="M32" s="201">
        <v>0.24808153821229895</v>
      </c>
      <c r="N32" s="185">
        <v>0.97539896572902751</v>
      </c>
      <c r="O32" s="201">
        <v>2.4601034270972533E-2</v>
      </c>
    </row>
    <row r="33" spans="7:15" ht="16.350000000000001" customHeight="1">
      <c r="G33" s="212">
        <v>27</v>
      </c>
      <c r="H33" s="193">
        <v>180</v>
      </c>
      <c r="I33" s="201">
        <v>2.2764215655252462</v>
      </c>
      <c r="J33" s="309">
        <v>19676.110042101987</v>
      </c>
      <c r="K33" s="310">
        <v>2047.8422867511856</v>
      </c>
      <c r="L33" s="185">
        <v>0.74191846178770104</v>
      </c>
      <c r="M33" s="201">
        <v>0.25808153821229896</v>
      </c>
      <c r="N33" s="185">
        <v>0.97467317577940027</v>
      </c>
      <c r="O33" s="201">
        <v>2.5326824220599689E-2</v>
      </c>
    </row>
    <row r="34" spans="7:15" ht="16.350000000000001" customHeight="1">
      <c r="G34" s="212">
        <v>28</v>
      </c>
      <c r="H34" s="193">
        <v>180</v>
      </c>
      <c r="I34" s="201">
        <v>2.2458689935571168</v>
      </c>
      <c r="J34" s="309">
        <v>19696.524775215261</v>
      </c>
      <c r="K34" s="310">
        <v>2009.1588065260739</v>
      </c>
      <c r="L34" s="185">
        <v>0.73191846178770104</v>
      </c>
      <c r="M34" s="201">
        <v>0.26808153821229896</v>
      </c>
      <c r="N34" s="185">
        <v>0.97394820476842781</v>
      </c>
      <c r="O34" s="201">
        <v>2.6051795231572198E-2</v>
      </c>
    </row>
    <row r="35" spans="7:15" ht="16.350000000000001" customHeight="1">
      <c r="G35" s="212">
        <v>29</v>
      </c>
      <c r="H35" s="193">
        <v>180</v>
      </c>
      <c r="I35" s="201">
        <v>2.2155596707536693</v>
      </c>
      <c r="J35" s="309">
        <v>19714.41625485554</v>
      </c>
      <c r="K35" s="310">
        <v>1971.3010195941845</v>
      </c>
      <c r="L35" s="185">
        <v>0.72191846178770103</v>
      </c>
      <c r="M35" s="201">
        <v>0.27808153821229897</v>
      </c>
      <c r="N35" s="185">
        <v>0.97322295676968928</v>
      </c>
      <c r="O35" s="201">
        <v>2.6777043230310771E-2</v>
      </c>
    </row>
    <row r="36" spans="7:15" ht="16.350000000000001" customHeight="1">
      <c r="G36" s="212">
        <v>30</v>
      </c>
      <c r="H36" s="193">
        <v>180</v>
      </c>
      <c r="I36" s="201">
        <v>2.1854747777424355</v>
      </c>
      <c r="J36" s="309">
        <v>19729.920257746329</v>
      </c>
      <c r="K36" s="310">
        <v>1934.2174150994497</v>
      </c>
      <c r="L36" s="185">
        <v>0.71191846178770102</v>
      </c>
      <c r="M36" s="201">
        <v>0.28808153821229898</v>
      </c>
      <c r="N36" s="185">
        <v>0.97249636930780459</v>
      </c>
      <c r="O36" s="201">
        <v>2.7503630692195444E-2</v>
      </c>
    </row>
    <row r="37" spans="7:15" ht="16.350000000000001" customHeight="1">
      <c r="G37" s="212">
        <v>31</v>
      </c>
      <c r="H37" s="193">
        <v>180</v>
      </c>
      <c r="I37" s="201">
        <v>2.15559675091834</v>
      </c>
      <c r="J37" s="309">
        <v>19743.162789666516</v>
      </c>
      <c r="K37" s="310">
        <v>1897.8607839636397</v>
      </c>
      <c r="L37" s="185">
        <v>0.70191846178770101</v>
      </c>
      <c r="M37" s="201">
        <v>0.29808153821229899</v>
      </c>
      <c r="N37" s="185">
        <v>0.97176740716812504</v>
      </c>
      <c r="O37" s="201">
        <v>2.8232592831875007E-2</v>
      </c>
    </row>
    <row r="38" spans="7:15" ht="16.350000000000001" customHeight="1">
      <c r="G38" s="212">
        <v>32</v>
      </c>
      <c r="H38" s="193">
        <v>180</v>
      </c>
      <c r="I38" s="201">
        <v>2.1259091849914742</v>
      </c>
      <c r="J38" s="309">
        <v>19754.261012040461</v>
      </c>
      <c r="K38" s="310">
        <v>1862.1877831277138</v>
      </c>
      <c r="L38" s="185">
        <v>0.691918461787701</v>
      </c>
      <c r="M38" s="201">
        <v>0.308081538212299</v>
      </c>
      <c r="N38" s="185">
        <v>0.97103505408797208</v>
      </c>
      <c r="O38" s="201">
        <v>2.8964945912027959E-2</v>
      </c>
    </row>
    <row r="39" spans="7:15" ht="16.350000000000001" customHeight="1">
      <c r="G39" s="212">
        <v>33</v>
      </c>
      <c r="H39" s="193">
        <v>180</v>
      </c>
      <c r="I39" s="201">
        <v>2.0963967207806582</v>
      </c>
      <c r="J39" s="309">
        <v>19763.324055404846</v>
      </c>
      <c r="K39" s="310">
        <v>1827.1585209683894</v>
      </c>
      <c r="L39" s="185">
        <v>0.68191846178770099</v>
      </c>
      <c r="M39" s="201">
        <v>0.31808153821229901</v>
      </c>
      <c r="N39" s="185">
        <v>0.97029830644715986</v>
      </c>
      <c r="O39" s="201">
        <v>2.9701693552840157E-2</v>
      </c>
    </row>
    <row r="40" spans="7:15" ht="16.350000000000001" customHeight="1">
      <c r="G40" s="212">
        <v>34</v>
      </c>
      <c r="H40" s="193">
        <v>180</v>
      </c>
      <c r="I40" s="201">
        <v>2.0670449509515283</v>
      </c>
      <c r="J40" s="309">
        <v>19770.453740096109</v>
      </c>
      <c r="K40" s="310">
        <v>1792.7362029018443</v>
      </c>
      <c r="L40" s="185">
        <v>0.67191846178770098</v>
      </c>
      <c r="M40" s="201">
        <v>0.32808153821229902</v>
      </c>
      <c r="N40" s="185">
        <v>0.96955616709083381</v>
      </c>
      <c r="O40" s="201">
        <v>3.0443832909166225E-2</v>
      </c>
    </row>
    <row r="41" spans="7:15" ht="16.350000000000001" customHeight="1">
      <c r="G41" s="212">
        <v>35</v>
      </c>
      <c r="H41" s="193">
        <v>180</v>
      </c>
      <c r="I41" s="201">
        <v>2.0378403361632236</v>
      </c>
      <c r="J41" s="309">
        <v>19775.745216234256</v>
      </c>
      <c r="K41" s="310">
        <v>1758.886821146423</v>
      </c>
      <c r="L41" s="185">
        <v>0.66191846178770097</v>
      </c>
      <c r="M41" s="201">
        <v>0.33808153821229903</v>
      </c>
      <c r="N41" s="185">
        <v>0.9688076394807168</v>
      </c>
      <c r="O41" s="201">
        <v>3.1192360519283202E-2</v>
      </c>
    </row>
    <row r="42" spans="7:15" ht="16.350000000000001" customHeight="1">
      <c r="G42" s="212">
        <v>36</v>
      </c>
      <c r="H42" s="193">
        <v>180</v>
      </c>
      <c r="I42" s="201">
        <v>2.0087701302334677</v>
      </c>
      <c r="J42" s="309">
        <v>19779.287533835533</v>
      </c>
      <c r="K42" s="310">
        <v>1725.5788820761045</v>
      </c>
      <c r="L42" s="185">
        <v>0.65191846178770096</v>
      </c>
      <c r="M42" s="201">
        <v>0.34808153821229904</v>
      </c>
      <c r="N42" s="185">
        <v>0.96805172208531742</v>
      </c>
      <c r="O42" s="201">
        <v>3.1948277914682563E-2</v>
      </c>
    </row>
    <row r="43" spans="7:15" ht="16.350000000000001" customHeight="1">
      <c r="G43" s="212">
        <v>37</v>
      </c>
      <c r="H43" s="193">
        <v>180</v>
      </c>
      <c r="I43" s="201">
        <v>1.979822313252708</v>
      </c>
      <c r="J43" s="309">
        <v>19781.16415220483</v>
      </c>
      <c r="K43" s="310">
        <v>1692.7831661982366</v>
      </c>
      <c r="L43" s="185">
        <v>0.64191846178770096</v>
      </c>
      <c r="M43" s="201">
        <v>0.35808153821229904</v>
      </c>
      <c r="N43" s="185">
        <v>0.96728740292497284</v>
      </c>
      <c r="O43" s="201">
        <v>3.2712597075027147E-2</v>
      </c>
    </row>
    <row r="44" spans="7:15" ht="16.350000000000001" customHeight="1">
      <c r="G44" s="212">
        <v>38</v>
      </c>
      <c r="H44" s="193">
        <v>180</v>
      </c>
      <c r="I44" s="201">
        <v>1.9509855315577393</v>
      </c>
      <c r="J44" s="309">
        <v>19781.45339634534</v>
      </c>
      <c r="K44" s="310">
        <v>1660.4725157417793</v>
      </c>
      <c r="L44" s="185">
        <v>0.63191846178770095</v>
      </c>
      <c r="M44" s="201">
        <v>0.36808153821229905</v>
      </c>
      <c r="N44" s="185">
        <v>0.96651365420164081</v>
      </c>
      <c r="O44" s="201">
        <v>3.3486345798359213E-2</v>
      </c>
    </row>
    <row r="45" spans="7:15" ht="16.350000000000001" customHeight="1">
      <c r="G45" s="212">
        <v>39</v>
      </c>
      <c r="H45" s="193">
        <v>180</v>
      </c>
      <c r="I45" s="201">
        <v>1.9222490438024027</v>
      </c>
      <c r="J45" s="309">
        <v>19780.228866994297</v>
      </c>
      <c r="K45" s="310">
        <v>1628.6216464797008</v>
      </c>
      <c r="L45" s="185">
        <v>0.62191846178770094</v>
      </c>
      <c r="M45" s="201">
        <v>0.37808153821229906</v>
      </c>
      <c r="N45" s="185">
        <v>0.96572942694128416</v>
      </c>
      <c r="O45" s="201">
        <v>3.4270573058715788E-2</v>
      </c>
    </row>
    <row r="46" spans="7:15" ht="16.350000000000001" customHeight="1">
      <c r="G46" s="212">
        <v>40</v>
      </c>
      <c r="H46" s="193">
        <v>180</v>
      </c>
      <c r="I46" s="201">
        <v>1.8936026723703538</v>
      </c>
      <c r="J46" s="309">
        <v>19777.559809924391</v>
      </c>
      <c r="K46" s="310">
        <v>1597.2069804241385</v>
      </c>
      <c r="L46" s="185">
        <v>0.61191846178770093</v>
      </c>
      <c r="M46" s="201">
        <v>0.38808153821229907</v>
      </c>
      <c r="N46" s="185">
        <v>0.96493364558427097</v>
      </c>
      <c r="O46" s="201">
        <v>3.5066354415728994E-2</v>
      </c>
    </row>
    <row r="47" spans="7:15" ht="16.350000000000001" customHeight="1">
      <c r="G47" s="212">
        <v>41</v>
      </c>
      <c r="H47" s="193">
        <v>180</v>
      </c>
      <c r="I47" s="201">
        <v>1.8650367595082882</v>
      </c>
      <c r="J47" s="309">
        <v>19773.511449355556</v>
      </c>
      <c r="K47" s="310">
        <v>1566.2064967067765</v>
      </c>
      <c r="L47" s="185">
        <v>0.60191846178770092</v>
      </c>
      <c r="M47" s="201">
        <v>0.39808153821229908</v>
      </c>
      <c r="N47" s="185">
        <v>0.96412520245942723</v>
      </c>
      <c r="O47" s="201">
        <v>3.587479754057276E-2</v>
      </c>
    </row>
    <row r="48" spans="7:15" ht="16.350000000000001" customHeight="1">
      <c r="G48" s="212">
        <v>42</v>
      </c>
      <c r="H48" s="193">
        <v>180</v>
      </c>
      <c r="I48" s="201">
        <v>1.836542127637282</v>
      </c>
      <c r="J48" s="309">
        <v>19768.145289651369</v>
      </c>
      <c r="K48" s="310">
        <v>1535.5995983307296</v>
      </c>
      <c r="L48" s="185">
        <v>0.59191846178770091</v>
      </c>
      <c r="M48" s="201">
        <v>0.40808153821229909</v>
      </c>
      <c r="N48" s="185">
        <v>0.96330295207782479</v>
      </c>
      <c r="O48" s="201">
        <v>3.6697047922175166E-2</v>
      </c>
    </row>
    <row r="49" spans="7:15" ht="16.350000000000001" customHeight="1">
      <c r="G49" s="212">
        <v>43</v>
      </c>
      <c r="H49" s="193">
        <v>180</v>
      </c>
      <c r="I49" s="201">
        <v>1.8081100433759818</v>
      </c>
      <c r="J49" s="309">
        <v>19761.519388909088</v>
      </c>
      <c r="K49" s="310">
        <v>1505.3669928206332</v>
      </c>
      <c r="L49" s="185">
        <v>0.5819184617877009</v>
      </c>
      <c r="M49" s="201">
        <v>0.4180815382122991</v>
      </c>
      <c r="N49" s="185">
        <v>0.96246570518118058</v>
      </c>
      <c r="O49" s="201">
        <v>3.7534294818819425E-2</v>
      </c>
    </row>
    <row r="50" spans="7:15" ht="16.350000000000001" customHeight="1">
      <c r="G50" s="212">
        <v>44</v>
      </c>
      <c r="H50" s="193">
        <v>180</v>
      </c>
      <c r="I50" s="201">
        <v>1.7797321848596028</v>
      </c>
      <c r="J50" s="309">
        <v>19753.688607574008</v>
      </c>
      <c r="K50" s="310">
        <v>1475.4905850667578</v>
      </c>
      <c r="L50" s="185">
        <v>0.57191846178770089</v>
      </c>
      <c r="M50" s="201">
        <v>0.42808153821229911</v>
      </c>
      <c r="N50" s="185">
        <v>0.96161222247734501</v>
      </c>
      <c r="O50" s="201">
        <v>3.8387777522655001E-2</v>
      </c>
    </row>
    <row r="51" spans="7:15" ht="16.350000000000001" customHeight="1">
      <c r="G51" s="212">
        <v>45</v>
      </c>
      <c r="H51" s="193">
        <v>180</v>
      </c>
      <c r="I51" s="201">
        <v>1.7514006120043069</v>
      </c>
      <c r="J51" s="309">
        <v>19744.704834804172</v>
      </c>
      <c r="K51" s="310">
        <v>1445.9533809104826</v>
      </c>
      <c r="L51" s="185">
        <v>0.56191846178770088</v>
      </c>
      <c r="M51" s="201">
        <v>0.43808153821229912</v>
      </c>
      <c r="N51" s="185">
        <v>0.96074120799135387</v>
      </c>
      <c r="O51" s="201">
        <v>3.9258792008646168E-2</v>
      </c>
    </row>
    <row r="52" spans="7:15" ht="16.350000000000001" customHeight="1">
      <c r="G52" s="212">
        <v>46</v>
      </c>
      <c r="H52" s="193">
        <v>180</v>
      </c>
      <c r="I52" s="201">
        <v>1.7231077393960146</v>
      </c>
      <c r="J52" s="309">
        <v>19734.617194963754</v>
      </c>
      <c r="K52" s="310">
        <v>1416.7394002014553</v>
      </c>
      <c r="L52" s="185">
        <v>0.55191846178770088</v>
      </c>
      <c r="M52" s="201">
        <v>0.44808153821229912</v>
      </c>
      <c r="N52" s="185">
        <v>0.95985130195535606</v>
      </c>
      <c r="O52" s="201">
        <v>4.0148698044643896E-2</v>
      </c>
    </row>
    <row r="53" spans="7:15" ht="16.350000000000001" customHeight="1">
      <c r="G53" s="212">
        <v>47</v>
      </c>
      <c r="H53" s="193">
        <v>180</v>
      </c>
      <c r="I53" s="201">
        <v>1.6948463115376686</v>
      </c>
      <c r="J53" s="309">
        <v>19723.472236329624</v>
      </c>
      <c r="K53" s="310">
        <v>1387.833598243855</v>
      </c>
      <c r="L53" s="185">
        <v>0.54191846178770087</v>
      </c>
      <c r="M53" s="201">
        <v>0.45808153821229913</v>
      </c>
      <c r="N53" s="185">
        <v>0.95894107315370214</v>
      </c>
      <c r="O53" s="201">
        <v>4.1058926846297854E-2</v>
      </c>
    </row>
    <row r="54" spans="7:15" ht="16.350000000000001" customHeight="1">
      <c r="G54" s="212">
        <v>48</v>
      </c>
      <c r="H54" s="193">
        <v>180</v>
      </c>
      <c r="I54" s="201">
        <v>1.6666093802012898</v>
      </c>
      <c r="J54" s="309">
        <v>19711.31410383961</v>
      </c>
      <c r="K54" s="310">
        <v>1359.2217946706692</v>
      </c>
      <c r="L54" s="185">
        <v>0.53191846178770086</v>
      </c>
      <c r="M54" s="201">
        <v>0.46808153821229914</v>
      </c>
      <c r="N54" s="185">
        <v>0.95800901063113142</v>
      </c>
      <c r="O54" s="201">
        <v>4.1990989368868588E-2</v>
      </c>
    </row>
    <row r="55" spans="7:15" ht="16.350000000000001" customHeight="1">
      <c r="G55" s="212">
        <v>49</v>
      </c>
      <c r="H55" s="193">
        <v>180</v>
      </c>
      <c r="I55" s="201">
        <v>1.6383902836847473</v>
      </c>
      <c r="J55" s="309">
        <v>19698.184697494333</v>
      </c>
      <c r="K55" s="310">
        <v>1330.8906089341285</v>
      </c>
      <c r="L55" s="185">
        <v>0.52191846178770085</v>
      </c>
      <c r="M55" s="201">
        <v>0.47808153821229915</v>
      </c>
      <c r="N55" s="185">
        <v>0.95705351466124655</v>
      </c>
      <c r="O55" s="201">
        <v>4.2946485338753441E-2</v>
      </c>
    </row>
    <row r="56" spans="7:15" ht="16.350000000000001" customHeight="1">
      <c r="G56" s="212">
        <v>50</v>
      </c>
      <c r="H56" s="193">
        <v>180</v>
      </c>
      <c r="I56" s="201">
        <v>1.6101826277683564</v>
      </c>
      <c r="J56" s="309">
        <v>19684.123817833774</v>
      </c>
      <c r="K56" s="310">
        <v>1302.827401673961</v>
      </c>
      <c r="L56" s="185">
        <v>0.51191846178770084</v>
      </c>
      <c r="M56" s="201">
        <v>0.48808153821229916</v>
      </c>
      <c r="N56" s="185">
        <v>0.95607288686009295</v>
      </c>
      <c r="O56" s="201">
        <v>4.3927113139907013E-2</v>
      </c>
    </row>
    <row r="57" spans="7:15" ht="16.350000000000001" customHeight="1">
      <c r="G57" s="212">
        <v>51</v>
      </c>
      <c r="H57" s="193">
        <v>180</v>
      </c>
      <c r="I57" s="201">
        <v>1.5819802682219453</v>
      </c>
      <c r="J57" s="309">
        <v>19669.169299748173</v>
      </c>
      <c r="K57" s="310">
        <v>1275.0202213507844</v>
      </c>
      <c r="L57" s="185">
        <v>0.50191846178770083</v>
      </c>
      <c r="M57" s="201">
        <v>0.49808153821229917</v>
      </c>
      <c r="N57" s="185">
        <v>0.95506531931405947</v>
      </c>
      <c r="O57" s="201">
        <v>4.4934680685940524E-2</v>
      </c>
    </row>
    <row r="58" spans="7:15" ht="16.350000000000001" customHeight="1">
      <c r="G58" s="212">
        <v>52</v>
      </c>
      <c r="H58" s="193">
        <v>180</v>
      </c>
      <c r="I58" s="201">
        <v>1.5537772946959174</v>
      </c>
      <c r="J58" s="309">
        <v>19653.357135738584</v>
      </c>
      <c r="K58" s="310">
        <v>1247.4577555718827</v>
      </c>
      <c r="L58" s="185">
        <v>0.49191846178770082</v>
      </c>
      <c r="M58" s="201">
        <v>0.50808153821229918</v>
      </c>
      <c r="N58" s="185">
        <v>0.95402888257350316</v>
      </c>
      <c r="O58" s="201">
        <v>4.5971117426496809E-2</v>
      </c>
    </row>
    <row r="59" spans="7:15" ht="16.350000000000001" customHeight="1">
      <c r="G59" s="212">
        <v>53</v>
      </c>
      <c r="H59" s="193">
        <v>180</v>
      </c>
      <c r="I59" s="201">
        <v>1.5255680158791662</v>
      </c>
      <c r="J59" s="309">
        <v>19636.721589620283</v>
      </c>
      <c r="K59" s="310">
        <v>1220.1292866375052</v>
      </c>
      <c r="L59" s="185">
        <v>0.48191846178770081</v>
      </c>
      <c r="M59" s="201">
        <v>0.51808153821229919</v>
      </c>
      <c r="N59" s="185">
        <v>0.95296151234139292</v>
      </c>
      <c r="O59" s="201">
        <v>4.7038487658607034E-2</v>
      </c>
    </row>
    <row r="60" spans="7:15" ht="16.350000000000001" customHeight="1">
      <c r="G60" s="212">
        <v>54</v>
      </c>
      <c r="H60" s="193">
        <v>180</v>
      </c>
      <c r="I60" s="201">
        <v>1.4973469457969182</v>
      </c>
      <c r="J60" s="309">
        <v>19619.295301553128</v>
      </c>
      <c r="K60" s="310">
        <v>1193.0246508686762</v>
      </c>
      <c r="L60" s="185">
        <v>0.4719184617877008</v>
      </c>
      <c r="M60" s="201">
        <v>0.5280815382122992</v>
      </c>
      <c r="N60" s="185">
        <v>0.95186099466061869</v>
      </c>
      <c r="O60" s="201">
        <v>4.8139005339381355E-2</v>
      </c>
    </row>
    <row r="61" spans="7:15" ht="16.350000000000001" customHeight="1">
      <c r="G61" s="212">
        <v>55</v>
      </c>
      <c r="H61" s="193">
        <v>180</v>
      </c>
      <c r="I61" s="201">
        <v>1.4691087911463621</v>
      </c>
      <c r="J61" s="309">
        <v>19601.109385188109</v>
      </c>
      <c r="K61" s="310">
        <v>1166.1342013401081</v>
      </c>
      <c r="L61" s="185">
        <v>0.4619184617877008</v>
      </c>
      <c r="M61" s="201">
        <v>0.5380815382122992</v>
      </c>
      <c r="N61" s="185">
        <v>0.95072494937252316</v>
      </c>
      <c r="O61" s="201">
        <v>4.9275050627476787E-2</v>
      </c>
    </row>
    <row r="62" spans="7:15" ht="16.350000000000001" customHeight="1">
      <c r="G62" s="212">
        <v>56</v>
      </c>
      <c r="H62" s="193">
        <v>180</v>
      </c>
      <c r="I62" s="201">
        <v>1.4408484395764376</v>
      </c>
      <c r="J62" s="309">
        <v>19582.193517636668</v>
      </c>
      <c r="K62" s="310">
        <v>1139.4487736826709</v>
      </c>
      <c r="L62" s="185">
        <v>0.45191846178770079</v>
      </c>
      <c r="M62" s="201">
        <v>0.54808153821229921</v>
      </c>
      <c r="N62" s="185">
        <v>0.94955081158228283</v>
      </c>
      <c r="O62" s="201">
        <v>5.0449188417717145E-2</v>
      </c>
    </row>
    <row r="63" spans="7:15" ht="16.350000000000001" customHeight="1">
      <c r="G63" s="212">
        <v>57</v>
      </c>
      <c r="H63" s="193">
        <v>180</v>
      </c>
      <c r="I63" s="201">
        <v>1.4125609488273601</v>
      </c>
      <c r="J63" s="309">
        <v>19562.576022895497</v>
      </c>
      <c r="K63" s="310">
        <v>1112.9596546572022</v>
      </c>
      <c r="L63" s="185">
        <v>0.44191846178770078</v>
      </c>
      <c r="M63" s="201">
        <v>0.55808153821229922</v>
      </c>
      <c r="N63" s="185">
        <v>0.94833581082245</v>
      </c>
      <c r="O63" s="201">
        <v>5.1664189177550043E-2</v>
      </c>
    </row>
    <row r="64" spans="7:15" ht="16.350000000000001" customHeight="1">
      <c r="G64" s="212">
        <v>58</v>
      </c>
      <c r="H64" s="193">
        <v>180</v>
      </c>
      <c r="I64" s="201">
        <v>1.3842415366531142</v>
      </c>
      <c r="J64" s="309">
        <v>19542.283949295135</v>
      </c>
      <c r="K64" s="310">
        <v>1086.6585532337194</v>
      </c>
      <c r="L64" s="185">
        <v>0.43191846178770077</v>
      </c>
      <c r="M64" s="201">
        <v>0.56808153821229923</v>
      </c>
      <c r="N64" s="185">
        <v>0.94707694755282579</v>
      </c>
      <c r="O64" s="201">
        <v>5.292305244717424E-2</v>
      </c>
    </row>
    <row r="65" spans="7:15" ht="16.350000000000001" customHeight="1">
      <c r="G65" s="212">
        <v>59</v>
      </c>
      <c r="H65" s="193">
        <v>180</v>
      </c>
      <c r="I65" s="201">
        <v>1.3558855714615077</v>
      </c>
      <c r="J65" s="309">
        <v>19521.343141483845</v>
      </c>
      <c r="K65" s="310">
        <v>1060.5375739426015</v>
      </c>
      <c r="L65" s="185">
        <v>0.42191846178770076</v>
      </c>
      <c r="M65" s="201">
        <v>0.57808153821229924</v>
      </c>
      <c r="N65" s="185">
        <v>0.9457709665707309</v>
      </c>
      <c r="O65" s="201">
        <v>5.4229033429269081E-2</v>
      </c>
    </row>
    <row r="66" spans="7:15" ht="16.350000000000001" customHeight="1">
      <c r="G66" s="212">
        <v>60</v>
      </c>
      <c r="H66" s="193">
        <v>180</v>
      </c>
      <c r="I66" s="201">
        <v>1.3274885636084717</v>
      </c>
      <c r="J66" s="309">
        <v>19499.778307406737</v>
      </c>
      <c r="K66" s="310">
        <v>1034.5891922852952</v>
      </c>
      <c r="L66" s="185">
        <v>0.41191846178770075</v>
      </c>
      <c r="M66" s="201">
        <v>0.58808153821229925</v>
      </c>
      <c r="N66" s="185">
        <v>0.94441432682840665</v>
      </c>
      <c r="O66" s="201">
        <v>5.5585673171593401E-2</v>
      </c>
    </row>
    <row r="67" spans="7:15" ht="16.350000000000001" customHeight="1">
      <c r="G67" s="212">
        <v>61</v>
      </c>
      <c r="H67" s="193">
        <v>180</v>
      </c>
      <c r="I67" s="201">
        <v>1.2990461572927852</v>
      </c>
      <c r="J67" s="309">
        <v>19477.613080696225</v>
      </c>
      <c r="K67" s="310">
        <v>1008.8062320177806</v>
      </c>
      <c r="L67" s="185">
        <v>0.40191846178770074</v>
      </c>
      <c r="M67" s="201">
        <v>0.59808153821229926</v>
      </c>
      <c r="N67" s="185">
        <v>0.94300316706039466</v>
      </c>
      <c r="O67" s="201">
        <v>5.6996832939605377E-2</v>
      </c>
    </row>
    <row r="68" spans="7:15" ht="16.350000000000001" customHeight="1">
      <c r="G68" s="212">
        <v>62</v>
      </c>
      <c r="H68" s="193">
        <v>180</v>
      </c>
      <c r="I68" s="201">
        <v>1.2705541223869328</v>
      </c>
      <c r="J68" s="309">
        <v>19454.870078813645</v>
      </c>
      <c r="K68" s="310">
        <v>983.18184354977325</v>
      </c>
      <c r="L68" s="185">
        <v>0.39191846178770073</v>
      </c>
      <c r="M68" s="201">
        <v>0.60808153821229927</v>
      </c>
      <c r="N68" s="185">
        <v>0.94153326658737535</v>
      </c>
      <c r="O68" s="201">
        <v>5.8466733412624615E-2</v>
      </c>
    </row>
    <row r="69" spans="7:15" ht="16.350000000000001" customHeight="1">
      <c r="G69" s="212">
        <v>63</v>
      </c>
      <c r="H69" s="193">
        <v>180</v>
      </c>
      <c r="I69" s="201">
        <v>1.2420083466326812</v>
      </c>
      <c r="J69" s="309">
        <v>19431.570957313772</v>
      </c>
      <c r="K69" s="310">
        <v>957.70948392579851</v>
      </c>
      <c r="L69" s="185">
        <v>0.38191846178770072</v>
      </c>
      <c r="M69" s="201">
        <v>0.61808153821229928</v>
      </c>
      <c r="N69" s="185">
        <v>0.94000000000000072</v>
      </c>
      <c r="O69" s="201">
        <v>5.9999999999999255E-2</v>
      </c>
    </row>
    <row r="70" spans="7:15" ht="16.350000000000001" customHeight="1">
      <c r="G70" s="212">
        <v>64</v>
      </c>
      <c r="H70" s="193">
        <v>180</v>
      </c>
      <c r="I70" s="201">
        <v>1.0813426169486586</v>
      </c>
      <c r="J70" s="309">
        <v>19292.076578457672</v>
      </c>
      <c r="K70" s="310">
        <v>817.90652820626804</v>
      </c>
      <c r="L70" s="185">
        <v>0.32604462361287212</v>
      </c>
      <c r="M70" s="201">
        <v>0.67395537638712788</v>
      </c>
      <c r="N70" s="185">
        <v>0.93000000000000071</v>
      </c>
      <c r="O70" s="201">
        <v>6.9999999999999257E-2</v>
      </c>
    </row>
    <row r="71" spans="7:15" ht="16.350000000000001" customHeight="1">
      <c r="G71" s="212">
        <v>65</v>
      </c>
      <c r="H71" s="193">
        <v>180</v>
      </c>
      <c r="I71" s="201">
        <v>0.95564602622914974</v>
      </c>
      <c r="J71" s="309">
        <v>19174.9153634332</v>
      </c>
      <c r="K71" s="310">
        <v>712.47524746933823</v>
      </c>
      <c r="L71" s="185">
        <v>0.28290112664894218</v>
      </c>
      <c r="M71" s="201">
        <v>0.71709887335105782</v>
      </c>
      <c r="N71" s="185">
        <v>0.92000000000000071</v>
      </c>
      <c r="O71" s="201">
        <v>7.9999999999999252E-2</v>
      </c>
    </row>
    <row r="72" spans="7:15" ht="16.350000000000001" customHeight="1">
      <c r="G72" s="212">
        <v>66</v>
      </c>
      <c r="H72" s="193">
        <v>180</v>
      </c>
      <c r="I72" s="201">
        <v>0.85520742848645426</v>
      </c>
      <c r="J72" s="309">
        <v>19077.485573487866</v>
      </c>
      <c r="K72" s="310">
        <v>630.52401411524795</v>
      </c>
      <c r="L72" s="185">
        <v>0.24883939908882757</v>
      </c>
      <c r="M72" s="201">
        <v>0.75116060091117243</v>
      </c>
      <c r="N72" s="185">
        <v>0.91000000000000081</v>
      </c>
      <c r="O72" s="201">
        <v>8.9999999999999247E-2</v>
      </c>
    </row>
    <row r="73" spans="7:15" ht="16.350000000000001" customHeight="1">
      <c r="G73" s="212">
        <v>67</v>
      </c>
      <c r="H73" s="193">
        <v>180</v>
      </c>
      <c r="I73" s="201">
        <v>0.77337546370230004</v>
      </c>
      <c r="J73" s="309">
        <v>18996.15508195373</v>
      </c>
      <c r="K73" s="310">
        <v>565.17057135598236</v>
      </c>
      <c r="L73" s="185">
        <v>0.22137995229866958</v>
      </c>
      <c r="M73" s="201">
        <v>0.77862004770133042</v>
      </c>
      <c r="N73" s="185">
        <v>0.9000000000000008</v>
      </c>
      <c r="O73" s="201">
        <v>9.9999999999999242E-2</v>
      </c>
    </row>
    <row r="74" spans="7:15" ht="16.350000000000001" customHeight="1">
      <c r="G74" s="212">
        <v>68</v>
      </c>
      <c r="H74" s="193">
        <v>180</v>
      </c>
      <c r="I74" s="201">
        <v>0.70554977426269216</v>
      </c>
      <c r="J74" s="309">
        <v>18927.683612218279</v>
      </c>
      <c r="K74" s="310">
        <v>511.92070160359054</v>
      </c>
      <c r="L74" s="185">
        <v>0.19882871969913796</v>
      </c>
      <c r="M74" s="201">
        <v>0.80117128030086204</v>
      </c>
      <c r="N74" s="185">
        <v>0.89000000000000079</v>
      </c>
      <c r="O74" s="201">
        <v>0.10999999999999924</v>
      </c>
    </row>
    <row r="75" spans="7:15" ht="16.350000000000001" customHeight="1">
      <c r="G75" s="212">
        <v>69</v>
      </c>
      <c r="H75" s="193">
        <v>180</v>
      </c>
      <c r="I75" s="201">
        <v>0.64848751075501088</v>
      </c>
      <c r="J75" s="309">
        <v>18869.469949933806</v>
      </c>
      <c r="K75" s="310">
        <v>467.7406463358339</v>
      </c>
      <c r="L75" s="185">
        <v>0.18000687438311058</v>
      </c>
      <c r="M75" s="201">
        <v>0.81999312561688942</v>
      </c>
      <c r="N75" s="185">
        <v>0.88000000000000078</v>
      </c>
      <c r="O75" s="201">
        <v>0.11999999999999923</v>
      </c>
    </row>
    <row r="76" spans="7:15" ht="16.350000000000001" customHeight="1">
      <c r="G76" s="212">
        <v>70</v>
      </c>
      <c r="H76" s="193">
        <v>180</v>
      </c>
      <c r="I76" s="201">
        <v>0.59985385431580429</v>
      </c>
      <c r="J76" s="309">
        <v>18819.491520790929</v>
      </c>
      <c r="K76" s="310">
        <v>430.51898871884299</v>
      </c>
      <c r="L76" s="185">
        <v>0.16407610135121997</v>
      </c>
      <c r="M76" s="201">
        <v>0.83592389864878003</v>
      </c>
      <c r="N76" s="185">
        <v>0.87000000000000077</v>
      </c>
      <c r="O76" s="201">
        <v>0.12999999999999923</v>
      </c>
    </row>
    <row r="77" spans="7:15" ht="16.350000000000001" customHeight="1">
      <c r="G77" s="212">
        <v>71</v>
      </c>
      <c r="H77" s="193">
        <v>180</v>
      </c>
      <c r="I77" s="201">
        <v>0.55793262744226613</v>
      </c>
      <c r="J77" s="309">
        <v>18776.18612833324</v>
      </c>
      <c r="K77" s="310">
        <v>398.745633591689</v>
      </c>
      <c r="L77" s="185">
        <v>0.15042718801575761</v>
      </c>
      <c r="M77" s="201">
        <v>0.84957281198424239</v>
      </c>
      <c r="N77" s="185">
        <v>0.86000000000000076</v>
      </c>
      <c r="O77" s="201">
        <v>0.13999999999999924</v>
      </c>
    </row>
    <row r="78" spans="7:15" ht="16.350000000000001" customHeight="1">
      <c r="G78" s="212">
        <v>72</v>
      </c>
      <c r="H78" s="193">
        <v>180</v>
      </c>
      <c r="I78" s="201">
        <v>0.52143784205700716</v>
      </c>
      <c r="J78" s="309">
        <v>18738.342909834901</v>
      </c>
      <c r="K78" s="310">
        <v>371.31424933910438</v>
      </c>
      <c r="L78" s="185">
        <v>0.13860832847871285</v>
      </c>
      <c r="M78" s="201">
        <v>0.86139167152128715</v>
      </c>
      <c r="N78" s="185">
        <v>0.85000000000000075</v>
      </c>
      <c r="O78" s="201">
        <v>0.14999999999999925</v>
      </c>
    </row>
    <row r="79" spans="7:15" ht="16.350000000000001" customHeight="1">
      <c r="G79" s="212">
        <v>73</v>
      </c>
      <c r="H79" s="193">
        <v>180</v>
      </c>
      <c r="I79" s="201">
        <v>0.48938877111835966</v>
      </c>
      <c r="J79" s="309">
        <v>18705.015953078531</v>
      </c>
      <c r="K79" s="310">
        <v>347.39694033778551</v>
      </c>
      <c r="L79" s="185">
        <v>0.12827816722918461</v>
      </c>
      <c r="M79" s="201">
        <v>0.87172183277081539</v>
      </c>
      <c r="N79" s="185">
        <v>0.84000000000000075</v>
      </c>
      <c r="O79" s="201">
        <v>0.15999999999999925</v>
      </c>
    </row>
    <row r="80" spans="7:15" ht="16.350000000000001" customHeight="1">
      <c r="G80" s="212">
        <v>74</v>
      </c>
      <c r="H80" s="193">
        <v>180</v>
      </c>
      <c r="I80" s="201">
        <v>0.46102548426306222</v>
      </c>
      <c r="J80" s="309">
        <v>18675.459246422532</v>
      </c>
      <c r="K80" s="310">
        <v>326.36246160775545</v>
      </c>
      <c r="L80" s="185">
        <v>0.11917441952848207</v>
      </c>
      <c r="M80" s="201">
        <v>0.88082558047151793</v>
      </c>
      <c r="N80" s="185">
        <v>0.83000000000000074</v>
      </c>
      <c r="O80" s="201">
        <v>0.16999999999999926</v>
      </c>
    </row>
    <row r="81" spans="7:15" ht="16.350000000000001" customHeight="1">
      <c r="G81" s="212">
        <v>75</v>
      </c>
      <c r="H81" s="193">
        <v>180</v>
      </c>
      <c r="I81" s="201">
        <v>0.43575060946321992</v>
      </c>
      <c r="J81" s="309">
        <v>18649.07850939245</v>
      </c>
      <c r="K81" s="310">
        <v>307.7214528014332</v>
      </c>
      <c r="L81" s="185">
        <v>0.11109247006825407</v>
      </c>
      <c r="M81" s="201">
        <v>0.88890752993174593</v>
      </c>
      <c r="N81" s="185">
        <v>0.82000000000000073</v>
      </c>
      <c r="O81" s="201">
        <v>0.17999999999999927</v>
      </c>
    </row>
    <row r="82" spans="7:15" ht="16.350000000000001" customHeight="1">
      <c r="G82" s="212">
        <v>76</v>
      </c>
      <c r="H82" s="193">
        <v>180</v>
      </c>
      <c r="I82" s="201">
        <v>0.41308841783060107</v>
      </c>
      <c r="J82" s="309">
        <v>18625.395613778193</v>
      </c>
      <c r="K82" s="310">
        <v>291.08889805970955</v>
      </c>
      <c r="L82" s="185">
        <v>0.10387048886795158</v>
      </c>
      <c r="M82" s="201">
        <v>0.89612951113204842</v>
      </c>
      <c r="N82" s="185">
        <v>0.81000000000000072</v>
      </c>
      <c r="O82" s="201">
        <v>0.18999999999999928</v>
      </c>
    </row>
    <row r="83" spans="7:15" ht="16.350000000000001" customHeight="1">
      <c r="G83" s="212">
        <v>77</v>
      </c>
      <c r="H83" s="193">
        <v>180</v>
      </c>
      <c r="I83" s="201">
        <v>0.39265556987628569</v>
      </c>
      <c r="J83" s="309">
        <v>18604.022196635509</v>
      </c>
      <c r="K83" s="310">
        <v>276.15784440837291</v>
      </c>
      <c r="L83" s="185">
        <v>9.737888817533602E-2</v>
      </c>
      <c r="M83" s="201">
        <v>0.90262111182466398</v>
      </c>
      <c r="N83" s="185">
        <v>0.80000000000000071</v>
      </c>
      <c r="O83" s="201">
        <v>0.19999999999999929</v>
      </c>
    </row>
    <row r="84" spans="7:15" ht="16.350000000000001" customHeight="1">
      <c r="G84" s="212">
        <v>78</v>
      </c>
      <c r="H84" s="193">
        <v>180</v>
      </c>
      <c r="I84" s="201">
        <v>0.37413985644584913</v>
      </c>
      <c r="J84" s="309">
        <v>18584.639947603737</v>
      </c>
      <c r="K84" s="310">
        <v>262.68064755490968</v>
      </c>
      <c r="L84" s="185">
        <v>9.1512726151700585E-2</v>
      </c>
      <c r="M84" s="201">
        <v>0.90848727384829941</v>
      </c>
      <c r="N84" s="185">
        <v>0.7900000000000007</v>
      </c>
      <c r="O84" s="201">
        <v>0.2099999999999993</v>
      </c>
    </row>
    <row r="85" spans="7:15" ht="16.350000000000001" customHeight="1">
      <c r="G85" s="212">
        <v>79</v>
      </c>
      <c r="H85" s="193">
        <v>180</v>
      </c>
      <c r="I85" s="201">
        <v>0.3572845156521533</v>
      </c>
      <c r="J85" s="309">
        <v>18566.98575298084</v>
      </c>
      <c r="K85" s="310">
        <v>250.45535567547654</v>
      </c>
      <c r="L85" s="185">
        <v>8.6186147090830167E-2</v>
      </c>
      <c r="M85" s="201">
        <v>0.91381385290916983</v>
      </c>
      <c r="N85" s="185">
        <v>0.78000000000000069</v>
      </c>
      <c r="O85" s="201">
        <v>0.21999999999999931</v>
      </c>
    </row>
    <row r="86" spans="7:15" ht="16.350000000000001" customHeight="1">
      <c r="G86" s="212">
        <v>80</v>
      </c>
      <c r="H86" s="193">
        <v>180</v>
      </c>
      <c r="I86" s="201">
        <v>0.34187650201939163</v>
      </c>
      <c r="J86" s="309">
        <v>18550.840395101673</v>
      </c>
      <c r="K86" s="310">
        <v>239.31566708437026</v>
      </c>
      <c r="L86" s="185">
        <v>8.1328252895177755E-2</v>
      </c>
      <c r="M86" s="201">
        <v>0.91867174710482224</v>
      </c>
      <c r="N86" s="185">
        <v>0.77000000000000068</v>
      </c>
      <c r="O86" s="201">
        <v>0.22999999999999932</v>
      </c>
    </row>
    <row r="87" spans="7:15" ht="16.350000000000001" customHeight="1">
      <c r="G87" s="212">
        <v>81</v>
      </c>
      <c r="H87" s="193">
        <v>180</v>
      </c>
      <c r="I87" s="201">
        <v>0.32773759914157868</v>
      </c>
      <c r="J87" s="309">
        <v>18536.01987485178</v>
      </c>
      <c r="K87" s="310">
        <v>229.1234169893078</v>
      </c>
      <c r="L87" s="185">
        <v>7.6879996241148496E-2</v>
      </c>
      <c r="M87" s="201">
        <v>0.9231200037588515</v>
      </c>
      <c r="N87" s="185">
        <v>0.76000000000000068</v>
      </c>
      <c r="O87" s="201">
        <v>0.23999999999999932</v>
      </c>
    </row>
    <row r="88" spans="7:15" ht="16.350000000000001" customHeight="1">
      <c r="G88" s="212">
        <v>82</v>
      </c>
      <c r="H88" s="193">
        <v>180</v>
      </c>
      <c r="I88" s="201">
        <v>0.31471760685850603</v>
      </c>
      <c r="J88" s="309">
        <v>18522.368686554444</v>
      </c>
      <c r="K88" s="310">
        <v>219.76288243193576</v>
      </c>
      <c r="L88" s="185">
        <v>7.2791813704783825E-2</v>
      </c>
      <c r="M88" s="201">
        <v>0.92720818629521617</v>
      </c>
      <c r="N88" s="185">
        <v>0.75000000000000067</v>
      </c>
      <c r="O88" s="201">
        <v>0.24999999999999933</v>
      </c>
    </row>
    <row r="89" spans="7:15" ht="16.350000000000001" customHeight="1">
      <c r="G89" s="212">
        <v>83</v>
      </c>
      <c r="H89" s="193">
        <v>180</v>
      </c>
      <c r="I89" s="201">
        <v>0.30268905854745115</v>
      </c>
      <c r="J89" s="309">
        <v>18509.75455879141</v>
      </c>
      <c r="K89" s="310">
        <v>211.13641116247567</v>
      </c>
      <c r="L89" s="185">
        <v>6.9021801952174E-2</v>
      </c>
      <c r="M89" s="201">
        <v>0.930978198047826</v>
      </c>
      <c r="N89" s="185">
        <v>0.74000000000000066</v>
      </c>
      <c r="O89" s="201">
        <v>0.25999999999999934</v>
      </c>
    </row>
    <row r="90" spans="7:15" ht="16.350000000000001" customHeight="1">
      <c r="G90" s="212">
        <v>84</v>
      </c>
      <c r="H90" s="193">
        <v>180</v>
      </c>
      <c r="I90" s="201">
        <v>0.29154310087370439</v>
      </c>
      <c r="J90" s="309">
        <v>18498.064308771809</v>
      </c>
      <c r="K90" s="310">
        <v>203.16104221703665</v>
      </c>
      <c r="L90" s="185">
        <v>6.553429815080325E-2</v>
      </c>
      <c r="M90" s="201">
        <v>0.93446570184919675</v>
      </c>
      <c r="N90" s="185">
        <v>0.73000000000000065</v>
      </c>
      <c r="O90" s="201">
        <v>0.26999999999999935</v>
      </c>
    </row>
    <row r="91" spans="7:15" ht="16.350000000000001" customHeight="1">
      <c r="G91" s="212">
        <v>85</v>
      </c>
      <c r="H91" s="193">
        <v>180</v>
      </c>
      <c r="I91" s="201">
        <v>0.28118620757724538</v>
      </c>
      <c r="J91" s="309">
        <v>18487.200541793602</v>
      </c>
      <c r="K91" s="310">
        <v>195.76583566252953</v>
      </c>
      <c r="L91" s="185">
        <v>6.2298762826302867E-2</v>
      </c>
      <c r="M91" s="201">
        <v>0.93770123717369713</v>
      </c>
      <c r="N91" s="185">
        <v>0.72000000000000064</v>
      </c>
      <c r="O91" s="201">
        <v>0.27999999999999936</v>
      </c>
    </row>
    <row r="92" spans="7:15" ht="16.350000000000001" customHeight="1">
      <c r="G92" s="212">
        <v>86</v>
      </c>
      <c r="H92" s="193">
        <v>180</v>
      </c>
      <c r="I92" s="201">
        <v>0.27153759124789045</v>
      </c>
      <c r="J92" s="309">
        <v>18477.079011066828</v>
      </c>
      <c r="K92" s="310">
        <v>188.8897831186394</v>
      </c>
      <c r="L92" s="185">
        <v>5.9288894594225372E-2</v>
      </c>
      <c r="M92" s="201">
        <v>0.94071110540577463</v>
      </c>
      <c r="N92" s="185">
        <v>0.71000000000000063</v>
      </c>
      <c r="O92" s="201">
        <v>0.28999999999999937</v>
      </c>
    </row>
    <row r="93" spans="7:15" ht="16.350000000000001" customHeight="1">
      <c r="G93" s="212">
        <v>87</v>
      </c>
      <c r="H93" s="193">
        <v>180</v>
      </c>
      <c r="I93" s="201">
        <v>0.26252710771811022</v>
      </c>
      <c r="J93" s="309">
        <v>18467.626484470286</v>
      </c>
      <c r="K93" s="310">
        <v>182.48012903128676</v>
      </c>
      <c r="L93" s="185">
        <v>5.6481921367089183E-2</v>
      </c>
      <c r="M93" s="201">
        <v>0.94351807863291082</v>
      </c>
      <c r="N93" s="185">
        <v>0.70000000000000062</v>
      </c>
      <c r="O93" s="201">
        <v>0.29999999999999938</v>
      </c>
    </row>
    <row r="94" spans="7:15" ht="16.350000000000001" customHeight="1">
      <c r="G94" s="212">
        <v>88</v>
      </c>
      <c r="H94" s="193">
        <v>180</v>
      </c>
      <c r="I94" s="201">
        <v>0.25409356270759881</v>
      </c>
      <c r="J94" s="309">
        <v>18458.779011301875</v>
      </c>
      <c r="K94" s="310">
        <v>176.49102273118302</v>
      </c>
      <c r="L94" s="185">
        <v>5.3858028939378855E-2</v>
      </c>
      <c r="M94" s="201">
        <v>0.94614197106062115</v>
      </c>
      <c r="N94" s="185">
        <v>0.69000000000000061</v>
      </c>
      <c r="O94" s="201">
        <v>0.30999999999999939</v>
      </c>
    </row>
    <row r="95" spans="7:15" ht="16.350000000000001" customHeight="1">
      <c r="G95" s="212">
        <v>89</v>
      </c>
      <c r="H95" s="193">
        <v>180</v>
      </c>
      <c r="I95" s="201">
        <v>0.24618333113331392</v>
      </c>
      <c r="J95" s="309">
        <v>18450.480504417435</v>
      </c>
      <c r="K95" s="310">
        <v>170.88242596275043</v>
      </c>
      <c r="L95" s="185">
        <v>5.1399896852831528E-2</v>
      </c>
      <c r="M95" s="201">
        <v>0.94860010314716847</v>
      </c>
      <c r="N95" s="185">
        <v>0.6800000000000006</v>
      </c>
      <c r="O95" s="201">
        <v>0.3199999999999994</v>
      </c>
    </row>
    <row r="96" spans="7:15" ht="16.350000000000001" customHeight="1">
      <c r="G96" s="212">
        <v>90</v>
      </c>
      <c r="H96" s="193">
        <v>180</v>
      </c>
      <c r="I96" s="201">
        <v>0.23874922389550282</v>
      </c>
      <c r="J96" s="309">
        <v>18442.681573196551</v>
      </c>
      <c r="K96" s="310">
        <v>165.61922121170247</v>
      </c>
      <c r="L96" s="185">
        <v>4.9092318811845614E-2</v>
      </c>
      <c r="M96" s="201">
        <v>0.95090768118815439</v>
      </c>
      <c r="N96" s="185">
        <v>0.6700000000000006</v>
      </c>
      <c r="O96" s="201">
        <v>0.3299999999999994</v>
      </c>
    </row>
    <row r="97" spans="7:15" ht="16.350000000000001" customHeight="1">
      <c r="G97" s="212">
        <v>91</v>
      </c>
      <c r="H97" s="193">
        <v>180</v>
      </c>
      <c r="I97" s="201">
        <v>0.23174955196968308</v>
      </c>
      <c r="J97" s="309">
        <v>18435.338557343093</v>
      </c>
      <c r="K97" s="310">
        <v>160.67047909318407</v>
      </c>
      <c r="L97" s="185">
        <v>4.6921890247653919E-2</v>
      </c>
      <c r="M97" s="201">
        <v>0.95307810975234608</v>
      </c>
      <c r="N97" s="185">
        <v>0.66000000000000059</v>
      </c>
      <c r="O97" s="201">
        <v>0.33999999999999941</v>
      </c>
    </row>
    <row r="98" spans="7:15" ht="16.350000000000001" customHeight="1">
      <c r="G98" s="212">
        <v>92</v>
      </c>
      <c r="H98" s="193">
        <v>180</v>
      </c>
      <c r="I98" s="201">
        <v>0.22514734895011343</v>
      </c>
      <c r="J98" s="309">
        <v>18428.412722533751</v>
      </c>
      <c r="K98" s="310">
        <v>156.00885270891064</v>
      </c>
      <c r="L98" s="185">
        <v>4.4876749597649201E-2</v>
      </c>
      <c r="M98" s="201">
        <v>0.9551232504023508</v>
      </c>
      <c r="N98" s="185">
        <v>0.65000000000000058</v>
      </c>
      <c r="O98" s="201">
        <v>0.34999999999999942</v>
      </c>
    </row>
    <row r="99" spans="7:15" ht="16.350000000000001" customHeight="1">
      <c r="G99" s="212">
        <v>93</v>
      </c>
      <c r="H99" s="193">
        <v>180</v>
      </c>
      <c r="I99" s="201">
        <v>0.21890972163810518</v>
      </c>
      <c r="J99" s="309">
        <v>18421.869587292702</v>
      </c>
      <c r="K99" s="310">
        <v>151.61007403551065</v>
      </c>
      <c r="L99" s="185">
        <v>4.2946362845553088E-2</v>
      </c>
      <c r="M99" s="201">
        <v>0.95705363715444691</v>
      </c>
      <c r="N99" s="185">
        <v>0.64000000000000057</v>
      </c>
      <c r="O99" s="201">
        <v>0.35999999999999943</v>
      </c>
    </row>
    <row r="100" spans="7:15" ht="16.350000000000001" customHeight="1">
      <c r="G100" s="212">
        <v>94</v>
      </c>
      <c r="H100" s="193">
        <v>180</v>
      </c>
      <c r="I100" s="201">
        <v>0.2130073047804385</v>
      </c>
      <c r="J100" s="309">
        <v>18415.678356886212</v>
      </c>
      <c r="K100" s="310">
        <v>147.45253286834617</v>
      </c>
      <c r="L100" s="185">
        <v>4.1121343126664156E-2</v>
      </c>
      <c r="M100" s="201">
        <v>0.95887865687333584</v>
      </c>
      <c r="N100" s="185">
        <v>0.63000000000000056</v>
      </c>
      <c r="O100" s="201">
        <v>0.36999999999999944</v>
      </c>
    </row>
    <row r="101" spans="7:15">
      <c r="G101" s="212">
        <v>95</v>
      </c>
      <c r="H101" s="193">
        <v>180</v>
      </c>
      <c r="I101" s="201">
        <v>0.20741380099490639</v>
      </c>
      <c r="J101" s="309">
        <v>18409.811444977924</v>
      </c>
      <c r="K101" s="310">
        <v>143.51692295932364</v>
      </c>
      <c r="L101" s="185">
        <v>3.9393298926738374E-2</v>
      </c>
      <c r="M101" s="201">
        <v>0.96060670107326163</v>
      </c>
      <c r="N101" s="185">
        <v>0.62000000000000055</v>
      </c>
      <c r="O101" s="201">
        <v>0.37999999999999945</v>
      </c>
    </row>
    <row r="102" spans="7:15">
      <c r="G102" s="212">
        <v>96</v>
      </c>
      <c r="H102" s="193">
        <v>180</v>
      </c>
      <c r="I102" s="201">
        <v>0.20210559078163334</v>
      </c>
      <c r="J102" s="309">
        <v>18404.244067632055</v>
      </c>
      <c r="K102" s="310">
        <v>139.78594318160768</v>
      </c>
      <c r="L102" s="185">
        <v>3.7754705731026905E-2</v>
      </c>
      <c r="M102" s="201">
        <v>0.96224529426897309</v>
      </c>
      <c r="N102" s="185">
        <v>0.61000000000000054</v>
      </c>
      <c r="O102" s="201">
        <v>0.38999999999999946</v>
      </c>
    </row>
    <row r="103" spans="7:15">
      <c r="G103" s="212">
        <v>97</v>
      </c>
      <c r="H103" s="193">
        <v>180</v>
      </c>
      <c r="I103" s="201">
        <v>0.19706140047486553</v>
      </c>
      <c r="J103" s="309">
        <v>18398.953897254982</v>
      </c>
      <c r="K103" s="310">
        <v>136.24404398928823</v>
      </c>
      <c r="L103" s="185">
        <v>3.6198797009014627E-2</v>
      </c>
      <c r="M103" s="201">
        <v>0.96380120299098537</v>
      </c>
      <c r="N103" s="185">
        <v>0.60000000000000053</v>
      </c>
      <c r="O103" s="201">
        <v>0.39999999999999947</v>
      </c>
    </row>
    <row r="104" spans="7:15">
      <c r="G104" s="212">
        <v>98</v>
      </c>
      <c r="H104" s="193">
        <v>180</v>
      </c>
      <c r="I104" s="201">
        <v>0.19226201836003315</v>
      </c>
      <c r="J104" s="309">
        <v>18393.920766434152</v>
      </c>
      <c r="K104" s="310">
        <v>132.87721137550318</v>
      </c>
      <c r="L104" s="185">
        <v>3.4719471224365916E-2</v>
      </c>
      <c r="M104" s="201">
        <v>0.96528052877563408</v>
      </c>
      <c r="N104" s="185">
        <v>0.59000000000000052</v>
      </c>
      <c r="O104" s="201">
        <v>0.40999999999999948</v>
      </c>
    </row>
    <row r="105" spans="7:15">
      <c r="G105" s="212">
        <v>99</v>
      </c>
      <c r="H105" s="193">
        <v>180</v>
      </c>
      <c r="I105" s="201">
        <v>0.18769005099764552</v>
      </c>
      <c r="J105" s="309">
        <v>18389.126413501781</v>
      </c>
      <c r="K105" s="310">
        <v>129.67278201288798</v>
      </c>
      <c r="L105" s="185">
        <v>3.3311212190828332E-2</v>
      </c>
      <c r="M105" s="201">
        <v>0.96668878780917167</v>
      </c>
      <c r="N105" s="185">
        <v>0.58000000000000052</v>
      </c>
      <c r="O105" s="201">
        <v>0.41999999999999948</v>
      </c>
    </row>
    <row r="106" spans="7:15">
      <c r="G106" s="212">
        <v>100</v>
      </c>
      <c r="H106" s="193">
        <v>180</v>
      </c>
      <c r="I106" s="201">
        <v>0.18332971326996034</v>
      </c>
      <c r="J106" s="309">
        <v>18384.554263142261</v>
      </c>
      <c r="K106" s="310">
        <v>126.61928445221233</v>
      </c>
      <c r="L106" s="185">
        <v>3.1969020594248554E-2</v>
      </c>
      <c r="M106" s="201">
        <v>0.96803097940575145</v>
      </c>
      <c r="N106" s="185">
        <v>0.57000000000000051</v>
      </c>
      <c r="O106" s="201">
        <v>0.42999999999999949</v>
      </c>
    </row>
    <row r="107" spans="7:15">
      <c r="G107" s="212">
        <v>101</v>
      </c>
      <c r="H107" s="193">
        <v>180</v>
      </c>
      <c r="I107" s="201">
        <v>0.17916664684385394</v>
      </c>
      <c r="J107" s="309">
        <v>18380.189236553651</v>
      </c>
      <c r="K107" s="310">
        <v>123.70630220222179</v>
      </c>
      <c r="L107" s="185">
        <v>3.0688354898120052E-2</v>
      </c>
      <c r="M107" s="201">
        <v>0.96931164510187995</v>
      </c>
      <c r="N107" s="185">
        <v>0.5600000000000005</v>
      </c>
      <c r="O107" s="201">
        <v>0.4399999999999995</v>
      </c>
    </row>
    <row r="108" spans="7:15">
      <c r="G108" s="212">
        <v>102</v>
      </c>
      <c r="H108" s="193">
        <v>180</v>
      </c>
      <c r="I108" s="201">
        <v>0.17518776264993483</v>
      </c>
      <c r="J108" s="309">
        <v>18376.017586631337</v>
      </c>
      <c r="K108" s="310">
        <v>120.92435524285801</v>
      </c>
      <c r="L108" s="185">
        <v>2.9465080167463076E-2</v>
      </c>
      <c r="M108" s="201">
        <v>0.97053491983253692</v>
      </c>
      <c r="N108" s="185">
        <v>0.55000000000000049</v>
      </c>
      <c r="O108" s="201">
        <v>0.44999999999999951</v>
      </c>
    </row>
    <row r="109" spans="7:15">
      <c r="G109" s="212">
        <v>103</v>
      </c>
      <c r="H109" s="193">
        <v>180</v>
      </c>
      <c r="I109" s="201">
        <v>0.1713811037707231</v>
      </c>
      <c r="J109" s="309">
        <v>18372.026754418886</v>
      </c>
      <c r="K109" s="310">
        <v>118.26479715349339</v>
      </c>
      <c r="L109" s="185">
        <v>2.8295423601602865E-2</v>
      </c>
      <c r="M109" s="201">
        <v>0.97170457639839714</v>
      </c>
      <c r="N109" s="185">
        <v>0.54000000000000048</v>
      </c>
      <c r="O109" s="201">
        <v>0.45999999999999952</v>
      </c>
    </row>
    <row r="110" spans="7:15">
      <c r="G110" s="212">
        <v>104</v>
      </c>
      <c r="H110" s="193">
        <v>180</v>
      </c>
      <c r="I110" s="201">
        <v>0.16773572570518586</v>
      </c>
      <c r="J110" s="309">
        <v>18368.205243697506</v>
      </c>
      <c r="K110" s="310">
        <v>115.71972549725466</v>
      </c>
      <c r="L110" s="185">
        <v>2.7175935772548065E-2</v>
      </c>
      <c r="M110" s="201">
        <v>0.97282406422745193</v>
      </c>
      <c r="N110" s="185">
        <v>0.53000000000000047</v>
      </c>
      <c r="O110" s="201">
        <v>0.46999999999999953</v>
      </c>
    </row>
    <row r="111" spans="7:15">
      <c r="G111" s="212">
        <v>105</v>
      </c>
      <c r="H111" s="193">
        <v>180</v>
      </c>
      <c r="I111" s="201">
        <v>0.16424159151262838</v>
      </c>
      <c r="J111" s="309">
        <v>18364.54251110266</v>
      </c>
      <c r="K111" s="310">
        <v>113.28190352361106</v>
      </c>
      <c r="L111" s="185">
        <v>2.6103456733666874E-2</v>
      </c>
      <c r="M111" s="201">
        <v>0.97389654326633313</v>
      </c>
      <c r="N111" s="185">
        <v>0.52000000000000046</v>
      </c>
      <c r="O111" s="201">
        <v>0.47999999999999954</v>
      </c>
    </row>
    <row r="112" spans="7:15">
      <c r="G112" s="212">
        <v>106</v>
      </c>
      <c r="H112" s="193">
        <v>180</v>
      </c>
      <c r="I112" s="201">
        <v>0.160889479708554</v>
      </c>
      <c r="J112" s="309">
        <v>18361.028869573231</v>
      </c>
      <c r="K112" s="310">
        <v>110.94469154564237</v>
      </c>
      <c r="L112" s="185">
        <v>2.5075086299858329E-2</v>
      </c>
      <c r="M112" s="201">
        <v>0.97492491370014167</v>
      </c>
      <c r="N112" s="185">
        <v>0.51000000000000045</v>
      </c>
      <c r="O112" s="201">
        <v>0.48999999999999955</v>
      </c>
    </row>
    <row r="113" spans="7:15">
      <c r="G113" s="212">
        <v>107</v>
      </c>
      <c r="H113" s="193">
        <v>180</v>
      </c>
      <c r="I113" s="201">
        <v>0.15767090314695212</v>
      </c>
      <c r="J113" s="309">
        <v>18357.655403287867</v>
      </c>
      <c r="K113" s="310">
        <v>108.70198663075138</v>
      </c>
      <c r="L113" s="185">
        <v>2.4088157912804053E-2</v>
      </c>
      <c r="M113" s="201">
        <v>0.97591184208719595</v>
      </c>
      <c r="N113" s="185">
        <v>0.50000000000000044</v>
      </c>
      <c r="O113" s="201">
        <v>0.49999999999999956</v>
      </c>
    </row>
    <row r="114" spans="7:15">
      <c r="G114" s="212">
        <v>108</v>
      </c>
      <c r="H114" s="193">
        <v>180</v>
      </c>
      <c r="I114" s="201">
        <v>0.15457803739473402</v>
      </c>
      <c r="J114" s="309">
        <v>18354.413892527504</v>
      </c>
      <c r="K114" s="310">
        <v>106.54816945629176</v>
      </c>
      <c r="L114" s="185">
        <v>2.3140215597123315E-2</v>
      </c>
      <c r="M114" s="201">
        <v>0.97685978440287669</v>
      </c>
      <c r="N114" s="185">
        <v>0.49000000000000044</v>
      </c>
      <c r="O114" s="201">
        <v>0.50999999999999956</v>
      </c>
    </row>
    <row r="115" spans="7:15">
      <c r="G115" s="212">
        <v>109</v>
      </c>
      <c r="H115" s="193">
        <v>180</v>
      </c>
      <c r="I115" s="201">
        <v>0.15160365732089023</v>
      </c>
      <c r="J115" s="309">
        <v>18351.296747141085</v>
      </c>
      <c r="K115" s="310">
        <v>104.47805735162083</v>
      </c>
      <c r="L115" s="185">
        <v>2.2228993589473611E-2</v>
      </c>
      <c r="M115" s="201">
        <v>0.97777100641052639</v>
      </c>
      <c r="N115" s="185">
        <v>0.48000000000000043</v>
      </c>
      <c r="O115" s="201">
        <v>0.51999999999999957</v>
      </c>
    </row>
    <row r="116" spans="7:15">
      <c r="G116" s="212">
        <v>110</v>
      </c>
      <c r="H116" s="193">
        <v>180</v>
      </c>
      <c r="I116" s="201">
        <v>0.14874108082787593</v>
      </c>
      <c r="J116" s="309">
        <v>18348.296947488489</v>
      </c>
      <c r="K116" s="310">
        <v>102.48686270655691</v>
      </c>
      <c r="L116" s="185">
        <v>2.1352398286054286E-2</v>
      </c>
      <c r="M116" s="201">
        <v>0.97864760171394571</v>
      </c>
      <c r="N116" s="185">
        <v>0.47000000000000042</v>
      </c>
      <c r="O116" s="201">
        <v>0.52999999999999958</v>
      </c>
    </row>
    <row r="117" spans="7:15">
      <c r="G117" s="212">
        <v>111</v>
      </c>
      <c r="H117" s="193">
        <v>180</v>
      </c>
      <c r="I117" s="201">
        <v>0.14598411880204595</v>
      </c>
      <c r="J117" s="309">
        <v>18345.407991899843</v>
      </c>
      <c r="K117" s="310">
        <v>100.57015604262446</v>
      </c>
      <c r="L117" s="185">
        <v>2.0508492206609663E-2</v>
      </c>
      <c r="M117" s="201">
        <v>0.97949150779339034</v>
      </c>
      <c r="N117" s="185">
        <v>0.46000000000000041</v>
      </c>
      <c r="O117" s="201">
        <v>0.53999999999999959</v>
      </c>
    </row>
    <row r="118" spans="7:15">
      <c r="G118" s="212">
        <v>112</v>
      </c>
      <c r="H118" s="193">
        <v>180</v>
      </c>
      <c r="I118" s="201">
        <v>0.14332703049641815</v>
      </c>
      <c r="J118" s="309">
        <v>18342.62384982911</v>
      </c>
      <c r="K118" s="310">
        <v>98.723833148796089</v>
      </c>
      <c r="L118" s="185">
        <v>1.9695479717149356E-2</v>
      </c>
      <c r="M118" s="201">
        <v>0.98030452028285064</v>
      </c>
      <c r="N118" s="185">
        <v>0.4500000000000004</v>
      </c>
      <c r="O118" s="201">
        <v>0.5499999999999996</v>
      </c>
    </row>
    <row r="119" spans="7:15">
      <c r="G119" s="212">
        <v>113</v>
      </c>
      <c r="H119" s="193">
        <v>180</v>
      </c>
      <c r="I119" s="201">
        <v>0.1407644836698573</v>
      </c>
      <c r="J119" s="309">
        <v>18339.938919995409</v>
      </c>
      <c r="K119" s="310">
        <v>96.944085768963319</v>
      </c>
      <c r="L119" s="185">
        <v>1.8911694290538406E-2</v>
      </c>
      <c r="M119" s="201">
        <v>0.98108830570946159</v>
      </c>
      <c r="N119" s="185">
        <v>0.44000000000000039</v>
      </c>
      <c r="O119" s="201">
        <v>0.55999999999999961</v>
      </c>
    </row>
    <row r="120" spans="7:15">
      <c r="G120" s="212">
        <v>114</v>
      </c>
      <c r="H120" s="193">
        <v>180</v>
      </c>
      <c r="I120" s="201">
        <v>0.13829151890745706</v>
      </c>
      <c r="J120" s="309">
        <v>18337.34799290463</v>
      </c>
      <c r="K120" s="310">
        <v>95.2273754054401</v>
      </c>
      <c r="L120" s="185">
        <v>1.8155587115288419E-2</v>
      </c>
      <c r="M120" s="201">
        <v>0.98184441288471158</v>
      </c>
      <c r="N120" s="185">
        <v>0.43000000000000038</v>
      </c>
      <c r="O120" s="201">
        <v>0.56999999999999962</v>
      </c>
    </row>
    <row r="121" spans="7:15">
      <c r="G121" s="212">
        <v>115</v>
      </c>
      <c r="H121" s="193">
        <v>180</v>
      </c>
      <c r="I121" s="201">
        <v>0.13590351761073274</v>
      </c>
      <c r="J121" s="309">
        <v>18334.846217226266</v>
      </c>
      <c r="K121" s="310">
        <v>93.570409852679489</v>
      </c>
      <c r="L121" s="185">
        <v>1.7425716889028608E-2</v>
      </c>
      <c r="M121" s="201">
        <v>0.98257428311097139</v>
      </c>
      <c r="N121" s="185">
        <v>0.42000000000000037</v>
      </c>
      <c r="O121" s="201">
        <v>0.57999999999999963</v>
      </c>
    </row>
    <row r="122" spans="7:15">
      <c r="G122" s="212">
        <v>116</v>
      </c>
      <c r="H122" s="193">
        <v>180</v>
      </c>
      <c r="I122" s="201">
        <v>0.13359617322755421</v>
      </c>
      <c r="J122" s="309">
        <v>18332.42906957091</v>
      </c>
      <c r="K122" s="310">
        <v>91.97012213688329</v>
      </c>
      <c r="L122" s="185">
        <v>1.6720740655497668E-2</v>
      </c>
      <c r="M122" s="201">
        <v>0.98327925934450233</v>
      </c>
      <c r="N122" s="185">
        <v>0.41000000000000036</v>
      </c>
      <c r="O122" s="201">
        <v>0.58999999999999964</v>
      </c>
    </row>
    <row r="123" spans="7:15">
      <c r="G123" s="212">
        <v>117</v>
      </c>
      <c r="H123" s="193">
        <v>180</v>
      </c>
      <c r="I123" s="201">
        <v>0.13136546535344057</v>
      </c>
      <c r="J123" s="309">
        <v>18330.092327275393</v>
      </c>
      <c r="K123" s="310">
        <v>90.423651584068878</v>
      </c>
      <c r="L123" s="185">
        <v>1.6039405562790154E-2</v>
      </c>
      <c r="M123" s="201">
        <v>0.98396059443720985</v>
      </c>
      <c r="N123" s="185">
        <v>0.40000000000000036</v>
      </c>
      <c r="O123" s="201">
        <v>0.59999999999999964</v>
      </c>
    </row>
    <row r="124" spans="7:15">
      <c r="G124" s="212">
        <v>118</v>
      </c>
      <c r="H124" s="193">
        <v>180</v>
      </c>
      <c r="I124" s="201">
        <v>0.12920763636631577</v>
      </c>
      <c r="J124" s="309">
        <v>18327.832043851311</v>
      </c>
      <c r="K124" s="310">
        <v>88.928326763335903</v>
      </c>
      <c r="L124" s="185">
        <v>1.5380541436612716E-2</v>
      </c>
      <c r="M124" s="201">
        <v>0.98461945856338728</v>
      </c>
      <c r="N124" s="185">
        <v>0.39000000000000035</v>
      </c>
      <c r="O124" s="201">
        <v>0.60999999999999965</v>
      </c>
    </row>
    <row r="125" spans="7:15">
      <c r="G125" s="212">
        <v>119</v>
      </c>
      <c r="H125" s="193">
        <v>180</v>
      </c>
      <c r="I125" s="201">
        <v>0.12711917031145098</v>
      </c>
      <c r="J125" s="309">
        <v>18325.644526798849</v>
      </c>
      <c r="K125" s="310">
        <v>87.481650092986413</v>
      </c>
      <c r="L125" s="185">
        <v>1.4743054076122752E-2</v>
      </c>
      <c r="M125" s="201">
        <v>0.98525694592387725</v>
      </c>
      <c r="N125" s="185">
        <v>0.38000000000000034</v>
      </c>
      <c r="O125" s="201">
        <v>0.61999999999999966</v>
      </c>
    </row>
    <row r="126" spans="7:15">
      <c r="G126" s="212">
        <v>120</v>
      </c>
      <c r="H126" s="193">
        <v>180</v>
      </c>
      <c r="I126" s="201">
        <v>0.12509677379531137</v>
      </c>
      <c r="J126" s="309">
        <v>18323.526317524647</v>
      </c>
      <c r="K126" s="310">
        <v>86.081283928714285</v>
      </c>
      <c r="L126" s="185">
        <v>1.4125919191740666E-2</v>
      </c>
      <c r="M126" s="201">
        <v>0.98587408080825933</v>
      </c>
      <c r="N126" s="185">
        <v>0.37000000000000033</v>
      </c>
      <c r="O126" s="201">
        <v>0.62999999999999967</v>
      </c>
    </row>
    <row r="127" spans="7:15">
      <c r="G127" s="212">
        <v>121</v>
      </c>
      <c r="H127" s="193">
        <v>180</v>
      </c>
      <c r="I127" s="201">
        <v>0.12313735865890099</v>
      </c>
      <c r="J127" s="309">
        <v>18321.474173134451</v>
      </c>
      <c r="K127" s="310">
        <v>84.725037962977225</v>
      </c>
      <c r="L127" s="185">
        <v>1.3528176914347934E-2</v>
      </c>
      <c r="M127" s="201">
        <v>0.98647182308565207</v>
      </c>
      <c r="N127" s="185">
        <v>0.36000000000000032</v>
      </c>
      <c r="O127" s="201">
        <v>0.63999999999999968</v>
      </c>
    </row>
    <row r="128" spans="7:15">
      <c r="G128" s="212">
        <v>122</v>
      </c>
      <c r="H128" s="193">
        <v>180</v>
      </c>
      <c r="I128" s="201">
        <v>0.12123802625204698</v>
      </c>
      <c r="J128" s="309">
        <v>18319.485049900191</v>
      </c>
      <c r="K128" s="310">
        <v>83.410857801984591</v>
      </c>
      <c r="L128" s="185">
        <v>1.2948926814123962E-2</v>
      </c>
      <c r="M128" s="201">
        <v>0.98705107318587604</v>
      </c>
      <c r="N128" s="185">
        <v>0.35000000000000031</v>
      </c>
      <c r="O128" s="201">
        <v>0.64999999999999969</v>
      </c>
    </row>
    <row r="129" spans="7:15">
      <c r="G129" s="212">
        <v>123</v>
      </c>
      <c r="H129" s="193">
        <v>180</v>
      </c>
      <c r="I129" s="201">
        <v>0.11939605312132928</v>
      </c>
      <c r="J129" s="309">
        <v>18317.556088224334</v>
      </c>
      <c r="K129" s="310">
        <v>82.136814581567478</v>
      </c>
      <c r="L129" s="185">
        <v>1.2387323374640546E-2</v>
      </c>
      <c r="M129" s="201">
        <v>0.98761267662535945</v>
      </c>
      <c r="N129" s="185">
        <v>0.3400000000000003</v>
      </c>
      <c r="O129" s="201">
        <v>0.6599999999999997</v>
      </c>
    </row>
    <row r="130" spans="7:15">
      <c r="G130" s="212">
        <v>124</v>
      </c>
      <c r="H130" s="193">
        <v>180</v>
      </c>
      <c r="I130" s="201">
        <v>0.11760887798651286</v>
      </c>
      <c r="J130" s="309">
        <v>18315.684598946289</v>
      </c>
      <c r="K130" s="310">
        <v>80.901095528165769</v>
      </c>
      <c r="L130" s="185">
        <v>1.1842571874540853E-2</v>
      </c>
      <c r="M130" s="201">
        <v>0.98815742812545915</v>
      </c>
      <c r="N130" s="185">
        <v>0.33000000000000029</v>
      </c>
      <c r="O130" s="201">
        <v>0.66999999999999971</v>
      </c>
    </row>
    <row r="131" spans="7:15">
      <c r="G131" s="212">
        <v>125</v>
      </c>
      <c r="H131" s="193">
        <v>180</v>
      </c>
      <c r="I131" s="201">
        <v>0.11587408986126667</v>
      </c>
      <c r="J131" s="309">
        <v>18313.868050853587</v>
      </c>
      <c r="K131" s="310">
        <v>79.701995358363206</v>
      </c>
      <c r="L131" s="185">
        <v>1.1313924634594019E-2</v>
      </c>
      <c r="M131" s="201">
        <v>0.98868607536540598</v>
      </c>
      <c r="N131" s="185">
        <v>0.32000000000000028</v>
      </c>
      <c r="O131" s="201">
        <v>0.67999999999999972</v>
      </c>
    </row>
    <row r="132" spans="7:15">
      <c r="G132" s="212">
        <v>126</v>
      </c>
      <c r="H132" s="193">
        <v>180</v>
      </c>
      <c r="I132" s="201">
        <v>0.11418941719690175</v>
      </c>
      <c r="J132" s="309">
        <v>18312.104059275145</v>
      </c>
      <c r="K132" s="310">
        <v>78.537908427309347</v>
      </c>
      <c r="L132" s="185">
        <v>1.0800677592886498E-2</v>
      </c>
      <c r="M132" s="201">
        <v>0.9891993224071135</v>
      </c>
      <c r="N132" s="185">
        <v>0.31000000000000028</v>
      </c>
      <c r="O132" s="201">
        <v>0.68999999999999972</v>
      </c>
    </row>
    <row r="133" spans="7:15">
      <c r="G133" s="212">
        <v>127</v>
      </c>
      <c r="H133" s="193">
        <v>180</v>
      </c>
      <c r="I133" s="201">
        <v>0.11255271795848761</v>
      </c>
      <c r="J133" s="309">
        <v>18310.39037564984</v>
      </c>
      <c r="K133" s="310">
        <v>77.40732155861302</v>
      </c>
      <c r="L133" s="185">
        <v>1.0302167175223031E-2</v>
      </c>
      <c r="M133" s="201">
        <v>0.98969783282477697</v>
      </c>
      <c r="N133" s="185">
        <v>0.30000000000000027</v>
      </c>
      <c r="O133" s="201">
        <v>0.69999999999999973</v>
      </c>
    </row>
    <row r="134" spans="7:15">
      <c r="G134" s="212">
        <v>128</v>
      </c>
      <c r="H134" s="193">
        <v>180</v>
      </c>
      <c r="I134" s="201">
        <v>0.11096197054335413</v>
      </c>
      <c r="J134" s="309">
        <v>18308.724877974786</v>
      </c>
      <c r="K134" s="310">
        <v>76.308807489193711</v>
      </c>
      <c r="L134" s="185">
        <v>9.8177674315103047E-3</v>
      </c>
      <c r="M134" s="201">
        <v>0.9901822325684897</v>
      </c>
      <c r="N134" s="185">
        <v>0.29000000000000026</v>
      </c>
      <c r="O134" s="201">
        <v>0.70999999999999974</v>
      </c>
    </row>
    <row r="135" spans="7:15">
      <c r="G135" s="212">
        <v>129</v>
      </c>
      <c r="H135" s="193">
        <v>180</v>
      </c>
      <c r="I135" s="201">
        <v>0.10941526544132649</v>
      </c>
      <c r="J135" s="309">
        <v>18307.105562046792</v>
      </c>
      <c r="K135" s="310">
        <v>75.241018855408669</v>
      </c>
      <c r="L135" s="185">
        <v>9.3468874120776757E-3</v>
      </c>
      <c r="M135" s="201">
        <v>0.99065311258792232</v>
      </c>
      <c r="N135" s="185">
        <v>0.28000000000000025</v>
      </c>
      <c r="O135" s="201">
        <v>0.71999999999999975</v>
      </c>
    </row>
    <row r="136" spans="7:15">
      <c r="G136" s="212">
        <v>130</v>
      </c>
      <c r="H136" s="193">
        <v>180</v>
      </c>
      <c r="I136" s="201">
        <v>0.1079107975938252</v>
      </c>
      <c r="J136" s="309">
        <v>18305.530533423102</v>
      </c>
      <c r="K136" s="310">
        <v>74.202682688062382</v>
      </c>
      <c r="L136" s="185">
        <v>8.8889687609170487E-3</v>
      </c>
      <c r="M136" s="201">
        <v>0.99111103123908295</v>
      </c>
      <c r="N136" s="185">
        <v>0.27000000000000024</v>
      </c>
      <c r="O136" s="201">
        <v>0.72999999999999976</v>
      </c>
    </row>
    <row r="137" spans="7:15">
      <c r="G137" s="212">
        <v>131</v>
      </c>
      <c r="H137" s="193">
        <v>180</v>
      </c>
      <c r="I137" s="201">
        <v>0.10644685935647998</v>
      </c>
      <c r="J137" s="309">
        <v>18303.998000031672</v>
      </c>
      <c r="K137" s="310">
        <v>73.192595346983197</v>
      </c>
      <c r="L137" s="185">
        <v>8.4434835051271362E-3</v>
      </c>
      <c r="M137" s="201">
        <v>0.99155651649487286</v>
      </c>
      <c r="N137" s="185">
        <v>0.26000000000000023</v>
      </c>
      <c r="O137" s="201">
        <v>0.73999999999999977</v>
      </c>
    </row>
    <row r="138" spans="7:15">
      <c r="G138" s="212">
        <v>132</v>
      </c>
      <c r="H138" s="193">
        <v>180</v>
      </c>
      <c r="I138" s="201">
        <v>0.10502183403893434</v>
      </c>
      <c r="J138" s="309">
        <v>18302.506265372493</v>
      </c>
      <c r="K138" s="310">
        <v>72.209617875014473</v>
      </c>
      <c r="L138" s="185">
        <v>8.0099320222517534E-3</v>
      </c>
      <c r="M138" s="201">
        <v>0.99199006797774825</v>
      </c>
      <c r="N138" s="185">
        <v>0.25000000000000022</v>
      </c>
      <c r="O138" s="201">
        <v>0.74999999999999978</v>
      </c>
    </row>
    <row r="139" spans="7:15">
      <c r="G139" s="212">
        <v>133</v>
      </c>
      <c r="H139" s="193">
        <v>180</v>
      </c>
      <c r="I139" s="201">
        <v>0.10363418993840055</v>
      </c>
      <c r="J139" s="309">
        <v>18301.053722253739</v>
      </c>
      <c r="K139" s="310">
        <v>71.252671710998271</v>
      </c>
      <c r="L139" s="185">
        <v>7.587841168953946E-3</v>
      </c>
      <c r="M139" s="201">
        <v>0.99241215883104605</v>
      </c>
      <c r="N139" s="185">
        <v>0.24000000000000021</v>
      </c>
      <c r="O139" s="201">
        <v>0.75999999999999979</v>
      </c>
    </row>
    <row r="140" spans="7:15">
      <c r="G140" s="212">
        <v>134</v>
      </c>
      <c r="H140" s="193">
        <v>180</v>
      </c>
      <c r="I140" s="201">
        <v>0.1022824748490249</v>
      </c>
      <c r="J140" s="309">
        <v>18299.638847015787</v>
      </c>
      <c r="K140" s="310">
        <v>70.320734747923382</v>
      </c>
      <c r="L140" s="185">
        <v>7.1767625563523563E-3</v>
      </c>
      <c r="M140" s="201">
        <v>0.99282323744364764</v>
      </c>
      <c r="N140" s="185">
        <v>0.2300000000000002</v>
      </c>
      <c r="O140" s="201">
        <v>0.7699999999999998</v>
      </c>
    </row>
    <row r="141" spans="7:15">
      <c r="G141" s="212">
        <v>135</v>
      </c>
      <c r="H141" s="193">
        <v>180</v>
      </c>
      <c r="I141" s="201">
        <v>0.10096531098719115</v>
      </c>
      <c r="J141" s="309">
        <v>18298.260194198472</v>
      </c>
      <c r="K141" s="310">
        <v>69.412837692847788</v>
      </c>
      <c r="L141" s="185">
        <v>6.7762709587331216E-3</v>
      </c>
      <c r="M141" s="201">
        <v>0.99322372904126688</v>
      </c>
      <c r="N141" s="185">
        <v>0.2200000000000002</v>
      </c>
      <c r="O141" s="201">
        <v>0.7799999999999998</v>
      </c>
    </row>
    <row r="142" spans="7:15">
      <c r="G142" s="212">
        <v>136</v>
      </c>
      <c r="H142" s="193">
        <v>180</v>
      </c>
      <c r="I142" s="201">
        <v>9.9681390304066961E-2</v>
      </c>
      <c r="J142" s="309">
        <v>18296.916391612955</v>
      </c>
      <c r="K142" s="310">
        <v>68.528060707433553</v>
      </c>
      <c r="L142" s="185">
        <v>6.3859628437621385E-3</v>
      </c>
      <c r="M142" s="201">
        <v>0.99361403715623786</v>
      </c>
      <c r="N142" s="185">
        <v>0.21000000000000019</v>
      </c>
      <c r="O142" s="201">
        <v>0.78999999999999981</v>
      </c>
    </row>
    <row r="143" spans="7:15">
      <c r="G143" s="212">
        <v>137</v>
      </c>
      <c r="H143" s="193">
        <v>180</v>
      </c>
      <c r="I143" s="201">
        <v>9.8429470143848188E-2</v>
      </c>
      <c r="J143" s="309">
        <v>18295.606135781891</v>
      </c>
      <c r="K143" s="310">
        <v>67.665530298941064</v>
      </c>
      <c r="L143" s="185">
        <v>6.0054550134730489E-3</v>
      </c>
      <c r="M143" s="201">
        <v>0.99399454498652695</v>
      </c>
      <c r="N143" s="185">
        <v>0.20000000000000018</v>
      </c>
      <c r="O143" s="201">
        <v>0.79999999999999982</v>
      </c>
    </row>
    <row r="144" spans="7:15">
      <c r="G144" s="212">
        <v>138</v>
      </c>
      <c r="H144" s="193">
        <v>180</v>
      </c>
      <c r="I144" s="201">
        <v>9.720836923099993E-2</v>
      </c>
      <c r="J144" s="309">
        <v>18294.328187717256</v>
      </c>
      <c r="K144" s="310">
        <v>66.824416449232473</v>
      </c>
      <c r="L144" s="185">
        <v>5.6343833464078674E-3</v>
      </c>
      <c r="M144" s="201">
        <v>0.99436561665359213</v>
      </c>
      <c r="N144" s="185">
        <v>0.19000000000000017</v>
      </c>
      <c r="O144" s="201">
        <v>0.80999999999999983</v>
      </c>
    </row>
    <row r="145" spans="7:15">
      <c r="G145" s="212">
        <v>139</v>
      </c>
      <c r="H145" s="193">
        <v>180</v>
      </c>
      <c r="I145" s="201">
        <v>9.6016963943023545E-2</v>
      </c>
      <c r="J145" s="309">
        <v>18293.081369005915</v>
      </c>
      <c r="K145" s="310">
        <v>66.003929950457845</v>
      </c>
      <c r="L145" s="185">
        <v>5.2724016321600287E-3</v>
      </c>
      <c r="M145" s="201">
        <v>0.99472759836783997</v>
      </c>
      <c r="N145" s="185">
        <v>0.18000000000000016</v>
      </c>
      <c r="O145" s="201">
        <v>0.81999999999999984</v>
      </c>
    </row>
    <row r="146" spans="7:15">
      <c r="G146" s="212">
        <v>140</v>
      </c>
      <c r="H146" s="193">
        <v>180</v>
      </c>
      <c r="I146" s="201">
        <v>9.4854184858555776E-2</v>
      </c>
      <c r="J146" s="309">
        <v>18291.864558177502</v>
      </c>
      <c r="K146" s="310">
        <v>65.203319939748766</v>
      </c>
      <c r="L146" s="185">
        <v>4.9191804904726855E-3</v>
      </c>
      <c r="M146" s="201">
        <v>0.99508081950952731</v>
      </c>
      <c r="N146" s="185">
        <v>0.17000000000000015</v>
      </c>
      <c r="O146" s="201">
        <v>0.82999999999999985</v>
      </c>
    </row>
    <row r="147" spans="7:15">
      <c r="G147" s="212">
        <v>141</v>
      </c>
      <c r="H147" s="193">
        <v>180</v>
      </c>
      <c r="I147" s="201">
        <v>9.371901354349968E-2</v>
      </c>
      <c r="J147" s="309">
        <v>18290.676687330375</v>
      </c>
      <c r="K147" s="310">
        <v>64.42187160611148</v>
      </c>
      <c r="L147" s="185">
        <v>4.5744063677255475E-3</v>
      </c>
      <c r="M147" s="201">
        <v>0.99542559363227445</v>
      </c>
      <c r="N147" s="185">
        <v>0.16000000000000014</v>
      </c>
      <c r="O147" s="201">
        <v>0.83999999999999986</v>
      </c>
    </row>
    <row r="148" spans="7:15">
      <c r="G148" s="212">
        <v>142</v>
      </c>
      <c r="H148" s="193">
        <v>180</v>
      </c>
      <c r="I148" s="201">
        <v>9.2610479569757681E-2</v>
      </c>
      <c r="J148" s="309">
        <v>18289.516738994826</v>
      </c>
      <c r="K148" s="310">
        <v>63.658904065346462</v>
      </c>
      <c r="L148" s="185">
        <v>4.2377806043708555E-3</v>
      </c>
      <c r="M148" s="201">
        <v>0.99576221939562914</v>
      </c>
      <c r="N148" s="185">
        <v>0.15000000000000013</v>
      </c>
      <c r="O148" s="201">
        <v>0.84999999999999987</v>
      </c>
    </row>
    <row r="149" spans="7:15">
      <c r="G149" s="212">
        <v>143</v>
      </c>
      <c r="H149" s="193">
        <v>180</v>
      </c>
      <c r="I149" s="201">
        <v>9.1527657736353754E-2</v>
      </c>
      <c r="J149" s="309">
        <v>18288.383743213639</v>
      </c>
      <c r="K149" s="310">
        <v>62.913768381322065</v>
      </c>
      <c r="L149" s="185">
        <v>3.9090185674157674E-3</v>
      </c>
      <c r="M149" s="201">
        <v>0.99609098143258423</v>
      </c>
      <c r="N149" s="185">
        <v>0.14000000000000012</v>
      </c>
      <c r="O149" s="201">
        <v>0.85999999999999988</v>
      </c>
    </row>
    <row r="150" spans="7:15">
      <c r="G150" s="212">
        <v>144</v>
      </c>
      <c r="H150" s="193">
        <v>180</v>
      </c>
      <c r="I150" s="201">
        <v>9.0469665485606685E-2</v>
      </c>
      <c r="J150" s="309">
        <v>18287.276774822309</v>
      </c>
      <c r="K150" s="310">
        <v>62.185845728178748</v>
      </c>
      <c r="L150" s="185">
        <v>3.5878488426220878E-3</v>
      </c>
      <c r="M150" s="201">
        <v>0.99641215115737791</v>
      </c>
      <c r="N150" s="185">
        <v>0.13000000000000012</v>
      </c>
      <c r="O150" s="201">
        <v>0.86999999999999988</v>
      </c>
    </row>
    <row r="151" spans="7:15">
      <c r="G151" s="212">
        <v>145</v>
      </c>
      <c r="H151" s="193">
        <v>180</v>
      </c>
      <c r="I151" s="201">
        <v>8.9435660485136667E-2</v>
      </c>
      <c r="J151" s="309">
        <v>18286.194950912362</v>
      </c>
      <c r="K151" s="310">
        <v>61.47454567259026</v>
      </c>
      <c r="L151" s="185">
        <v>3.2740124815265892E-3</v>
      </c>
      <c r="M151" s="201">
        <v>0.99672598751847341</v>
      </c>
      <c r="N151" s="185">
        <v>0.12000000000000011</v>
      </c>
      <c r="O151" s="201">
        <v>0.87999999999999989</v>
      </c>
    </row>
    <row r="152" spans="7:15">
      <c r="G152" s="212">
        <v>146</v>
      </c>
      <c r="H152" s="193">
        <v>180</v>
      </c>
      <c r="I152" s="201">
        <v>8.8424838385537954E-2</v>
      </c>
      <c r="J152" s="309">
        <v>18285.137428464241</v>
      </c>
      <c r="K152" s="310">
        <v>60.779304582899542</v>
      </c>
      <c r="L152" s="185">
        <v>2.9672622988674568E-3</v>
      </c>
      <c r="M152" s="201">
        <v>0.99703273770113254</v>
      </c>
      <c r="N152" s="185">
        <v>0.1100000000000001</v>
      </c>
      <c r="O152" s="201">
        <v>0.8899999999999999</v>
      </c>
    </row>
    <row r="153" spans="7:15">
      <c r="G153" s="212">
        <v>147</v>
      </c>
      <c r="H153" s="193">
        <v>180</v>
      </c>
      <c r="I153" s="201">
        <v>8.7436430706206034E-2</v>
      </c>
      <c r="J153" s="309">
        <v>18284.103402134122</v>
      </c>
      <c r="K153" s="310">
        <v>60.099584131379245</v>
      </c>
      <c r="L153" s="185">
        <v>2.6673622163017052E-3</v>
      </c>
      <c r="M153" s="201">
        <v>0.99733263778369829</v>
      </c>
      <c r="N153" s="185">
        <v>0.10000000000000009</v>
      </c>
      <c r="O153" s="201">
        <v>0.89999999999999991</v>
      </c>
    </row>
    <row r="154" spans="7:15">
      <c r="G154" s="212">
        <v>148</v>
      </c>
      <c r="H154" s="193">
        <v>180</v>
      </c>
      <c r="I154" s="201">
        <v>8.6469702873988682E-2</v>
      </c>
      <c r="J154" s="309">
        <v>18283.09210218419</v>
      </c>
      <c r="K154" s="310">
        <v>59.434869907010025</v>
      </c>
      <c r="L154" s="185">
        <v>2.3740866487318435E-3</v>
      </c>
      <c r="M154" s="201">
        <v>0.99762591335126816</v>
      </c>
      <c r="N154" s="185">
        <v>9.000000000000008E-2</v>
      </c>
      <c r="O154" s="201">
        <v>0.90999999999999992</v>
      </c>
    </row>
    <row r="155" spans="7:15">
      <c r="G155" s="212">
        <v>149</v>
      </c>
      <c r="H155" s="193">
        <v>180</v>
      </c>
      <c r="I155" s="201">
        <v>8.5523952383403268E-2</v>
      </c>
      <c r="J155" s="309">
        <v>18282.102792544149</v>
      </c>
      <c r="K155" s="310">
        <v>58.784670116599621</v>
      </c>
      <c r="L155" s="185">
        <v>2.0872199297883309E-3</v>
      </c>
      <c r="M155" s="201">
        <v>0.99791278007021167</v>
      </c>
      <c r="N155" s="185">
        <v>8.0000000000000071E-2</v>
      </c>
      <c r="O155" s="201">
        <v>0.91999999999999993</v>
      </c>
    </row>
    <row r="156" spans="7:15">
      <c r="G156" s="212">
        <v>150</v>
      </c>
      <c r="H156" s="193">
        <v>180</v>
      </c>
      <c r="I156" s="201">
        <v>8.459850706428014E-2</v>
      </c>
      <c r="J156" s="309">
        <v>18281.134768992983</v>
      </c>
      <c r="K156" s="310">
        <v>58.148514364218514</v>
      </c>
      <c r="L156" s="185">
        <v>1.8065557733197846E-3</v>
      </c>
      <c r="M156" s="201">
        <v>0.99819344422668022</v>
      </c>
      <c r="N156" s="185">
        <v>7.0000000000000062E-2</v>
      </c>
      <c r="O156" s="201">
        <v>0.92999999999999994</v>
      </c>
    </row>
    <row r="157" spans="7:15">
      <c r="G157" s="212">
        <v>151</v>
      </c>
      <c r="H157" s="193">
        <v>180</v>
      </c>
      <c r="I157" s="201">
        <v>8.3692723462368113E-2</v>
      </c>
      <c r="J157" s="309">
        <v>18280.187357452203</v>
      </c>
      <c r="K157" s="310">
        <v>57.525952512885418</v>
      </c>
      <c r="L157" s="185">
        <v>1.5318967679942563E-3</v>
      </c>
      <c r="M157" s="201">
        <v>0.99846810323200574</v>
      </c>
      <c r="N157" s="185">
        <v>6.0000000000000053E-2</v>
      </c>
      <c r="O157" s="201">
        <v>0.94</v>
      </c>
    </row>
    <row r="158" spans="7:15">
      <c r="G158" s="212">
        <v>152</v>
      </c>
      <c r="H158" s="193">
        <v>180</v>
      </c>
      <c r="I158" s="201">
        <v>8.2805985320193454E-2</v>
      </c>
      <c r="J158" s="309">
        <v>18279.259912380938</v>
      </c>
      <c r="K158" s="310">
        <v>56.91655361954632</v>
      </c>
      <c r="L158" s="185">
        <v>1.2630539023220644E-3</v>
      </c>
      <c r="M158" s="201">
        <v>0.99873694609767794</v>
      </c>
      <c r="N158" s="185">
        <v>5.0000000000000044E-2</v>
      </c>
      <c r="O158" s="201">
        <v>0.95</v>
      </c>
    </row>
    <row r="159" spans="7:15">
      <c r="G159" s="212">
        <v>153</v>
      </c>
      <c r="H159" s="193">
        <v>180</v>
      </c>
      <c r="I159" s="201">
        <v>8.1937702139833479E-2</v>
      </c>
      <c r="J159" s="309">
        <v>18278.351815264763</v>
      </c>
      <c r="K159" s="310">
        <v>56.319904930430724</v>
      </c>
      <c r="L159" s="185">
        <v>9.9984611759329489E-4</v>
      </c>
      <c r="M159" s="201">
        <v>0.99900015388240671</v>
      </c>
      <c r="N159" s="185">
        <v>4.0000000000000036E-2</v>
      </c>
      <c r="O159" s="201">
        <v>0.96</v>
      </c>
    </row>
    <row r="160" spans="7:15">
      <c r="G160" s="212">
        <v>154</v>
      </c>
      <c r="H160" s="193">
        <v>180</v>
      </c>
      <c r="I160" s="201">
        <v>8.1087307831521307E-2</v>
      </c>
      <c r="J160" s="309">
        <v>18277.462473190215</v>
      </c>
      <c r="K160" s="310">
        <v>55.735610939653149</v>
      </c>
      <c r="L160" s="185">
        <v>7.420998864258177E-4</v>
      </c>
      <c r="M160" s="201">
        <v>0.99925790011357418</v>
      </c>
      <c r="N160" s="185">
        <v>3.0000000000000027E-2</v>
      </c>
      <c r="O160" s="201">
        <v>0.97</v>
      </c>
    </row>
    <row r="161" spans="7:15">
      <c r="G161" s="212">
        <v>155</v>
      </c>
      <c r="H161" s="193">
        <v>180</v>
      </c>
      <c r="I161" s="201">
        <v>8.0254259444672779E-2</v>
      </c>
      <c r="J161" s="309">
        <v>18276.591317498554</v>
      </c>
      <c r="K161" s="310">
        <v>55.163292508766503</v>
      </c>
      <c r="L161" s="185">
        <v>4.8964881475088706E-4</v>
      </c>
      <c r="M161" s="201">
        <v>0.99951035118524911</v>
      </c>
      <c r="N161" s="185">
        <v>2.0000000000000018E-2</v>
      </c>
      <c r="O161" s="201">
        <v>0.98</v>
      </c>
    </row>
    <row r="162" spans="7:15">
      <c r="G162" s="212">
        <v>156</v>
      </c>
      <c r="H162" s="193">
        <v>180</v>
      </c>
      <c r="I162" s="201">
        <v>7.943803595561677E-2</v>
      </c>
      <c r="J162" s="309">
        <v>18275.737802510659</v>
      </c>
      <c r="K162" s="310">
        <v>54.602586029205554</v>
      </c>
      <c r="L162" s="185">
        <v>2.4233326520128884E-4</v>
      </c>
      <c r="M162" s="201">
        <v>0.99975766673479871</v>
      </c>
      <c r="N162" s="185">
        <v>1.0000000000000009E-2</v>
      </c>
      <c r="O162" s="201">
        <v>0.99</v>
      </c>
    </row>
    <row r="163" spans="7:15">
      <c r="G163" s="212">
        <v>157</v>
      </c>
      <c r="H163" s="193">
        <v>180</v>
      </c>
      <c r="I163" s="201">
        <v>7.8639036976226553E-2</v>
      </c>
      <c r="J163" s="309">
        <v>18274.899512541608</v>
      </c>
      <c r="K163" s="310">
        <v>54.053776096542641</v>
      </c>
      <c r="L163" s="185">
        <v>0</v>
      </c>
      <c r="M163" s="201">
        <v>1</v>
      </c>
      <c r="N163" s="185">
        <v>0</v>
      </c>
      <c r="O163" s="201">
        <v>1</v>
      </c>
    </row>
    <row r="164" spans="7:15">
      <c r="G164" s="212" t="e">
        <v>#N/A</v>
      </c>
      <c r="H164" s="193" t="e">
        <v>#N/A</v>
      </c>
      <c r="I164" s="201" t="e">
        <v>#N/A</v>
      </c>
      <c r="J164" s="309" t="e">
        <v>#N/A</v>
      </c>
      <c r="K164" s="310" t="e">
        <v>#N/A</v>
      </c>
      <c r="L164" s="185" t="e">
        <v>#N/A</v>
      </c>
      <c r="M164" s="201" t="e">
        <v>#N/A</v>
      </c>
      <c r="N164" s="185" t="e">
        <v>#N/A</v>
      </c>
      <c r="O164" s="201" t="e">
        <v>#N/A</v>
      </c>
    </row>
    <row r="165" spans="7:15">
      <c r="G165" s="212" t="e">
        <v>#N/A</v>
      </c>
      <c r="H165" s="193" t="e">
        <v>#N/A</v>
      </c>
      <c r="I165" s="201" t="e">
        <v>#N/A</v>
      </c>
      <c r="J165" s="309" t="e">
        <v>#N/A</v>
      </c>
      <c r="K165" s="310" t="e">
        <v>#N/A</v>
      </c>
      <c r="L165" s="185" t="e">
        <v>#N/A</v>
      </c>
      <c r="M165" s="201" t="e">
        <v>#N/A</v>
      </c>
      <c r="N165" s="185" t="e">
        <v>#N/A</v>
      </c>
      <c r="O165" s="201" t="e">
        <v>#N/A</v>
      </c>
    </row>
    <row r="166" spans="7:15">
      <c r="G166" s="212" t="e">
        <v>#N/A</v>
      </c>
      <c r="H166" s="193" t="e">
        <v>#N/A</v>
      </c>
      <c r="I166" s="201" t="e">
        <v>#N/A</v>
      </c>
      <c r="J166" s="309" t="e">
        <v>#N/A</v>
      </c>
      <c r="K166" s="310" t="e">
        <v>#N/A</v>
      </c>
      <c r="L166" s="185" t="e">
        <v>#N/A</v>
      </c>
      <c r="M166" s="201" t="e">
        <v>#N/A</v>
      </c>
      <c r="N166" s="185" t="e">
        <v>#N/A</v>
      </c>
      <c r="O166" s="201" t="e">
        <v>#N/A</v>
      </c>
    </row>
    <row r="167" spans="7:15">
      <c r="G167" s="212" t="e">
        <v>#N/A</v>
      </c>
      <c r="H167" s="193" t="e">
        <v>#N/A</v>
      </c>
      <c r="I167" s="201" t="e">
        <v>#N/A</v>
      </c>
      <c r="J167" s="309" t="e">
        <v>#N/A</v>
      </c>
      <c r="K167" s="310" t="e">
        <v>#N/A</v>
      </c>
      <c r="L167" s="185" t="e">
        <v>#N/A</v>
      </c>
      <c r="M167" s="201" t="e">
        <v>#N/A</v>
      </c>
      <c r="N167" s="185" t="e">
        <v>#N/A</v>
      </c>
      <c r="O167" s="201" t="e">
        <v>#N/A</v>
      </c>
    </row>
    <row r="168" spans="7:15">
      <c r="G168" s="212" t="e">
        <v>#N/A</v>
      </c>
      <c r="H168" s="193" t="e">
        <v>#N/A</v>
      </c>
      <c r="I168" s="201" t="e">
        <v>#N/A</v>
      </c>
      <c r="J168" s="309" t="e">
        <v>#N/A</v>
      </c>
      <c r="K168" s="310" t="e">
        <v>#N/A</v>
      </c>
      <c r="L168" s="185" t="e">
        <v>#N/A</v>
      </c>
      <c r="M168" s="201" t="e">
        <v>#N/A</v>
      </c>
      <c r="N168" s="185" t="e">
        <v>#N/A</v>
      </c>
      <c r="O168" s="201" t="e">
        <v>#N/A</v>
      </c>
    </row>
    <row r="169" spans="7:15">
      <c r="G169" s="212" t="e">
        <v>#N/A</v>
      </c>
      <c r="H169" s="193" t="e">
        <v>#N/A</v>
      </c>
      <c r="I169" s="201" t="e">
        <v>#N/A</v>
      </c>
      <c r="J169" s="309" t="e">
        <v>#N/A</v>
      </c>
      <c r="K169" s="310" t="e">
        <v>#N/A</v>
      </c>
      <c r="L169" s="185" t="e">
        <v>#N/A</v>
      </c>
      <c r="M169" s="201" t="e">
        <v>#N/A</v>
      </c>
      <c r="N169" s="185" t="e">
        <v>#N/A</v>
      </c>
      <c r="O169" s="201" t="e">
        <v>#N/A</v>
      </c>
    </row>
    <row r="170" spans="7:15">
      <c r="G170" s="212" t="e">
        <v>#N/A</v>
      </c>
      <c r="H170" s="193" t="e">
        <v>#N/A</v>
      </c>
      <c r="I170" s="201" t="e">
        <v>#N/A</v>
      </c>
      <c r="J170" s="309" t="e">
        <v>#N/A</v>
      </c>
      <c r="K170" s="310" t="e">
        <v>#N/A</v>
      </c>
      <c r="L170" s="185" t="e">
        <v>#N/A</v>
      </c>
      <c r="M170" s="201" t="e">
        <v>#N/A</v>
      </c>
      <c r="N170" s="185" t="e">
        <v>#N/A</v>
      </c>
      <c r="O170" s="201" t="e">
        <v>#N/A</v>
      </c>
    </row>
    <row r="171" spans="7:15">
      <c r="G171" s="212" t="e">
        <v>#N/A</v>
      </c>
      <c r="H171" s="193" t="e">
        <v>#N/A</v>
      </c>
      <c r="I171" s="201" t="e">
        <v>#N/A</v>
      </c>
      <c r="J171" s="309" t="e">
        <v>#N/A</v>
      </c>
      <c r="K171" s="310" t="e">
        <v>#N/A</v>
      </c>
      <c r="L171" s="185" t="e">
        <v>#N/A</v>
      </c>
      <c r="M171" s="201" t="e">
        <v>#N/A</v>
      </c>
      <c r="N171" s="185" t="e">
        <v>#N/A</v>
      </c>
      <c r="O171" s="201" t="e">
        <v>#N/A</v>
      </c>
    </row>
    <row r="172" spans="7:15">
      <c r="G172" s="212" t="e">
        <v>#N/A</v>
      </c>
      <c r="H172" s="193" t="e">
        <v>#N/A</v>
      </c>
      <c r="I172" s="201" t="e">
        <v>#N/A</v>
      </c>
      <c r="J172" s="309" t="e">
        <v>#N/A</v>
      </c>
      <c r="K172" s="310" t="e">
        <v>#N/A</v>
      </c>
      <c r="L172" s="185" t="e">
        <v>#N/A</v>
      </c>
      <c r="M172" s="201" t="e">
        <v>#N/A</v>
      </c>
      <c r="N172" s="185" t="e">
        <v>#N/A</v>
      </c>
      <c r="O172" s="201" t="e">
        <v>#N/A</v>
      </c>
    </row>
    <row r="173" spans="7:15">
      <c r="G173" s="212" t="e">
        <v>#N/A</v>
      </c>
      <c r="H173" s="193" t="e">
        <v>#N/A</v>
      </c>
      <c r="I173" s="201" t="e">
        <v>#N/A</v>
      </c>
      <c r="J173" s="309" t="e">
        <v>#N/A</v>
      </c>
      <c r="K173" s="310" t="e">
        <v>#N/A</v>
      </c>
      <c r="L173" s="185" t="e">
        <v>#N/A</v>
      </c>
      <c r="M173" s="201" t="e">
        <v>#N/A</v>
      </c>
      <c r="N173" s="185" t="e">
        <v>#N/A</v>
      </c>
      <c r="O173" s="201" t="e">
        <v>#N/A</v>
      </c>
    </row>
    <row r="174" spans="7:15">
      <c r="G174" s="212" t="e">
        <v>#N/A</v>
      </c>
      <c r="H174" s="193" t="e">
        <v>#N/A</v>
      </c>
      <c r="I174" s="201" t="e">
        <v>#N/A</v>
      </c>
      <c r="J174" s="309" t="e">
        <v>#N/A</v>
      </c>
      <c r="K174" s="310" t="e">
        <v>#N/A</v>
      </c>
      <c r="L174" s="185" t="e">
        <v>#N/A</v>
      </c>
      <c r="M174" s="201" t="e">
        <v>#N/A</v>
      </c>
      <c r="N174" s="185" t="e">
        <v>#N/A</v>
      </c>
      <c r="O174" s="201" t="e">
        <v>#N/A</v>
      </c>
    </row>
    <row r="175" spans="7:15">
      <c r="G175" s="212" t="e">
        <v>#N/A</v>
      </c>
      <c r="H175" s="193" t="e">
        <v>#N/A</v>
      </c>
      <c r="I175" s="201" t="e">
        <v>#N/A</v>
      </c>
      <c r="J175" s="309" t="e">
        <v>#N/A</v>
      </c>
      <c r="K175" s="310" t="e">
        <v>#N/A</v>
      </c>
      <c r="L175" s="185" t="e">
        <v>#N/A</v>
      </c>
      <c r="M175" s="201" t="e">
        <v>#N/A</v>
      </c>
      <c r="N175" s="185" t="e">
        <v>#N/A</v>
      </c>
      <c r="O175" s="201" t="e">
        <v>#N/A</v>
      </c>
    </row>
    <row r="176" spans="7:15">
      <c r="G176" s="212" t="e">
        <v>#N/A</v>
      </c>
      <c r="H176" s="193" t="e">
        <v>#N/A</v>
      </c>
      <c r="I176" s="201" t="e">
        <v>#N/A</v>
      </c>
      <c r="J176" s="309" t="e">
        <v>#N/A</v>
      </c>
      <c r="K176" s="310" t="e">
        <v>#N/A</v>
      </c>
      <c r="L176" s="185" t="e">
        <v>#N/A</v>
      </c>
      <c r="M176" s="201" t="e">
        <v>#N/A</v>
      </c>
      <c r="N176" s="185" t="e">
        <v>#N/A</v>
      </c>
      <c r="O176" s="201" t="e">
        <v>#N/A</v>
      </c>
    </row>
    <row r="177" spans="7:15">
      <c r="G177" s="212" t="e">
        <v>#N/A</v>
      </c>
      <c r="H177" s="193" t="e">
        <v>#N/A</v>
      </c>
      <c r="I177" s="201" t="e">
        <v>#N/A</v>
      </c>
      <c r="J177" s="309" t="e">
        <v>#N/A</v>
      </c>
      <c r="K177" s="310" t="e">
        <v>#N/A</v>
      </c>
      <c r="L177" s="185" t="e">
        <v>#N/A</v>
      </c>
      <c r="M177" s="201" t="e">
        <v>#N/A</v>
      </c>
      <c r="N177" s="185" t="e">
        <v>#N/A</v>
      </c>
      <c r="O177" s="201" t="e">
        <v>#N/A</v>
      </c>
    </row>
    <row r="178" spans="7:15">
      <c r="G178" s="212" t="e">
        <v>#N/A</v>
      </c>
      <c r="H178" s="193" t="e">
        <v>#N/A</v>
      </c>
      <c r="I178" s="201" t="e">
        <v>#N/A</v>
      </c>
      <c r="J178" s="309" t="e">
        <v>#N/A</v>
      </c>
      <c r="K178" s="310" t="e">
        <v>#N/A</v>
      </c>
      <c r="L178" s="185" t="e">
        <v>#N/A</v>
      </c>
      <c r="M178" s="201" t="e">
        <v>#N/A</v>
      </c>
      <c r="N178" s="185" t="e">
        <v>#N/A</v>
      </c>
      <c r="O178" s="201" t="e">
        <v>#N/A</v>
      </c>
    </row>
    <row r="179" spans="7:15">
      <c r="G179" s="212" t="e">
        <v>#N/A</v>
      </c>
      <c r="H179" s="193" t="e">
        <v>#N/A</v>
      </c>
      <c r="I179" s="201" t="e">
        <v>#N/A</v>
      </c>
      <c r="J179" s="309" t="e">
        <v>#N/A</v>
      </c>
      <c r="K179" s="310" t="e">
        <v>#N/A</v>
      </c>
      <c r="L179" s="185" t="e">
        <v>#N/A</v>
      </c>
      <c r="M179" s="201" t="e">
        <v>#N/A</v>
      </c>
      <c r="N179" s="185" t="e">
        <v>#N/A</v>
      </c>
      <c r="O179" s="201" t="e">
        <v>#N/A</v>
      </c>
    </row>
    <row r="180" spans="7:15">
      <c r="G180" s="212" t="e">
        <v>#N/A</v>
      </c>
      <c r="H180" s="193" t="e">
        <v>#N/A</v>
      </c>
      <c r="I180" s="201" t="e">
        <v>#N/A</v>
      </c>
      <c r="J180" s="309" t="e">
        <v>#N/A</v>
      </c>
      <c r="K180" s="310" t="e">
        <v>#N/A</v>
      </c>
      <c r="L180" s="185" t="e">
        <v>#N/A</v>
      </c>
      <c r="M180" s="201" t="e">
        <v>#N/A</v>
      </c>
      <c r="N180" s="185" t="e">
        <v>#N/A</v>
      </c>
      <c r="O180" s="201" t="e">
        <v>#N/A</v>
      </c>
    </row>
    <row r="181" spans="7:15">
      <c r="G181" s="212" t="e">
        <v>#N/A</v>
      </c>
      <c r="H181" s="193" t="e">
        <v>#N/A</v>
      </c>
      <c r="I181" s="201" t="e">
        <v>#N/A</v>
      </c>
      <c r="J181" s="309" t="e">
        <v>#N/A</v>
      </c>
      <c r="K181" s="310" t="e">
        <v>#N/A</v>
      </c>
      <c r="L181" s="185" t="e">
        <v>#N/A</v>
      </c>
      <c r="M181" s="201" t="e">
        <v>#N/A</v>
      </c>
      <c r="N181" s="185" t="e">
        <v>#N/A</v>
      </c>
      <c r="O181" s="201" t="e">
        <v>#N/A</v>
      </c>
    </row>
    <row r="182" spans="7:15">
      <c r="G182" s="212" t="e">
        <v>#N/A</v>
      </c>
      <c r="H182" s="193" t="e">
        <v>#N/A</v>
      </c>
      <c r="I182" s="201" t="e">
        <v>#N/A</v>
      </c>
      <c r="J182" s="309" t="e">
        <v>#N/A</v>
      </c>
      <c r="K182" s="310" t="e">
        <v>#N/A</v>
      </c>
      <c r="L182" s="185" t="e">
        <v>#N/A</v>
      </c>
      <c r="M182" s="201" t="e">
        <v>#N/A</v>
      </c>
      <c r="N182" s="185" t="e">
        <v>#N/A</v>
      </c>
      <c r="O182" s="201" t="e">
        <v>#N/A</v>
      </c>
    </row>
    <row r="183" spans="7:15">
      <c r="G183" s="212" t="e">
        <v>#N/A</v>
      </c>
      <c r="H183" s="193" t="e">
        <v>#N/A</v>
      </c>
      <c r="I183" s="201" t="e">
        <v>#N/A</v>
      </c>
      <c r="J183" s="309" t="e">
        <v>#N/A</v>
      </c>
      <c r="K183" s="310" t="e">
        <v>#N/A</v>
      </c>
      <c r="L183" s="185" t="e">
        <v>#N/A</v>
      </c>
      <c r="M183" s="201" t="e">
        <v>#N/A</v>
      </c>
      <c r="N183" s="185" t="e">
        <v>#N/A</v>
      </c>
      <c r="O183" s="201" t="e">
        <v>#N/A</v>
      </c>
    </row>
    <row r="184" spans="7:15">
      <c r="G184" s="212" t="e">
        <v>#N/A</v>
      </c>
      <c r="H184" s="193" t="e">
        <v>#N/A</v>
      </c>
      <c r="I184" s="201" t="e">
        <v>#N/A</v>
      </c>
      <c r="J184" s="309" t="e">
        <v>#N/A</v>
      </c>
      <c r="K184" s="310" t="e">
        <v>#N/A</v>
      </c>
      <c r="L184" s="185" t="e">
        <v>#N/A</v>
      </c>
      <c r="M184" s="201" t="e">
        <v>#N/A</v>
      </c>
      <c r="N184" s="185" t="e">
        <v>#N/A</v>
      </c>
      <c r="O184" s="201" t="e">
        <v>#N/A</v>
      </c>
    </row>
    <row r="185" spans="7:15">
      <c r="G185" s="212" t="e">
        <v>#N/A</v>
      </c>
      <c r="H185" s="193" t="e">
        <v>#N/A</v>
      </c>
      <c r="I185" s="201" t="e">
        <v>#N/A</v>
      </c>
      <c r="J185" s="309" t="e">
        <v>#N/A</v>
      </c>
      <c r="K185" s="310" t="e">
        <v>#N/A</v>
      </c>
      <c r="L185" s="185" t="e">
        <v>#N/A</v>
      </c>
      <c r="M185" s="201" t="e">
        <v>#N/A</v>
      </c>
      <c r="N185" s="185" t="e">
        <v>#N/A</v>
      </c>
      <c r="O185" s="201" t="e">
        <v>#N/A</v>
      </c>
    </row>
    <row r="186" spans="7:15">
      <c r="G186" s="212" t="e">
        <v>#N/A</v>
      </c>
      <c r="H186" s="193" t="e">
        <v>#N/A</v>
      </c>
      <c r="I186" s="201" t="e">
        <v>#N/A</v>
      </c>
      <c r="J186" s="309" t="e">
        <v>#N/A</v>
      </c>
      <c r="K186" s="310" t="e">
        <v>#N/A</v>
      </c>
      <c r="L186" s="185" t="e">
        <v>#N/A</v>
      </c>
      <c r="M186" s="201" t="e">
        <v>#N/A</v>
      </c>
      <c r="N186" s="185" t="e">
        <v>#N/A</v>
      </c>
      <c r="O186" s="201" t="e">
        <v>#N/A</v>
      </c>
    </row>
    <row r="187" spans="7:15">
      <c r="G187" s="212" t="e">
        <v>#N/A</v>
      </c>
      <c r="H187" s="193" t="e">
        <v>#N/A</v>
      </c>
      <c r="I187" s="201" t="e">
        <v>#N/A</v>
      </c>
      <c r="J187" s="309" t="e">
        <v>#N/A</v>
      </c>
      <c r="K187" s="310" t="e">
        <v>#N/A</v>
      </c>
      <c r="L187" s="185" t="e">
        <v>#N/A</v>
      </c>
      <c r="M187" s="201" t="e">
        <v>#N/A</v>
      </c>
      <c r="N187" s="185" t="e">
        <v>#N/A</v>
      </c>
      <c r="O187" s="201" t="e">
        <v>#N/A</v>
      </c>
    </row>
    <row r="188" spans="7:15">
      <c r="G188" s="212" t="e">
        <v>#N/A</v>
      </c>
      <c r="H188" s="193" t="e">
        <v>#N/A</v>
      </c>
      <c r="I188" s="201" t="e">
        <v>#N/A</v>
      </c>
      <c r="J188" s="309" t="e">
        <v>#N/A</v>
      </c>
      <c r="K188" s="310" t="e">
        <v>#N/A</v>
      </c>
      <c r="L188" s="185" t="e">
        <v>#N/A</v>
      </c>
      <c r="M188" s="201" t="e">
        <v>#N/A</v>
      </c>
      <c r="N188" s="185" t="e">
        <v>#N/A</v>
      </c>
      <c r="O188" s="201" t="e">
        <v>#N/A</v>
      </c>
    </row>
    <row r="189" spans="7:15">
      <c r="G189" s="212" t="e">
        <v>#N/A</v>
      </c>
      <c r="H189" s="193" t="e">
        <v>#N/A</v>
      </c>
      <c r="I189" s="201" t="e">
        <v>#N/A</v>
      </c>
      <c r="J189" s="309" t="e">
        <v>#N/A</v>
      </c>
      <c r="K189" s="310" t="e">
        <v>#N/A</v>
      </c>
      <c r="L189" s="185" t="e">
        <v>#N/A</v>
      </c>
      <c r="M189" s="201" t="e">
        <v>#N/A</v>
      </c>
      <c r="N189" s="185" t="e">
        <v>#N/A</v>
      </c>
      <c r="O189" s="201" t="e">
        <v>#N/A</v>
      </c>
    </row>
    <row r="190" spans="7:15">
      <c r="G190" s="212" t="e">
        <v>#N/A</v>
      </c>
      <c r="H190" s="193" t="e">
        <v>#N/A</v>
      </c>
      <c r="I190" s="201" t="e">
        <v>#N/A</v>
      </c>
      <c r="J190" s="309" t="e">
        <v>#N/A</v>
      </c>
      <c r="K190" s="310" t="e">
        <v>#N/A</v>
      </c>
      <c r="L190" s="185" t="e">
        <v>#N/A</v>
      </c>
      <c r="M190" s="201" t="e">
        <v>#N/A</v>
      </c>
      <c r="N190" s="185" t="e">
        <v>#N/A</v>
      </c>
      <c r="O190" s="201" t="e">
        <v>#N/A</v>
      </c>
    </row>
    <row r="191" spans="7:15">
      <c r="G191" s="212" t="e">
        <v>#N/A</v>
      </c>
      <c r="H191" s="193" t="e">
        <v>#N/A</v>
      </c>
      <c r="I191" s="201" t="e">
        <v>#N/A</v>
      </c>
      <c r="J191" s="309" t="e">
        <v>#N/A</v>
      </c>
      <c r="K191" s="310" t="e">
        <v>#N/A</v>
      </c>
      <c r="L191" s="185" t="e">
        <v>#N/A</v>
      </c>
      <c r="M191" s="201" t="e">
        <v>#N/A</v>
      </c>
      <c r="N191" s="185" t="e">
        <v>#N/A</v>
      </c>
      <c r="O191" s="201" t="e">
        <v>#N/A</v>
      </c>
    </row>
    <row r="192" spans="7:15">
      <c r="G192" s="212" t="e">
        <v>#N/A</v>
      </c>
      <c r="H192" s="193" t="e">
        <v>#N/A</v>
      </c>
      <c r="I192" s="201" t="e">
        <v>#N/A</v>
      </c>
      <c r="J192" s="309" t="e">
        <v>#N/A</v>
      </c>
      <c r="K192" s="310" t="e">
        <v>#N/A</v>
      </c>
      <c r="L192" s="185" t="e">
        <v>#N/A</v>
      </c>
      <c r="M192" s="201" t="e">
        <v>#N/A</v>
      </c>
      <c r="N192" s="185" t="e">
        <v>#N/A</v>
      </c>
      <c r="O192" s="201" t="e">
        <v>#N/A</v>
      </c>
    </row>
    <row r="193" spans="7:15">
      <c r="G193" s="212" t="e">
        <v>#N/A</v>
      </c>
      <c r="H193" s="193" t="e">
        <v>#N/A</v>
      </c>
      <c r="I193" s="201" t="e">
        <v>#N/A</v>
      </c>
      <c r="J193" s="309" t="e">
        <v>#N/A</v>
      </c>
      <c r="K193" s="310" t="e">
        <v>#N/A</v>
      </c>
      <c r="L193" s="185" t="e">
        <v>#N/A</v>
      </c>
      <c r="M193" s="201" t="e">
        <v>#N/A</v>
      </c>
      <c r="N193" s="185" t="e">
        <v>#N/A</v>
      </c>
      <c r="O193" s="201" t="e">
        <v>#N/A</v>
      </c>
    </row>
    <row r="194" spans="7:15">
      <c r="G194" s="212" t="e">
        <v>#N/A</v>
      </c>
      <c r="H194" s="193" t="e">
        <v>#N/A</v>
      </c>
      <c r="I194" s="201" t="e">
        <v>#N/A</v>
      </c>
      <c r="J194" s="309" t="e">
        <v>#N/A</v>
      </c>
      <c r="K194" s="310" t="e">
        <v>#N/A</v>
      </c>
      <c r="L194" s="185" t="e">
        <v>#N/A</v>
      </c>
      <c r="M194" s="201" t="e">
        <v>#N/A</v>
      </c>
      <c r="N194" s="185" t="e">
        <v>#N/A</v>
      </c>
      <c r="O194" s="201" t="e">
        <v>#N/A</v>
      </c>
    </row>
    <row r="195" spans="7:15">
      <c r="G195" s="212" t="e">
        <v>#N/A</v>
      </c>
      <c r="H195" s="193" t="e">
        <v>#N/A</v>
      </c>
      <c r="I195" s="201" t="e">
        <v>#N/A</v>
      </c>
      <c r="J195" s="309" t="e">
        <v>#N/A</v>
      </c>
      <c r="K195" s="310" t="e">
        <v>#N/A</v>
      </c>
      <c r="L195" s="185" t="e">
        <v>#N/A</v>
      </c>
      <c r="M195" s="201" t="e">
        <v>#N/A</v>
      </c>
      <c r="N195" s="185" t="e">
        <v>#N/A</v>
      </c>
      <c r="O195" s="201" t="e">
        <v>#N/A</v>
      </c>
    </row>
    <row r="196" spans="7:15">
      <c r="G196" s="212" t="e">
        <v>#N/A</v>
      </c>
      <c r="H196" s="193" t="e">
        <v>#N/A</v>
      </c>
      <c r="I196" s="201" t="e">
        <v>#N/A</v>
      </c>
      <c r="J196" s="309" t="e">
        <v>#N/A</v>
      </c>
      <c r="K196" s="310" t="e">
        <v>#N/A</v>
      </c>
      <c r="L196" s="185" t="e">
        <v>#N/A</v>
      </c>
      <c r="M196" s="201" t="e">
        <v>#N/A</v>
      </c>
      <c r="N196" s="185" t="e">
        <v>#N/A</v>
      </c>
      <c r="O196" s="201" t="e">
        <v>#N/A</v>
      </c>
    </row>
    <row r="197" spans="7:15">
      <c r="G197" s="212" t="e">
        <v>#N/A</v>
      </c>
      <c r="H197" s="193" t="e">
        <v>#N/A</v>
      </c>
      <c r="I197" s="201" t="e">
        <v>#N/A</v>
      </c>
      <c r="J197" s="309" t="e">
        <v>#N/A</v>
      </c>
      <c r="K197" s="310" t="e">
        <v>#N/A</v>
      </c>
      <c r="L197" s="185" t="e">
        <v>#N/A</v>
      </c>
      <c r="M197" s="201" t="e">
        <v>#N/A</v>
      </c>
      <c r="N197" s="185" t="e">
        <v>#N/A</v>
      </c>
      <c r="O197" s="201" t="e">
        <v>#N/A</v>
      </c>
    </row>
    <row r="198" spans="7:15">
      <c r="G198" s="212" t="e">
        <v>#N/A</v>
      </c>
      <c r="H198" s="193" t="e">
        <v>#N/A</v>
      </c>
      <c r="I198" s="201" t="e">
        <v>#N/A</v>
      </c>
      <c r="J198" s="309" t="e">
        <v>#N/A</v>
      </c>
      <c r="K198" s="310" t="e">
        <v>#N/A</v>
      </c>
      <c r="L198" s="185" t="e">
        <v>#N/A</v>
      </c>
      <c r="M198" s="201" t="e">
        <v>#N/A</v>
      </c>
      <c r="N198" s="185" t="e">
        <v>#N/A</v>
      </c>
      <c r="O198" s="201" t="e">
        <v>#N/A</v>
      </c>
    </row>
    <row r="199" spans="7:15">
      <c r="G199" s="212" t="e">
        <v>#N/A</v>
      </c>
      <c r="H199" s="193" t="e">
        <v>#N/A</v>
      </c>
      <c r="I199" s="201" t="e">
        <v>#N/A</v>
      </c>
      <c r="J199" s="309" t="e">
        <v>#N/A</v>
      </c>
      <c r="K199" s="310" t="e">
        <v>#N/A</v>
      </c>
      <c r="L199" s="185" t="e">
        <v>#N/A</v>
      </c>
      <c r="M199" s="201" t="e">
        <v>#N/A</v>
      </c>
      <c r="N199" s="185" t="e">
        <v>#N/A</v>
      </c>
      <c r="O199" s="201" t="e">
        <v>#N/A</v>
      </c>
    </row>
    <row r="200" spans="7:15">
      <c r="G200" s="212" t="e">
        <v>#N/A</v>
      </c>
      <c r="H200" s="193" t="e">
        <v>#N/A</v>
      </c>
      <c r="I200" s="201" t="e">
        <v>#N/A</v>
      </c>
      <c r="J200" s="309" t="e">
        <v>#N/A</v>
      </c>
      <c r="K200" s="310" t="e">
        <v>#N/A</v>
      </c>
      <c r="L200" s="185" t="e">
        <v>#N/A</v>
      </c>
      <c r="M200" s="201" t="e">
        <v>#N/A</v>
      </c>
      <c r="N200" s="185" t="e">
        <v>#N/A</v>
      </c>
      <c r="O200" s="201" t="e">
        <v>#N/A</v>
      </c>
    </row>
    <row r="201" spans="7:15">
      <c r="G201" s="212" t="e">
        <v>#N/A</v>
      </c>
      <c r="H201" s="193" t="e">
        <v>#N/A</v>
      </c>
      <c r="I201" s="201" t="e">
        <v>#N/A</v>
      </c>
      <c r="J201" s="309" t="e">
        <v>#N/A</v>
      </c>
      <c r="K201" s="310" t="e">
        <v>#N/A</v>
      </c>
      <c r="L201" s="185" t="e">
        <v>#N/A</v>
      </c>
      <c r="M201" s="201" t="e">
        <v>#N/A</v>
      </c>
      <c r="N201" s="185" t="e">
        <v>#N/A</v>
      </c>
      <c r="O201" s="201" t="e">
        <v>#N/A</v>
      </c>
    </row>
    <row r="202" spans="7:15">
      <c r="G202" s="212" t="e">
        <v>#N/A</v>
      </c>
      <c r="H202" s="193" t="e">
        <v>#N/A</v>
      </c>
      <c r="I202" s="201" t="e">
        <v>#N/A</v>
      </c>
      <c r="J202" s="309" t="e">
        <v>#N/A</v>
      </c>
      <c r="K202" s="310" t="e">
        <v>#N/A</v>
      </c>
      <c r="L202" s="185" t="e">
        <v>#N/A</v>
      </c>
      <c r="M202" s="201" t="e">
        <v>#N/A</v>
      </c>
      <c r="N202" s="185" t="e">
        <v>#N/A</v>
      </c>
      <c r="O202" s="201" t="e">
        <v>#N/A</v>
      </c>
    </row>
    <row r="203" spans="7:15">
      <c r="G203" s="212" t="e">
        <v>#N/A</v>
      </c>
      <c r="H203" s="193" t="e">
        <v>#N/A</v>
      </c>
      <c r="I203" s="201" t="e">
        <v>#N/A</v>
      </c>
      <c r="J203" s="309" t="e">
        <v>#N/A</v>
      </c>
      <c r="K203" s="310" t="e">
        <v>#N/A</v>
      </c>
      <c r="L203" s="185" t="e">
        <v>#N/A</v>
      </c>
      <c r="M203" s="201" t="e">
        <v>#N/A</v>
      </c>
      <c r="N203" s="185" t="e">
        <v>#N/A</v>
      </c>
      <c r="O203" s="201" t="e">
        <v>#N/A</v>
      </c>
    </row>
    <row r="204" spans="7:15">
      <c r="G204" s="212" t="e">
        <v>#N/A</v>
      </c>
      <c r="H204" s="193" t="e">
        <v>#N/A</v>
      </c>
      <c r="I204" s="201" t="e">
        <v>#N/A</v>
      </c>
      <c r="J204" s="309" t="e">
        <v>#N/A</v>
      </c>
      <c r="K204" s="310" t="e">
        <v>#N/A</v>
      </c>
      <c r="L204" s="185" t="e">
        <v>#N/A</v>
      </c>
      <c r="M204" s="201" t="e">
        <v>#N/A</v>
      </c>
      <c r="N204" s="185" t="e">
        <v>#N/A</v>
      </c>
      <c r="O204" s="201" t="e">
        <v>#N/A</v>
      </c>
    </row>
    <row r="205" spans="7:15">
      <c r="G205" s="212" t="e">
        <v>#N/A</v>
      </c>
      <c r="H205" s="193" t="e">
        <v>#N/A</v>
      </c>
      <c r="I205" s="201" t="e">
        <v>#N/A</v>
      </c>
      <c r="J205" s="309" t="e">
        <v>#N/A</v>
      </c>
      <c r="K205" s="310" t="e">
        <v>#N/A</v>
      </c>
      <c r="L205" s="185" t="e">
        <v>#N/A</v>
      </c>
      <c r="M205" s="201" t="e">
        <v>#N/A</v>
      </c>
      <c r="N205" s="185" t="e">
        <v>#N/A</v>
      </c>
      <c r="O205" s="201" t="e">
        <v>#N/A</v>
      </c>
    </row>
    <row r="206" spans="7:15">
      <c r="G206" s="212" t="e">
        <v>#N/A</v>
      </c>
      <c r="H206" s="193" t="e">
        <v>#N/A</v>
      </c>
      <c r="I206" s="201" t="e">
        <v>#N/A</v>
      </c>
      <c r="J206" s="309" t="e">
        <v>#N/A</v>
      </c>
      <c r="K206" s="310" t="e">
        <v>#N/A</v>
      </c>
      <c r="L206" s="185" t="e">
        <v>#N/A</v>
      </c>
      <c r="M206" s="201" t="e">
        <v>#N/A</v>
      </c>
      <c r="N206" s="185" t="e">
        <v>#N/A</v>
      </c>
      <c r="O206" s="201" t="e">
        <v>#N/A</v>
      </c>
    </row>
    <row r="207" spans="7:15">
      <c r="G207" s="212" t="e">
        <v>#N/A</v>
      </c>
      <c r="H207" s="193" t="e">
        <v>#N/A</v>
      </c>
      <c r="I207" s="201" t="e">
        <v>#N/A</v>
      </c>
      <c r="J207" s="309" t="e">
        <v>#N/A</v>
      </c>
      <c r="K207" s="310" t="e">
        <v>#N/A</v>
      </c>
      <c r="L207" s="185" t="e">
        <v>#N/A</v>
      </c>
      <c r="M207" s="201" t="e">
        <v>#N/A</v>
      </c>
      <c r="N207" s="185" t="e">
        <v>#N/A</v>
      </c>
      <c r="O207" s="201" t="e">
        <v>#N/A</v>
      </c>
    </row>
    <row r="208" spans="7:15">
      <c r="G208" s="212" t="e">
        <v>#N/A</v>
      </c>
      <c r="H208" s="193" t="e">
        <v>#N/A</v>
      </c>
      <c r="I208" s="201" t="e">
        <v>#N/A</v>
      </c>
      <c r="J208" s="309" t="e">
        <v>#N/A</v>
      </c>
      <c r="K208" s="310" t="e">
        <v>#N/A</v>
      </c>
      <c r="L208" s="185" t="e">
        <v>#N/A</v>
      </c>
      <c r="M208" s="201" t="e">
        <v>#N/A</v>
      </c>
      <c r="N208" s="185" t="e">
        <v>#N/A</v>
      </c>
      <c r="O208" s="201" t="e">
        <v>#N/A</v>
      </c>
    </row>
    <row r="209" spans="7:15">
      <c r="G209" s="212" t="e">
        <v>#N/A</v>
      </c>
      <c r="H209" s="193" t="e">
        <v>#N/A</v>
      </c>
      <c r="I209" s="201" t="e">
        <v>#N/A</v>
      </c>
      <c r="J209" s="309" t="e">
        <v>#N/A</v>
      </c>
      <c r="K209" s="310" t="e">
        <v>#N/A</v>
      </c>
      <c r="L209" s="185" t="e">
        <v>#N/A</v>
      </c>
      <c r="M209" s="201" t="e">
        <v>#N/A</v>
      </c>
      <c r="N209" s="185" t="e">
        <v>#N/A</v>
      </c>
      <c r="O209" s="201" t="e">
        <v>#N/A</v>
      </c>
    </row>
    <row r="210" spans="7:15">
      <c r="G210" s="212" t="e">
        <v>#N/A</v>
      </c>
      <c r="H210" s="193" t="e">
        <v>#N/A</v>
      </c>
      <c r="I210" s="201" t="e">
        <v>#N/A</v>
      </c>
      <c r="J210" s="309" t="e">
        <v>#N/A</v>
      </c>
      <c r="K210" s="310" t="e">
        <v>#N/A</v>
      </c>
      <c r="L210" s="185" t="e">
        <v>#N/A</v>
      </c>
      <c r="M210" s="201" t="e">
        <v>#N/A</v>
      </c>
      <c r="N210" s="185" t="e">
        <v>#N/A</v>
      </c>
      <c r="O210" s="201" t="e">
        <v>#N/A</v>
      </c>
    </row>
    <row r="211" spans="7:15">
      <c r="G211" s="212" t="e">
        <v>#N/A</v>
      </c>
      <c r="H211" s="193" t="e">
        <v>#N/A</v>
      </c>
      <c r="I211" s="201" t="e">
        <v>#N/A</v>
      </c>
      <c r="J211" s="309" t="e">
        <v>#N/A</v>
      </c>
      <c r="K211" s="310" t="e">
        <v>#N/A</v>
      </c>
      <c r="L211" s="185" t="e">
        <v>#N/A</v>
      </c>
      <c r="M211" s="201" t="e">
        <v>#N/A</v>
      </c>
      <c r="N211" s="185" t="e">
        <v>#N/A</v>
      </c>
      <c r="O211" s="201" t="e">
        <v>#N/A</v>
      </c>
    </row>
    <row r="212" spans="7:15">
      <c r="G212" s="212" t="e">
        <v>#N/A</v>
      </c>
      <c r="H212" s="193" t="e">
        <v>#N/A</v>
      </c>
      <c r="I212" s="201" t="e">
        <v>#N/A</v>
      </c>
      <c r="J212" s="309" t="e">
        <v>#N/A</v>
      </c>
      <c r="K212" s="310" t="e">
        <v>#N/A</v>
      </c>
      <c r="L212" s="185" t="e">
        <v>#N/A</v>
      </c>
      <c r="M212" s="201" t="e">
        <v>#N/A</v>
      </c>
      <c r="N212" s="185" t="e">
        <v>#N/A</v>
      </c>
      <c r="O212" s="201" t="e">
        <v>#N/A</v>
      </c>
    </row>
    <row r="213" spans="7:15">
      <c r="G213" s="212" t="e">
        <v>#N/A</v>
      </c>
      <c r="H213" s="193" t="e">
        <v>#N/A</v>
      </c>
      <c r="I213" s="201" t="e">
        <v>#N/A</v>
      </c>
      <c r="J213" s="309" t="e">
        <v>#N/A</v>
      </c>
      <c r="K213" s="310" t="e">
        <v>#N/A</v>
      </c>
      <c r="L213" s="185" t="e">
        <v>#N/A</v>
      </c>
      <c r="M213" s="201" t="e">
        <v>#N/A</v>
      </c>
      <c r="N213" s="185" t="e">
        <v>#N/A</v>
      </c>
      <c r="O213" s="201" t="e">
        <v>#N/A</v>
      </c>
    </row>
    <row r="214" spans="7:15">
      <c r="G214" s="212" t="e">
        <v>#N/A</v>
      </c>
      <c r="H214" s="193" t="e">
        <v>#N/A</v>
      </c>
      <c r="I214" s="201" t="e">
        <v>#N/A</v>
      </c>
      <c r="J214" s="309" t="e">
        <v>#N/A</v>
      </c>
      <c r="K214" s="310" t="e">
        <v>#N/A</v>
      </c>
      <c r="L214" s="185" t="e">
        <v>#N/A</v>
      </c>
      <c r="M214" s="201" t="e">
        <v>#N/A</v>
      </c>
      <c r="N214" s="185" t="e">
        <v>#N/A</v>
      </c>
      <c r="O214" s="201" t="e">
        <v>#N/A</v>
      </c>
    </row>
    <row r="215" spans="7:15">
      <c r="G215" s="212" t="e">
        <v>#N/A</v>
      </c>
      <c r="H215" s="193" t="e">
        <v>#N/A</v>
      </c>
      <c r="I215" s="201" t="e">
        <v>#N/A</v>
      </c>
      <c r="J215" s="309" t="e">
        <v>#N/A</v>
      </c>
      <c r="K215" s="310" t="e">
        <v>#N/A</v>
      </c>
      <c r="L215" s="185" t="e">
        <v>#N/A</v>
      </c>
      <c r="M215" s="201" t="e">
        <v>#N/A</v>
      </c>
      <c r="N215" s="185" t="e">
        <v>#N/A</v>
      </c>
      <c r="O215" s="201" t="e">
        <v>#N/A</v>
      </c>
    </row>
    <row r="216" spans="7:15">
      <c r="G216" s="212" t="e">
        <v>#N/A</v>
      </c>
      <c r="H216" s="193" t="e">
        <v>#N/A</v>
      </c>
      <c r="I216" s="201" t="e">
        <v>#N/A</v>
      </c>
      <c r="J216" s="309" t="e">
        <v>#N/A</v>
      </c>
      <c r="K216" s="310" t="e">
        <v>#N/A</v>
      </c>
      <c r="L216" s="185" t="e">
        <v>#N/A</v>
      </c>
      <c r="M216" s="201" t="e">
        <v>#N/A</v>
      </c>
      <c r="N216" s="185" t="e">
        <v>#N/A</v>
      </c>
      <c r="O216" s="201" t="e">
        <v>#N/A</v>
      </c>
    </row>
    <row r="217" spans="7:15">
      <c r="G217" s="212" t="e">
        <v>#N/A</v>
      </c>
      <c r="H217" s="193" t="e">
        <v>#N/A</v>
      </c>
      <c r="I217" s="201" t="e">
        <v>#N/A</v>
      </c>
      <c r="J217" s="309" t="e">
        <v>#N/A</v>
      </c>
      <c r="K217" s="310" t="e">
        <v>#N/A</v>
      </c>
      <c r="L217" s="185" t="e">
        <v>#N/A</v>
      </c>
      <c r="M217" s="201" t="e">
        <v>#N/A</v>
      </c>
      <c r="N217" s="185" t="e">
        <v>#N/A</v>
      </c>
      <c r="O217" s="201" t="e">
        <v>#N/A</v>
      </c>
    </row>
    <row r="218" spans="7:15">
      <c r="G218" s="212" t="e">
        <v>#N/A</v>
      </c>
      <c r="H218" s="193" t="e">
        <v>#N/A</v>
      </c>
      <c r="I218" s="201" t="e">
        <v>#N/A</v>
      </c>
      <c r="J218" s="309" t="e">
        <v>#N/A</v>
      </c>
      <c r="K218" s="310" t="e">
        <v>#N/A</v>
      </c>
      <c r="L218" s="185" t="e">
        <v>#N/A</v>
      </c>
      <c r="M218" s="201" t="e">
        <v>#N/A</v>
      </c>
      <c r="N218" s="185" t="e">
        <v>#N/A</v>
      </c>
      <c r="O218" s="201" t="e">
        <v>#N/A</v>
      </c>
    </row>
    <row r="219" spans="7:15">
      <c r="G219" s="212" t="e">
        <v>#N/A</v>
      </c>
      <c r="H219" s="193" t="e">
        <v>#N/A</v>
      </c>
      <c r="I219" s="201" t="e">
        <v>#N/A</v>
      </c>
      <c r="J219" s="309" t="e">
        <v>#N/A</v>
      </c>
      <c r="K219" s="310" t="e">
        <v>#N/A</v>
      </c>
      <c r="L219" s="185" t="e">
        <v>#N/A</v>
      </c>
      <c r="M219" s="201" t="e">
        <v>#N/A</v>
      </c>
      <c r="N219" s="185" t="e">
        <v>#N/A</v>
      </c>
      <c r="O219" s="201" t="e">
        <v>#N/A</v>
      </c>
    </row>
    <row r="220" spans="7:15">
      <c r="G220" s="212" t="e">
        <v>#N/A</v>
      </c>
      <c r="H220" s="193" t="e">
        <v>#N/A</v>
      </c>
      <c r="I220" s="201" t="e">
        <v>#N/A</v>
      </c>
      <c r="J220" s="309" t="e">
        <v>#N/A</v>
      </c>
      <c r="K220" s="310" t="e">
        <v>#N/A</v>
      </c>
      <c r="L220" s="185" t="e">
        <v>#N/A</v>
      </c>
      <c r="M220" s="201" t="e">
        <v>#N/A</v>
      </c>
      <c r="N220" s="185" t="e">
        <v>#N/A</v>
      </c>
      <c r="O220" s="201" t="e">
        <v>#N/A</v>
      </c>
    </row>
    <row r="221" spans="7:15">
      <c r="G221" s="212" t="e">
        <v>#N/A</v>
      </c>
      <c r="H221" s="193" t="e">
        <v>#N/A</v>
      </c>
      <c r="I221" s="201" t="e">
        <v>#N/A</v>
      </c>
      <c r="J221" s="309" t="e">
        <v>#N/A</v>
      </c>
      <c r="K221" s="310" t="e">
        <v>#N/A</v>
      </c>
      <c r="L221" s="185" t="e">
        <v>#N/A</v>
      </c>
      <c r="M221" s="201" t="e">
        <v>#N/A</v>
      </c>
      <c r="N221" s="185" t="e">
        <v>#N/A</v>
      </c>
      <c r="O221" s="201" t="e">
        <v>#N/A</v>
      </c>
    </row>
    <row r="222" spans="7:15">
      <c r="G222" s="212" t="e">
        <v>#N/A</v>
      </c>
      <c r="H222" s="193" t="e">
        <v>#N/A</v>
      </c>
      <c r="I222" s="201" t="e">
        <v>#N/A</v>
      </c>
      <c r="J222" s="309" t="e">
        <v>#N/A</v>
      </c>
      <c r="K222" s="310" t="e">
        <v>#N/A</v>
      </c>
      <c r="L222" s="185" t="e">
        <v>#N/A</v>
      </c>
      <c r="M222" s="201" t="e">
        <v>#N/A</v>
      </c>
      <c r="N222" s="185" t="e">
        <v>#N/A</v>
      </c>
      <c r="O222" s="201" t="e">
        <v>#N/A</v>
      </c>
    </row>
    <row r="223" spans="7:15">
      <c r="G223" s="212" t="e">
        <v>#N/A</v>
      </c>
      <c r="H223" s="193" t="e">
        <v>#N/A</v>
      </c>
      <c r="I223" s="201" t="e">
        <v>#N/A</v>
      </c>
      <c r="J223" s="309" t="e">
        <v>#N/A</v>
      </c>
      <c r="K223" s="310" t="e">
        <v>#N/A</v>
      </c>
      <c r="L223" s="185" t="e">
        <v>#N/A</v>
      </c>
      <c r="M223" s="201" t="e">
        <v>#N/A</v>
      </c>
      <c r="N223" s="185" t="e">
        <v>#N/A</v>
      </c>
      <c r="O223" s="201" t="e">
        <v>#N/A</v>
      </c>
    </row>
    <row r="224" spans="7:15">
      <c r="G224" s="212" t="e">
        <v>#N/A</v>
      </c>
      <c r="H224" s="193" t="e">
        <v>#N/A</v>
      </c>
      <c r="I224" s="201" t="e">
        <v>#N/A</v>
      </c>
      <c r="J224" s="309" t="e">
        <v>#N/A</v>
      </c>
      <c r="K224" s="310" t="e">
        <v>#N/A</v>
      </c>
      <c r="L224" s="185" t="e">
        <v>#N/A</v>
      </c>
      <c r="M224" s="201" t="e">
        <v>#N/A</v>
      </c>
      <c r="N224" s="185" t="e">
        <v>#N/A</v>
      </c>
      <c r="O224" s="201" t="e">
        <v>#N/A</v>
      </c>
    </row>
    <row r="225" spans="7:15">
      <c r="G225" s="212" t="e">
        <v>#N/A</v>
      </c>
      <c r="H225" s="193" t="e">
        <v>#N/A</v>
      </c>
      <c r="I225" s="201" t="e">
        <v>#N/A</v>
      </c>
      <c r="J225" s="309" t="e">
        <v>#N/A</v>
      </c>
      <c r="K225" s="310" t="e">
        <v>#N/A</v>
      </c>
      <c r="L225" s="185" t="e">
        <v>#N/A</v>
      </c>
      <c r="M225" s="201" t="e">
        <v>#N/A</v>
      </c>
      <c r="N225" s="185" t="e">
        <v>#N/A</v>
      </c>
      <c r="O225" s="201" t="e">
        <v>#N/A</v>
      </c>
    </row>
    <row r="226" spans="7:15">
      <c r="G226" s="212" t="e">
        <v>#N/A</v>
      </c>
      <c r="H226" s="193" t="e">
        <v>#N/A</v>
      </c>
      <c r="I226" s="201" t="e">
        <v>#N/A</v>
      </c>
      <c r="J226" s="309" t="e">
        <v>#N/A</v>
      </c>
      <c r="K226" s="310" t="e">
        <v>#N/A</v>
      </c>
      <c r="L226" s="185" t="e">
        <v>#N/A</v>
      </c>
      <c r="M226" s="201" t="e">
        <v>#N/A</v>
      </c>
      <c r="N226" s="185" t="e">
        <v>#N/A</v>
      </c>
      <c r="O226" s="201" t="e">
        <v>#N/A</v>
      </c>
    </row>
    <row r="227" spans="7:15">
      <c r="G227" s="212" t="e">
        <v>#N/A</v>
      </c>
      <c r="H227" s="193" t="e">
        <v>#N/A</v>
      </c>
      <c r="I227" s="201" t="e">
        <v>#N/A</v>
      </c>
      <c r="J227" s="309" t="e">
        <v>#N/A</v>
      </c>
      <c r="K227" s="310" t="e">
        <v>#N/A</v>
      </c>
      <c r="L227" s="185" t="e">
        <v>#N/A</v>
      </c>
      <c r="M227" s="201" t="e">
        <v>#N/A</v>
      </c>
      <c r="N227" s="185" t="e">
        <v>#N/A</v>
      </c>
      <c r="O227" s="201" t="e">
        <v>#N/A</v>
      </c>
    </row>
    <row r="228" spans="7:15">
      <c r="G228" s="212" t="e">
        <v>#N/A</v>
      </c>
      <c r="H228" s="193" t="e">
        <v>#N/A</v>
      </c>
      <c r="I228" s="201" t="e">
        <v>#N/A</v>
      </c>
      <c r="J228" s="309" t="e">
        <v>#N/A</v>
      </c>
      <c r="K228" s="310" t="e">
        <v>#N/A</v>
      </c>
      <c r="L228" s="185" t="e">
        <v>#N/A</v>
      </c>
      <c r="M228" s="201" t="e">
        <v>#N/A</v>
      </c>
      <c r="N228" s="185" t="e">
        <v>#N/A</v>
      </c>
      <c r="O228" s="201" t="e">
        <v>#N/A</v>
      </c>
    </row>
    <row r="229" spans="7:15">
      <c r="G229" s="212" t="e">
        <v>#N/A</v>
      </c>
      <c r="H229" s="193" t="e">
        <v>#N/A</v>
      </c>
      <c r="I229" s="201" t="e">
        <v>#N/A</v>
      </c>
      <c r="J229" s="309" t="e">
        <v>#N/A</v>
      </c>
      <c r="K229" s="310" t="e">
        <v>#N/A</v>
      </c>
      <c r="L229" s="185" t="e">
        <v>#N/A</v>
      </c>
      <c r="M229" s="201" t="e">
        <v>#N/A</v>
      </c>
      <c r="N229" s="185" t="e">
        <v>#N/A</v>
      </c>
      <c r="O229" s="201" t="e">
        <v>#N/A</v>
      </c>
    </row>
    <row r="230" spans="7:15">
      <c r="G230" s="212" t="e">
        <v>#N/A</v>
      </c>
      <c r="H230" s="193" t="e">
        <v>#N/A</v>
      </c>
      <c r="I230" s="201" t="e">
        <v>#N/A</v>
      </c>
      <c r="J230" s="309" t="e">
        <v>#N/A</v>
      </c>
      <c r="K230" s="310" t="e">
        <v>#N/A</v>
      </c>
      <c r="L230" s="185" t="e">
        <v>#N/A</v>
      </c>
      <c r="M230" s="201" t="e">
        <v>#N/A</v>
      </c>
      <c r="N230" s="185" t="e">
        <v>#N/A</v>
      </c>
      <c r="O230" s="201" t="e">
        <v>#N/A</v>
      </c>
    </row>
    <row r="231" spans="7:15">
      <c r="G231" s="212" t="e">
        <v>#N/A</v>
      </c>
      <c r="H231" s="193" t="e">
        <v>#N/A</v>
      </c>
      <c r="I231" s="201" t="e">
        <v>#N/A</v>
      </c>
      <c r="J231" s="309" t="e">
        <v>#N/A</v>
      </c>
      <c r="K231" s="310" t="e">
        <v>#N/A</v>
      </c>
      <c r="L231" s="185" t="e">
        <v>#N/A</v>
      </c>
      <c r="M231" s="201" t="e">
        <v>#N/A</v>
      </c>
      <c r="N231" s="185" t="e">
        <v>#N/A</v>
      </c>
      <c r="O231" s="201" t="e">
        <v>#N/A</v>
      </c>
    </row>
    <row r="232" spans="7:15">
      <c r="G232" s="212" t="e">
        <v>#N/A</v>
      </c>
      <c r="H232" s="193" t="e">
        <v>#N/A</v>
      </c>
      <c r="I232" s="201" t="e">
        <v>#N/A</v>
      </c>
      <c r="J232" s="309" t="e">
        <v>#N/A</v>
      </c>
      <c r="K232" s="310" t="e">
        <v>#N/A</v>
      </c>
      <c r="L232" s="185" t="e">
        <v>#N/A</v>
      </c>
      <c r="M232" s="201" t="e">
        <v>#N/A</v>
      </c>
      <c r="N232" s="185" t="e">
        <v>#N/A</v>
      </c>
      <c r="O232" s="201" t="e">
        <v>#N/A</v>
      </c>
    </row>
    <row r="233" spans="7:15">
      <c r="G233" s="212" t="e">
        <v>#N/A</v>
      </c>
      <c r="H233" s="193" t="e">
        <v>#N/A</v>
      </c>
      <c r="I233" s="201" t="e">
        <v>#N/A</v>
      </c>
      <c r="J233" s="309" t="e">
        <v>#N/A</v>
      </c>
      <c r="K233" s="310" t="e">
        <v>#N/A</v>
      </c>
      <c r="L233" s="185" t="e">
        <v>#N/A</v>
      </c>
      <c r="M233" s="201" t="e">
        <v>#N/A</v>
      </c>
      <c r="N233" s="185" t="e">
        <v>#N/A</v>
      </c>
      <c r="O233" s="201" t="e">
        <v>#N/A</v>
      </c>
    </row>
    <row r="234" spans="7:15">
      <c r="G234" s="212" t="e">
        <v>#N/A</v>
      </c>
      <c r="H234" s="193" t="e">
        <v>#N/A</v>
      </c>
      <c r="I234" s="201" t="e">
        <v>#N/A</v>
      </c>
      <c r="J234" s="309" t="e">
        <v>#N/A</v>
      </c>
      <c r="K234" s="310" t="e">
        <v>#N/A</v>
      </c>
      <c r="L234" s="185" t="e">
        <v>#N/A</v>
      </c>
      <c r="M234" s="201" t="e">
        <v>#N/A</v>
      </c>
      <c r="N234" s="185" t="e">
        <v>#N/A</v>
      </c>
      <c r="O234" s="201" t="e">
        <v>#N/A</v>
      </c>
    </row>
    <row r="235" spans="7:15">
      <c r="G235" s="212" t="e">
        <v>#N/A</v>
      </c>
      <c r="H235" s="193" t="e">
        <v>#N/A</v>
      </c>
      <c r="I235" s="201" t="e">
        <v>#N/A</v>
      </c>
      <c r="J235" s="309" t="e">
        <v>#N/A</v>
      </c>
      <c r="K235" s="310" t="e">
        <v>#N/A</v>
      </c>
      <c r="L235" s="185" t="e">
        <v>#N/A</v>
      </c>
      <c r="M235" s="201" t="e">
        <v>#N/A</v>
      </c>
      <c r="N235" s="185" t="e">
        <v>#N/A</v>
      </c>
      <c r="O235" s="201" t="e">
        <v>#N/A</v>
      </c>
    </row>
    <row r="236" spans="7:15">
      <c r="G236" s="212" t="e">
        <v>#N/A</v>
      </c>
      <c r="H236" s="193" t="e">
        <v>#N/A</v>
      </c>
      <c r="I236" s="201" t="e">
        <v>#N/A</v>
      </c>
      <c r="J236" s="309" t="e">
        <v>#N/A</v>
      </c>
      <c r="K236" s="310" t="e">
        <v>#N/A</v>
      </c>
      <c r="L236" s="185" t="e">
        <v>#N/A</v>
      </c>
      <c r="M236" s="201" t="e">
        <v>#N/A</v>
      </c>
      <c r="N236" s="185" t="e">
        <v>#N/A</v>
      </c>
      <c r="O236" s="201" t="e">
        <v>#N/A</v>
      </c>
    </row>
    <row r="237" spans="7:15">
      <c r="G237" s="212" t="e">
        <v>#N/A</v>
      </c>
      <c r="H237" s="193" t="e">
        <v>#N/A</v>
      </c>
      <c r="I237" s="201" t="e">
        <v>#N/A</v>
      </c>
      <c r="J237" s="309" t="e">
        <v>#N/A</v>
      </c>
      <c r="K237" s="310" t="e">
        <v>#N/A</v>
      </c>
      <c r="L237" s="185" t="e">
        <v>#N/A</v>
      </c>
      <c r="M237" s="201" t="e">
        <v>#N/A</v>
      </c>
      <c r="N237" s="185" t="e">
        <v>#N/A</v>
      </c>
      <c r="O237" s="201" t="e">
        <v>#N/A</v>
      </c>
    </row>
    <row r="238" spans="7:15">
      <c r="G238" s="212" t="e">
        <v>#N/A</v>
      </c>
      <c r="H238" s="193" t="e">
        <v>#N/A</v>
      </c>
      <c r="I238" s="201" t="e">
        <v>#N/A</v>
      </c>
      <c r="J238" s="309" t="e">
        <v>#N/A</v>
      </c>
      <c r="K238" s="310" t="e">
        <v>#N/A</v>
      </c>
      <c r="L238" s="185" t="e">
        <v>#N/A</v>
      </c>
      <c r="M238" s="201" t="e">
        <v>#N/A</v>
      </c>
      <c r="N238" s="185" t="e">
        <v>#N/A</v>
      </c>
      <c r="O238" s="201" t="e">
        <v>#N/A</v>
      </c>
    </row>
    <row r="239" spans="7:15">
      <c r="G239" s="212" t="e">
        <v>#N/A</v>
      </c>
      <c r="H239" s="193" t="e">
        <v>#N/A</v>
      </c>
      <c r="I239" s="201" t="e">
        <v>#N/A</v>
      </c>
      <c r="J239" s="309" t="e">
        <v>#N/A</v>
      </c>
      <c r="K239" s="310" t="e">
        <v>#N/A</v>
      </c>
      <c r="L239" s="185" t="e">
        <v>#N/A</v>
      </c>
      <c r="M239" s="201" t="e">
        <v>#N/A</v>
      </c>
      <c r="N239" s="185" t="e">
        <v>#N/A</v>
      </c>
      <c r="O239" s="201" t="e">
        <v>#N/A</v>
      </c>
    </row>
    <row r="240" spans="7:15">
      <c r="G240" s="212" t="e">
        <v>#N/A</v>
      </c>
      <c r="H240" s="193" t="e">
        <v>#N/A</v>
      </c>
      <c r="I240" s="201" t="e">
        <v>#N/A</v>
      </c>
      <c r="J240" s="309" t="e">
        <v>#N/A</v>
      </c>
      <c r="K240" s="310" t="e">
        <v>#N/A</v>
      </c>
      <c r="L240" s="185" t="e">
        <v>#N/A</v>
      </c>
      <c r="M240" s="201" t="e">
        <v>#N/A</v>
      </c>
      <c r="N240" s="185" t="e">
        <v>#N/A</v>
      </c>
      <c r="O240" s="201" t="e">
        <v>#N/A</v>
      </c>
    </row>
    <row r="241" spans="7:15">
      <c r="G241" s="212" t="e">
        <v>#N/A</v>
      </c>
      <c r="H241" s="193" t="e">
        <v>#N/A</v>
      </c>
      <c r="I241" s="201" t="e">
        <v>#N/A</v>
      </c>
      <c r="J241" s="309" t="e">
        <v>#N/A</v>
      </c>
      <c r="K241" s="310" t="e">
        <v>#N/A</v>
      </c>
      <c r="L241" s="185" t="e">
        <v>#N/A</v>
      </c>
      <c r="M241" s="201" t="e">
        <v>#N/A</v>
      </c>
      <c r="N241" s="185" t="e">
        <v>#N/A</v>
      </c>
      <c r="O241" s="201" t="e">
        <v>#N/A</v>
      </c>
    </row>
    <row r="242" spans="7:15">
      <c r="G242" s="212" t="e">
        <v>#N/A</v>
      </c>
      <c r="H242" s="193" t="e">
        <v>#N/A</v>
      </c>
      <c r="I242" s="201" t="e">
        <v>#N/A</v>
      </c>
      <c r="J242" s="309" t="e">
        <v>#N/A</v>
      </c>
      <c r="K242" s="310" t="e">
        <v>#N/A</v>
      </c>
      <c r="L242" s="185" t="e">
        <v>#N/A</v>
      </c>
      <c r="M242" s="201" t="e">
        <v>#N/A</v>
      </c>
      <c r="N242" s="185" t="e">
        <v>#N/A</v>
      </c>
      <c r="O242" s="201" t="e">
        <v>#N/A</v>
      </c>
    </row>
    <row r="243" spans="7:15">
      <c r="G243" s="212" t="e">
        <v>#N/A</v>
      </c>
      <c r="H243" s="193" t="e">
        <v>#N/A</v>
      </c>
      <c r="I243" s="201" t="e">
        <v>#N/A</v>
      </c>
      <c r="J243" s="309" t="e">
        <v>#N/A</v>
      </c>
      <c r="K243" s="310" t="e">
        <v>#N/A</v>
      </c>
      <c r="L243" s="185" t="e">
        <v>#N/A</v>
      </c>
      <c r="M243" s="201" t="e">
        <v>#N/A</v>
      </c>
      <c r="N243" s="185" t="e">
        <v>#N/A</v>
      </c>
      <c r="O243" s="201" t="e">
        <v>#N/A</v>
      </c>
    </row>
    <row r="244" spans="7:15">
      <c r="G244" s="212" t="e">
        <v>#N/A</v>
      </c>
      <c r="H244" s="193" t="e">
        <v>#N/A</v>
      </c>
      <c r="I244" s="201" t="e">
        <v>#N/A</v>
      </c>
      <c r="J244" s="309" t="e">
        <v>#N/A</v>
      </c>
      <c r="K244" s="310" t="e">
        <v>#N/A</v>
      </c>
      <c r="L244" s="185" t="e">
        <v>#N/A</v>
      </c>
      <c r="M244" s="201" t="e">
        <v>#N/A</v>
      </c>
      <c r="N244" s="185" t="e">
        <v>#N/A</v>
      </c>
      <c r="O244" s="201" t="e">
        <v>#N/A</v>
      </c>
    </row>
    <row r="245" spans="7:15">
      <c r="G245" s="212" t="e">
        <v>#N/A</v>
      </c>
      <c r="H245" s="193" t="e">
        <v>#N/A</v>
      </c>
      <c r="I245" s="201" t="e">
        <v>#N/A</v>
      </c>
      <c r="J245" s="309" t="e">
        <v>#N/A</v>
      </c>
      <c r="K245" s="310" t="e">
        <v>#N/A</v>
      </c>
      <c r="L245" s="185" t="e">
        <v>#N/A</v>
      </c>
      <c r="M245" s="201" t="e">
        <v>#N/A</v>
      </c>
      <c r="N245" s="185" t="e">
        <v>#N/A</v>
      </c>
      <c r="O245" s="201" t="e">
        <v>#N/A</v>
      </c>
    </row>
    <row r="246" spans="7:15">
      <c r="G246" s="212" t="e">
        <v>#N/A</v>
      </c>
      <c r="H246" s="193" t="e">
        <v>#N/A</v>
      </c>
      <c r="I246" s="201" t="e">
        <v>#N/A</v>
      </c>
      <c r="J246" s="309" t="e">
        <v>#N/A</v>
      </c>
      <c r="K246" s="310" t="e">
        <v>#N/A</v>
      </c>
      <c r="L246" s="185" t="e">
        <v>#N/A</v>
      </c>
      <c r="M246" s="201" t="e">
        <v>#N/A</v>
      </c>
      <c r="N246" s="185" t="e">
        <v>#N/A</v>
      </c>
      <c r="O246" s="201" t="e">
        <v>#N/A</v>
      </c>
    </row>
    <row r="247" spans="7:15">
      <c r="G247" s="212" t="e">
        <v>#N/A</v>
      </c>
      <c r="H247" s="193" t="e">
        <v>#N/A</v>
      </c>
      <c r="I247" s="201" t="e">
        <v>#N/A</v>
      </c>
      <c r="J247" s="309" t="e">
        <v>#N/A</v>
      </c>
      <c r="K247" s="310" t="e">
        <v>#N/A</v>
      </c>
      <c r="L247" s="185" t="e">
        <v>#N/A</v>
      </c>
      <c r="M247" s="201" t="e">
        <v>#N/A</v>
      </c>
      <c r="N247" s="185" t="e">
        <v>#N/A</v>
      </c>
      <c r="O247" s="201" t="e">
        <v>#N/A</v>
      </c>
    </row>
    <row r="248" spans="7:15">
      <c r="G248" s="212" t="e">
        <v>#N/A</v>
      </c>
      <c r="H248" s="193" t="e">
        <v>#N/A</v>
      </c>
      <c r="I248" s="201" t="e">
        <v>#N/A</v>
      </c>
      <c r="J248" s="309" t="e">
        <v>#N/A</v>
      </c>
      <c r="K248" s="310" t="e">
        <v>#N/A</v>
      </c>
      <c r="L248" s="185" t="e">
        <v>#N/A</v>
      </c>
      <c r="M248" s="201" t="e">
        <v>#N/A</v>
      </c>
      <c r="N248" s="185" t="e">
        <v>#N/A</v>
      </c>
      <c r="O248" s="201" t="e">
        <v>#N/A</v>
      </c>
    </row>
    <row r="249" spans="7:15">
      <c r="G249" s="212" t="e">
        <v>#N/A</v>
      </c>
      <c r="H249" s="193" t="e">
        <v>#N/A</v>
      </c>
      <c r="I249" s="201" t="e">
        <v>#N/A</v>
      </c>
      <c r="J249" s="309" t="e">
        <v>#N/A</v>
      </c>
      <c r="K249" s="310" t="e">
        <v>#N/A</v>
      </c>
      <c r="L249" s="185" t="e">
        <v>#N/A</v>
      </c>
      <c r="M249" s="201" t="e">
        <v>#N/A</v>
      </c>
      <c r="N249" s="185" t="e">
        <v>#N/A</v>
      </c>
      <c r="O249" s="201" t="e">
        <v>#N/A</v>
      </c>
    </row>
    <row r="250" spans="7:15">
      <c r="G250" s="212" t="e">
        <v>#N/A</v>
      </c>
      <c r="H250" s="193" t="e">
        <v>#N/A</v>
      </c>
      <c r="I250" s="201" t="e">
        <v>#N/A</v>
      </c>
      <c r="J250" s="309" t="e">
        <v>#N/A</v>
      </c>
      <c r="K250" s="310" t="e">
        <v>#N/A</v>
      </c>
      <c r="L250" s="185" t="e">
        <v>#N/A</v>
      </c>
      <c r="M250" s="201" t="e">
        <v>#N/A</v>
      </c>
      <c r="N250" s="185" t="e">
        <v>#N/A</v>
      </c>
      <c r="O250" s="201" t="e">
        <v>#N/A</v>
      </c>
    </row>
    <row r="251" spans="7:15">
      <c r="G251" s="212" t="e">
        <v>#N/A</v>
      </c>
      <c r="H251" s="193" t="e">
        <v>#N/A</v>
      </c>
      <c r="I251" s="201" t="e">
        <v>#N/A</v>
      </c>
      <c r="J251" s="309" t="e">
        <v>#N/A</v>
      </c>
      <c r="K251" s="310" t="e">
        <v>#N/A</v>
      </c>
      <c r="L251" s="185" t="e">
        <v>#N/A</v>
      </c>
      <c r="M251" s="201" t="e">
        <v>#N/A</v>
      </c>
      <c r="N251" s="185" t="e">
        <v>#N/A</v>
      </c>
      <c r="O251" s="201" t="e">
        <v>#N/A</v>
      </c>
    </row>
    <row r="252" spans="7:15">
      <c r="G252" s="212" t="e">
        <v>#N/A</v>
      </c>
      <c r="H252" s="193" t="e">
        <v>#N/A</v>
      </c>
      <c r="I252" s="201" t="e">
        <v>#N/A</v>
      </c>
      <c r="J252" s="309" t="e">
        <v>#N/A</v>
      </c>
      <c r="K252" s="310" t="e">
        <v>#N/A</v>
      </c>
      <c r="L252" s="185" t="e">
        <v>#N/A</v>
      </c>
      <c r="M252" s="201" t="e">
        <v>#N/A</v>
      </c>
      <c r="N252" s="185" t="e">
        <v>#N/A</v>
      </c>
      <c r="O252" s="201" t="e">
        <v>#N/A</v>
      </c>
    </row>
    <row r="253" spans="7:15">
      <c r="G253" s="212" t="e">
        <v>#N/A</v>
      </c>
      <c r="H253" s="193" t="e">
        <v>#N/A</v>
      </c>
      <c r="I253" s="201" t="e">
        <v>#N/A</v>
      </c>
      <c r="J253" s="309" t="e">
        <v>#N/A</v>
      </c>
      <c r="K253" s="310" t="e">
        <v>#N/A</v>
      </c>
      <c r="L253" s="185" t="e">
        <v>#N/A</v>
      </c>
      <c r="M253" s="201" t="e">
        <v>#N/A</v>
      </c>
      <c r="N253" s="185" t="e">
        <v>#N/A</v>
      </c>
      <c r="O253" s="201" t="e">
        <v>#N/A</v>
      </c>
    </row>
    <row r="254" spans="7:15">
      <c r="G254" s="212" t="e">
        <v>#N/A</v>
      </c>
      <c r="H254" s="193" t="e">
        <v>#N/A</v>
      </c>
      <c r="I254" s="201" t="e">
        <v>#N/A</v>
      </c>
      <c r="J254" s="309" t="e">
        <v>#N/A</v>
      </c>
      <c r="K254" s="310" t="e">
        <v>#N/A</v>
      </c>
      <c r="L254" s="185" t="e">
        <v>#N/A</v>
      </c>
      <c r="M254" s="201" t="e">
        <v>#N/A</v>
      </c>
      <c r="N254" s="185" t="e">
        <v>#N/A</v>
      </c>
      <c r="O254" s="201" t="e">
        <v>#N/A</v>
      </c>
    </row>
    <row r="255" spans="7:15">
      <c r="G255" s="212" t="e">
        <v>#N/A</v>
      </c>
      <c r="H255" s="193" t="e">
        <v>#N/A</v>
      </c>
      <c r="I255" s="201" t="e">
        <v>#N/A</v>
      </c>
      <c r="J255" s="309" t="e">
        <v>#N/A</v>
      </c>
      <c r="K255" s="310" t="e">
        <v>#N/A</v>
      </c>
      <c r="L255" s="185" t="e">
        <v>#N/A</v>
      </c>
      <c r="M255" s="201" t="e">
        <v>#N/A</v>
      </c>
      <c r="N255" s="185" t="e">
        <v>#N/A</v>
      </c>
      <c r="O255" s="201" t="e">
        <v>#N/A</v>
      </c>
    </row>
    <row r="256" spans="7:15">
      <c r="G256" s="212" t="e">
        <v>#N/A</v>
      </c>
      <c r="H256" s="193" t="e">
        <v>#N/A</v>
      </c>
      <c r="I256" s="201" t="e">
        <v>#N/A</v>
      </c>
      <c r="J256" s="309" t="e">
        <v>#N/A</v>
      </c>
      <c r="K256" s="310" t="e">
        <v>#N/A</v>
      </c>
      <c r="L256" s="185" t="e">
        <v>#N/A</v>
      </c>
      <c r="M256" s="201" t="e">
        <v>#N/A</v>
      </c>
      <c r="N256" s="185" t="e">
        <v>#N/A</v>
      </c>
      <c r="O256" s="201" t="e">
        <v>#N/A</v>
      </c>
    </row>
    <row r="257" spans="7:15">
      <c r="G257" s="212" t="e">
        <v>#N/A</v>
      </c>
      <c r="H257" s="193" t="e">
        <v>#N/A</v>
      </c>
      <c r="I257" s="201" t="e">
        <v>#N/A</v>
      </c>
      <c r="J257" s="309" t="e">
        <v>#N/A</v>
      </c>
      <c r="K257" s="310" t="e">
        <v>#N/A</v>
      </c>
      <c r="L257" s="185" t="e">
        <v>#N/A</v>
      </c>
      <c r="M257" s="201" t="e">
        <v>#N/A</v>
      </c>
      <c r="N257" s="185" t="e">
        <v>#N/A</v>
      </c>
      <c r="O257" s="201" t="e">
        <v>#N/A</v>
      </c>
    </row>
    <row r="258" spans="7:15">
      <c r="G258" s="212" t="e">
        <v>#N/A</v>
      </c>
      <c r="H258" s="193" t="e">
        <v>#N/A</v>
      </c>
      <c r="I258" s="201" t="e">
        <v>#N/A</v>
      </c>
      <c r="J258" s="309" t="e">
        <v>#N/A</v>
      </c>
      <c r="K258" s="310" t="e">
        <v>#N/A</v>
      </c>
      <c r="L258" s="185" t="e">
        <v>#N/A</v>
      </c>
      <c r="M258" s="201" t="e">
        <v>#N/A</v>
      </c>
      <c r="N258" s="185" t="e">
        <v>#N/A</v>
      </c>
      <c r="O258" s="201" t="e">
        <v>#N/A</v>
      </c>
    </row>
    <row r="259" spans="7:15">
      <c r="G259" s="212" t="e">
        <v>#N/A</v>
      </c>
      <c r="H259" s="193" t="e">
        <v>#N/A</v>
      </c>
      <c r="I259" s="201" t="e">
        <v>#N/A</v>
      </c>
      <c r="J259" s="309" t="e">
        <v>#N/A</v>
      </c>
      <c r="K259" s="310" t="e">
        <v>#N/A</v>
      </c>
      <c r="L259" s="185" t="e">
        <v>#N/A</v>
      </c>
      <c r="M259" s="201" t="e">
        <v>#N/A</v>
      </c>
      <c r="N259" s="185" t="e">
        <v>#N/A</v>
      </c>
      <c r="O259" s="201" t="e">
        <v>#N/A</v>
      </c>
    </row>
    <row r="260" spans="7:15">
      <c r="G260" s="212" t="e">
        <v>#N/A</v>
      </c>
      <c r="H260" s="193" t="e">
        <v>#N/A</v>
      </c>
      <c r="I260" s="201" t="e">
        <v>#N/A</v>
      </c>
      <c r="J260" s="309" t="e">
        <v>#N/A</v>
      </c>
      <c r="K260" s="310" t="e">
        <v>#N/A</v>
      </c>
      <c r="L260" s="185" t="e">
        <v>#N/A</v>
      </c>
      <c r="M260" s="201" t="e">
        <v>#N/A</v>
      </c>
      <c r="N260" s="185" t="e">
        <v>#N/A</v>
      </c>
      <c r="O260" s="201" t="e">
        <v>#N/A</v>
      </c>
    </row>
    <row r="261" spans="7:15">
      <c r="G261" s="212" t="e">
        <v>#N/A</v>
      </c>
      <c r="H261" s="193" t="e">
        <v>#N/A</v>
      </c>
      <c r="I261" s="201" t="e">
        <v>#N/A</v>
      </c>
      <c r="J261" s="309" t="e">
        <v>#N/A</v>
      </c>
      <c r="K261" s="310" t="e">
        <v>#N/A</v>
      </c>
      <c r="L261" s="185" t="e">
        <v>#N/A</v>
      </c>
      <c r="M261" s="201" t="e">
        <v>#N/A</v>
      </c>
      <c r="N261" s="185" t="e">
        <v>#N/A</v>
      </c>
      <c r="O261" s="201" t="e">
        <v>#N/A</v>
      </c>
    </row>
    <row r="262" spans="7:15">
      <c r="G262" s="212" t="e">
        <v>#N/A</v>
      </c>
      <c r="H262" s="193" t="e">
        <v>#N/A</v>
      </c>
      <c r="I262" s="201" t="e">
        <v>#N/A</v>
      </c>
      <c r="J262" s="309" t="e">
        <v>#N/A</v>
      </c>
      <c r="K262" s="310" t="e">
        <v>#N/A</v>
      </c>
      <c r="L262" s="185" t="e">
        <v>#N/A</v>
      </c>
      <c r="M262" s="201" t="e">
        <v>#N/A</v>
      </c>
      <c r="N262" s="185" t="e">
        <v>#N/A</v>
      </c>
      <c r="O262" s="201" t="e">
        <v>#N/A</v>
      </c>
    </row>
    <row r="263" spans="7:15">
      <c r="G263" s="212" t="e">
        <v>#N/A</v>
      </c>
      <c r="H263" s="193" t="e">
        <v>#N/A</v>
      </c>
      <c r="I263" s="201" t="e">
        <v>#N/A</v>
      </c>
      <c r="J263" s="309" t="e">
        <v>#N/A</v>
      </c>
      <c r="K263" s="310" t="e">
        <v>#N/A</v>
      </c>
      <c r="L263" s="185" t="e">
        <v>#N/A</v>
      </c>
      <c r="M263" s="201" t="e">
        <v>#N/A</v>
      </c>
      <c r="N263" s="185" t="e">
        <v>#N/A</v>
      </c>
      <c r="O263" s="201" t="e">
        <v>#N/A</v>
      </c>
    </row>
    <row r="264" spans="7:15">
      <c r="G264" s="212" t="e">
        <v>#N/A</v>
      </c>
      <c r="H264" s="193" t="e">
        <v>#N/A</v>
      </c>
      <c r="I264" s="201" t="e">
        <v>#N/A</v>
      </c>
      <c r="J264" s="309" t="e">
        <v>#N/A</v>
      </c>
      <c r="K264" s="310" t="e">
        <v>#N/A</v>
      </c>
      <c r="L264" s="185" t="e">
        <v>#N/A</v>
      </c>
      <c r="M264" s="201" t="e">
        <v>#N/A</v>
      </c>
      <c r="N264" s="185" t="e">
        <v>#N/A</v>
      </c>
      <c r="O264" s="201" t="e">
        <v>#N/A</v>
      </c>
    </row>
    <row r="265" spans="7:15">
      <c r="G265" s="212" t="e">
        <v>#N/A</v>
      </c>
      <c r="H265" s="193" t="e">
        <v>#N/A</v>
      </c>
      <c r="I265" s="201" t="e">
        <v>#N/A</v>
      </c>
      <c r="J265" s="309" t="e">
        <v>#N/A</v>
      </c>
      <c r="K265" s="310" t="e">
        <v>#N/A</v>
      </c>
      <c r="L265" s="185" t="e">
        <v>#N/A</v>
      </c>
      <c r="M265" s="201" t="e">
        <v>#N/A</v>
      </c>
      <c r="N265" s="185" t="e">
        <v>#N/A</v>
      </c>
      <c r="O265" s="201" t="e">
        <v>#N/A</v>
      </c>
    </row>
    <row r="266" spans="7:15">
      <c r="G266" s="212" t="e">
        <v>#N/A</v>
      </c>
      <c r="H266" s="193" t="e">
        <v>#N/A</v>
      </c>
      <c r="I266" s="201" t="e">
        <v>#N/A</v>
      </c>
      <c r="J266" s="309" t="e">
        <v>#N/A</v>
      </c>
      <c r="K266" s="310" t="e">
        <v>#N/A</v>
      </c>
      <c r="L266" s="185" t="e">
        <v>#N/A</v>
      </c>
      <c r="M266" s="201" t="e">
        <v>#N/A</v>
      </c>
      <c r="N266" s="185" t="e">
        <v>#N/A</v>
      </c>
      <c r="O266" s="201" t="e">
        <v>#N/A</v>
      </c>
    </row>
    <row r="267" spans="7:15">
      <c r="G267" s="212" t="e">
        <v>#N/A</v>
      </c>
      <c r="H267" s="193" t="e">
        <v>#N/A</v>
      </c>
      <c r="I267" s="201" t="e">
        <v>#N/A</v>
      </c>
      <c r="J267" s="309" t="e">
        <v>#N/A</v>
      </c>
      <c r="K267" s="310" t="e">
        <v>#N/A</v>
      </c>
      <c r="L267" s="185" t="e">
        <v>#N/A</v>
      </c>
      <c r="M267" s="201" t="e">
        <v>#N/A</v>
      </c>
      <c r="N267" s="185" t="e">
        <v>#N/A</v>
      </c>
      <c r="O267" s="201" t="e">
        <v>#N/A</v>
      </c>
    </row>
    <row r="268" spans="7:15">
      <c r="G268" s="212" t="e">
        <v>#N/A</v>
      </c>
      <c r="H268" s="193" t="e">
        <v>#N/A</v>
      </c>
      <c r="I268" s="201" t="e">
        <v>#N/A</v>
      </c>
      <c r="J268" s="309" t="e">
        <v>#N/A</v>
      </c>
      <c r="K268" s="310" t="e">
        <v>#N/A</v>
      </c>
      <c r="L268" s="185" t="e">
        <v>#N/A</v>
      </c>
      <c r="M268" s="201" t="e">
        <v>#N/A</v>
      </c>
      <c r="N268" s="185" t="e">
        <v>#N/A</v>
      </c>
      <c r="O268" s="201" t="e">
        <v>#N/A</v>
      </c>
    </row>
    <row r="269" spans="7:15">
      <c r="G269" s="212" t="e">
        <v>#N/A</v>
      </c>
      <c r="H269" s="193" t="e">
        <v>#N/A</v>
      </c>
      <c r="I269" s="201" t="e">
        <v>#N/A</v>
      </c>
      <c r="J269" s="309" t="e">
        <v>#N/A</v>
      </c>
      <c r="K269" s="310" t="e">
        <v>#N/A</v>
      </c>
      <c r="L269" s="185" t="e">
        <v>#N/A</v>
      </c>
      <c r="M269" s="201" t="e">
        <v>#N/A</v>
      </c>
      <c r="N269" s="185" t="e">
        <v>#N/A</v>
      </c>
      <c r="O269" s="201" t="e">
        <v>#N/A</v>
      </c>
    </row>
    <row r="270" spans="7:15">
      <c r="G270" s="212" t="e">
        <v>#N/A</v>
      </c>
      <c r="H270" s="193" t="e">
        <v>#N/A</v>
      </c>
      <c r="I270" s="201" t="e">
        <v>#N/A</v>
      </c>
      <c r="J270" s="309" t="e">
        <v>#N/A</v>
      </c>
      <c r="K270" s="310" t="e">
        <v>#N/A</v>
      </c>
      <c r="L270" s="185" t="e">
        <v>#N/A</v>
      </c>
      <c r="M270" s="201" t="e">
        <v>#N/A</v>
      </c>
      <c r="N270" s="185" t="e">
        <v>#N/A</v>
      </c>
      <c r="O270" s="201" t="e">
        <v>#N/A</v>
      </c>
    </row>
    <row r="271" spans="7:15">
      <c r="G271" s="212" t="e">
        <v>#N/A</v>
      </c>
      <c r="H271" s="193" t="e">
        <v>#N/A</v>
      </c>
      <c r="I271" s="201" t="e">
        <v>#N/A</v>
      </c>
      <c r="J271" s="309" t="e">
        <v>#N/A</v>
      </c>
      <c r="K271" s="310" t="e">
        <v>#N/A</v>
      </c>
      <c r="L271" s="185" t="e">
        <v>#N/A</v>
      </c>
      <c r="M271" s="201" t="e">
        <v>#N/A</v>
      </c>
      <c r="N271" s="185" t="e">
        <v>#N/A</v>
      </c>
      <c r="O271" s="201" t="e">
        <v>#N/A</v>
      </c>
    </row>
    <row r="272" spans="7:15">
      <c r="G272" s="212" t="e">
        <v>#N/A</v>
      </c>
      <c r="H272" s="193" t="e">
        <v>#N/A</v>
      </c>
      <c r="I272" s="201" t="e">
        <v>#N/A</v>
      </c>
      <c r="J272" s="309" t="e">
        <v>#N/A</v>
      </c>
      <c r="K272" s="310" t="e">
        <v>#N/A</v>
      </c>
      <c r="L272" s="185" t="e">
        <v>#N/A</v>
      </c>
      <c r="M272" s="201" t="e">
        <v>#N/A</v>
      </c>
      <c r="N272" s="185" t="e">
        <v>#N/A</v>
      </c>
      <c r="O272" s="201" t="e">
        <v>#N/A</v>
      </c>
    </row>
    <row r="273" spans="7:15">
      <c r="G273" s="212" t="e">
        <v>#N/A</v>
      </c>
      <c r="H273" s="193" t="e">
        <v>#N/A</v>
      </c>
      <c r="I273" s="201" t="e">
        <v>#N/A</v>
      </c>
      <c r="J273" s="309" t="e">
        <v>#N/A</v>
      </c>
      <c r="K273" s="310" t="e">
        <v>#N/A</v>
      </c>
      <c r="L273" s="185" t="e">
        <v>#N/A</v>
      </c>
      <c r="M273" s="201" t="e">
        <v>#N/A</v>
      </c>
      <c r="N273" s="185" t="e">
        <v>#N/A</v>
      </c>
      <c r="O273" s="201" t="e">
        <v>#N/A</v>
      </c>
    </row>
    <row r="274" spans="7:15">
      <c r="G274" s="212" t="e">
        <v>#N/A</v>
      </c>
      <c r="H274" s="193" t="e">
        <v>#N/A</v>
      </c>
      <c r="I274" s="201" t="e">
        <v>#N/A</v>
      </c>
      <c r="J274" s="309" t="e">
        <v>#N/A</v>
      </c>
      <c r="K274" s="310" t="e">
        <v>#N/A</v>
      </c>
      <c r="L274" s="185" t="e">
        <v>#N/A</v>
      </c>
      <c r="M274" s="201" t="e">
        <v>#N/A</v>
      </c>
      <c r="N274" s="185" t="e">
        <v>#N/A</v>
      </c>
      <c r="O274" s="201" t="e">
        <v>#N/A</v>
      </c>
    </row>
    <row r="275" spans="7:15">
      <c r="G275" s="212" t="e">
        <v>#N/A</v>
      </c>
      <c r="H275" s="193" t="e">
        <v>#N/A</v>
      </c>
      <c r="I275" s="201" t="e">
        <v>#N/A</v>
      </c>
      <c r="J275" s="309" t="e">
        <v>#N/A</v>
      </c>
      <c r="K275" s="310" t="e">
        <v>#N/A</v>
      </c>
      <c r="L275" s="185" t="e">
        <v>#N/A</v>
      </c>
      <c r="M275" s="201" t="e">
        <v>#N/A</v>
      </c>
      <c r="N275" s="185" t="e">
        <v>#N/A</v>
      </c>
      <c r="O275" s="201" t="e">
        <v>#N/A</v>
      </c>
    </row>
    <row r="276" spans="7:15">
      <c r="G276" s="212" t="e">
        <v>#N/A</v>
      </c>
      <c r="H276" s="193" t="e">
        <v>#N/A</v>
      </c>
      <c r="I276" s="201" t="e">
        <v>#N/A</v>
      </c>
      <c r="J276" s="309" t="e">
        <v>#N/A</v>
      </c>
      <c r="K276" s="310" t="e">
        <v>#N/A</v>
      </c>
      <c r="L276" s="185" t="e">
        <v>#N/A</v>
      </c>
      <c r="M276" s="201" t="e">
        <v>#N/A</v>
      </c>
      <c r="N276" s="185" t="e">
        <v>#N/A</v>
      </c>
      <c r="O276" s="201" t="e">
        <v>#N/A</v>
      </c>
    </row>
    <row r="277" spans="7:15">
      <c r="G277" s="212" t="e">
        <v>#N/A</v>
      </c>
      <c r="H277" s="193" t="e">
        <v>#N/A</v>
      </c>
      <c r="I277" s="201" t="e">
        <v>#N/A</v>
      </c>
      <c r="J277" s="309" t="e">
        <v>#N/A</v>
      </c>
      <c r="K277" s="310" t="e">
        <v>#N/A</v>
      </c>
      <c r="L277" s="185" t="e">
        <v>#N/A</v>
      </c>
      <c r="M277" s="201" t="e">
        <v>#N/A</v>
      </c>
      <c r="N277" s="185" t="e">
        <v>#N/A</v>
      </c>
      <c r="O277" s="201" t="e">
        <v>#N/A</v>
      </c>
    </row>
    <row r="278" spans="7:15">
      <c r="G278" s="212" t="e">
        <v>#N/A</v>
      </c>
      <c r="H278" s="193" t="e">
        <v>#N/A</v>
      </c>
      <c r="I278" s="201" t="e">
        <v>#N/A</v>
      </c>
      <c r="J278" s="309" t="e">
        <v>#N/A</v>
      </c>
      <c r="K278" s="310" t="e">
        <v>#N/A</v>
      </c>
      <c r="L278" s="185" t="e">
        <v>#N/A</v>
      </c>
      <c r="M278" s="201" t="e">
        <v>#N/A</v>
      </c>
      <c r="N278" s="185" t="e">
        <v>#N/A</v>
      </c>
      <c r="O278" s="201" t="e">
        <v>#N/A</v>
      </c>
    </row>
    <row r="279" spans="7:15">
      <c r="G279" s="212" t="e">
        <v>#N/A</v>
      </c>
      <c r="H279" s="193" t="e">
        <v>#N/A</v>
      </c>
      <c r="I279" s="201" t="e">
        <v>#N/A</v>
      </c>
      <c r="J279" s="309" t="e">
        <v>#N/A</v>
      </c>
      <c r="K279" s="310" t="e">
        <v>#N/A</v>
      </c>
      <c r="L279" s="185" t="e">
        <v>#N/A</v>
      </c>
      <c r="M279" s="201" t="e">
        <v>#N/A</v>
      </c>
      <c r="N279" s="185" t="e">
        <v>#N/A</v>
      </c>
      <c r="O279" s="201" t="e">
        <v>#N/A</v>
      </c>
    </row>
    <row r="280" spans="7:15">
      <c r="G280" s="212" t="e">
        <v>#N/A</v>
      </c>
      <c r="H280" s="193" t="e">
        <v>#N/A</v>
      </c>
      <c r="I280" s="201" t="e">
        <v>#N/A</v>
      </c>
      <c r="J280" s="309" t="e">
        <v>#N/A</v>
      </c>
      <c r="K280" s="310" t="e">
        <v>#N/A</v>
      </c>
      <c r="L280" s="185" t="e">
        <v>#N/A</v>
      </c>
      <c r="M280" s="201" t="e">
        <v>#N/A</v>
      </c>
      <c r="N280" s="185" t="e">
        <v>#N/A</v>
      </c>
      <c r="O280" s="201" t="e">
        <v>#N/A</v>
      </c>
    </row>
    <row r="281" spans="7:15">
      <c r="G281" s="212" t="e">
        <v>#N/A</v>
      </c>
      <c r="H281" s="193" t="e">
        <v>#N/A</v>
      </c>
      <c r="I281" s="201" t="e">
        <v>#N/A</v>
      </c>
      <c r="J281" s="309" t="e">
        <v>#N/A</v>
      </c>
      <c r="K281" s="310" t="e">
        <v>#N/A</v>
      </c>
      <c r="L281" s="185" t="e">
        <v>#N/A</v>
      </c>
      <c r="M281" s="201" t="e">
        <v>#N/A</v>
      </c>
      <c r="N281" s="185" t="e">
        <v>#N/A</v>
      </c>
      <c r="O281" s="201" t="e">
        <v>#N/A</v>
      </c>
    </row>
    <row r="282" spans="7:15">
      <c r="G282" s="212" t="e">
        <v>#N/A</v>
      </c>
      <c r="H282" s="193" t="e">
        <v>#N/A</v>
      </c>
      <c r="I282" s="201" t="e">
        <v>#N/A</v>
      </c>
      <c r="J282" s="309" t="e">
        <v>#N/A</v>
      </c>
      <c r="K282" s="310" t="e">
        <v>#N/A</v>
      </c>
      <c r="L282" s="185" t="e">
        <v>#N/A</v>
      </c>
      <c r="M282" s="201" t="e">
        <v>#N/A</v>
      </c>
      <c r="N282" s="185" t="e">
        <v>#N/A</v>
      </c>
      <c r="O282" s="201" t="e">
        <v>#N/A</v>
      </c>
    </row>
    <row r="283" spans="7:15">
      <c r="G283" s="212" t="e">
        <v>#N/A</v>
      </c>
      <c r="H283" s="193" t="e">
        <v>#N/A</v>
      </c>
      <c r="I283" s="201" t="e">
        <v>#N/A</v>
      </c>
      <c r="J283" s="309" t="e">
        <v>#N/A</v>
      </c>
      <c r="K283" s="310" t="e">
        <v>#N/A</v>
      </c>
      <c r="L283" s="185" t="e">
        <v>#N/A</v>
      </c>
      <c r="M283" s="201" t="e">
        <v>#N/A</v>
      </c>
      <c r="N283" s="185" t="e">
        <v>#N/A</v>
      </c>
      <c r="O283" s="201" t="e">
        <v>#N/A</v>
      </c>
    </row>
    <row r="284" spans="7:15">
      <c r="G284" s="212" t="e">
        <v>#N/A</v>
      </c>
      <c r="H284" s="193" t="e">
        <v>#N/A</v>
      </c>
      <c r="I284" s="201" t="e">
        <v>#N/A</v>
      </c>
      <c r="J284" s="309" t="e">
        <v>#N/A</v>
      </c>
      <c r="K284" s="310" t="e">
        <v>#N/A</v>
      </c>
      <c r="L284" s="185" t="e">
        <v>#N/A</v>
      </c>
      <c r="M284" s="201" t="e">
        <v>#N/A</v>
      </c>
      <c r="N284" s="185" t="e">
        <v>#N/A</v>
      </c>
      <c r="O284" s="201" t="e">
        <v>#N/A</v>
      </c>
    </row>
    <row r="285" spans="7:15">
      <c r="G285" s="212" t="e">
        <v>#N/A</v>
      </c>
      <c r="H285" s="193" t="e">
        <v>#N/A</v>
      </c>
      <c r="I285" s="201" t="e">
        <v>#N/A</v>
      </c>
      <c r="J285" s="309" t="e">
        <v>#N/A</v>
      </c>
      <c r="K285" s="310" t="e">
        <v>#N/A</v>
      </c>
      <c r="L285" s="185" t="e">
        <v>#N/A</v>
      </c>
      <c r="M285" s="201" t="e">
        <v>#N/A</v>
      </c>
      <c r="N285" s="185" t="e">
        <v>#N/A</v>
      </c>
      <c r="O285" s="201" t="e">
        <v>#N/A</v>
      </c>
    </row>
    <row r="286" spans="7:15">
      <c r="G286" s="212" t="e">
        <v>#N/A</v>
      </c>
      <c r="H286" s="193" t="e">
        <v>#N/A</v>
      </c>
      <c r="I286" s="201" t="e">
        <v>#N/A</v>
      </c>
      <c r="J286" s="309" t="e">
        <v>#N/A</v>
      </c>
      <c r="K286" s="310" t="e">
        <v>#N/A</v>
      </c>
      <c r="L286" s="185" t="e">
        <v>#N/A</v>
      </c>
      <c r="M286" s="201" t="e">
        <v>#N/A</v>
      </c>
      <c r="N286" s="185" t="e">
        <v>#N/A</v>
      </c>
      <c r="O286" s="201" t="e">
        <v>#N/A</v>
      </c>
    </row>
    <row r="287" spans="7:15">
      <c r="G287" s="212" t="e">
        <v>#N/A</v>
      </c>
      <c r="H287" s="193" t="e">
        <v>#N/A</v>
      </c>
      <c r="I287" s="201" t="e">
        <v>#N/A</v>
      </c>
      <c r="J287" s="309" t="e">
        <v>#N/A</v>
      </c>
      <c r="K287" s="310" t="e">
        <v>#N/A</v>
      </c>
      <c r="L287" s="185" t="e">
        <v>#N/A</v>
      </c>
      <c r="M287" s="201" t="e">
        <v>#N/A</v>
      </c>
      <c r="N287" s="185" t="e">
        <v>#N/A</v>
      </c>
      <c r="O287" s="201" t="e">
        <v>#N/A</v>
      </c>
    </row>
    <row r="288" spans="7:15">
      <c r="G288" s="212" t="e">
        <v>#N/A</v>
      </c>
      <c r="H288" s="193" t="e">
        <v>#N/A</v>
      </c>
      <c r="I288" s="201" t="e">
        <v>#N/A</v>
      </c>
      <c r="J288" s="309" t="e">
        <v>#N/A</v>
      </c>
      <c r="K288" s="310" t="e">
        <v>#N/A</v>
      </c>
      <c r="L288" s="185" t="e">
        <v>#N/A</v>
      </c>
      <c r="M288" s="201" t="e">
        <v>#N/A</v>
      </c>
      <c r="N288" s="185" t="e">
        <v>#N/A</v>
      </c>
      <c r="O288" s="201" t="e">
        <v>#N/A</v>
      </c>
    </row>
    <row r="289" spans="7:15">
      <c r="G289" s="212" t="e">
        <v>#N/A</v>
      </c>
      <c r="H289" s="193" t="e">
        <v>#N/A</v>
      </c>
      <c r="I289" s="201" t="e">
        <v>#N/A</v>
      </c>
      <c r="J289" s="309" t="e">
        <v>#N/A</v>
      </c>
      <c r="K289" s="310" t="e">
        <v>#N/A</v>
      </c>
      <c r="L289" s="185" t="e">
        <v>#N/A</v>
      </c>
      <c r="M289" s="201" t="e">
        <v>#N/A</v>
      </c>
      <c r="N289" s="185" t="e">
        <v>#N/A</v>
      </c>
      <c r="O289" s="201" t="e">
        <v>#N/A</v>
      </c>
    </row>
    <row r="290" spans="7:15">
      <c r="G290" s="212" t="e">
        <v>#N/A</v>
      </c>
      <c r="H290" s="193" t="e">
        <v>#N/A</v>
      </c>
      <c r="I290" s="201" t="e">
        <v>#N/A</v>
      </c>
      <c r="J290" s="309" t="e">
        <v>#N/A</v>
      </c>
      <c r="K290" s="310" t="e">
        <v>#N/A</v>
      </c>
      <c r="L290" s="185" t="e">
        <v>#N/A</v>
      </c>
      <c r="M290" s="201" t="e">
        <v>#N/A</v>
      </c>
      <c r="N290" s="185" t="e">
        <v>#N/A</v>
      </c>
      <c r="O290" s="201" t="e">
        <v>#N/A</v>
      </c>
    </row>
    <row r="291" spans="7:15">
      <c r="G291" s="212" t="e">
        <v>#N/A</v>
      </c>
      <c r="H291" s="193" t="e">
        <v>#N/A</v>
      </c>
      <c r="I291" s="201" t="e">
        <v>#N/A</v>
      </c>
      <c r="J291" s="309" t="e">
        <v>#N/A</v>
      </c>
      <c r="K291" s="310" t="e">
        <v>#N/A</v>
      </c>
      <c r="L291" s="185" t="e">
        <v>#N/A</v>
      </c>
      <c r="M291" s="201" t="e">
        <v>#N/A</v>
      </c>
      <c r="N291" s="185" t="e">
        <v>#N/A</v>
      </c>
      <c r="O291" s="201" t="e">
        <v>#N/A</v>
      </c>
    </row>
    <row r="292" spans="7:15">
      <c r="G292" s="212" t="e">
        <v>#N/A</v>
      </c>
      <c r="H292" s="193" t="e">
        <v>#N/A</v>
      </c>
      <c r="I292" s="201" t="e">
        <v>#N/A</v>
      </c>
      <c r="J292" s="309" t="e">
        <v>#N/A</v>
      </c>
      <c r="K292" s="310" t="e">
        <v>#N/A</v>
      </c>
      <c r="L292" s="185" t="e">
        <v>#N/A</v>
      </c>
      <c r="M292" s="201" t="e">
        <v>#N/A</v>
      </c>
      <c r="N292" s="185" t="e">
        <v>#N/A</v>
      </c>
      <c r="O292" s="201" t="e">
        <v>#N/A</v>
      </c>
    </row>
    <row r="293" spans="7:15">
      <c r="G293" s="212" t="e">
        <v>#N/A</v>
      </c>
      <c r="H293" s="193" t="e">
        <v>#N/A</v>
      </c>
      <c r="I293" s="201" t="e">
        <v>#N/A</v>
      </c>
      <c r="J293" s="309" t="e">
        <v>#N/A</v>
      </c>
      <c r="K293" s="310" t="e">
        <v>#N/A</v>
      </c>
      <c r="L293" s="185" t="e">
        <v>#N/A</v>
      </c>
      <c r="M293" s="201" t="e">
        <v>#N/A</v>
      </c>
      <c r="N293" s="185" t="e">
        <v>#N/A</v>
      </c>
      <c r="O293" s="201" t="e">
        <v>#N/A</v>
      </c>
    </row>
    <row r="294" spans="7:15">
      <c r="G294" s="212" t="e">
        <v>#N/A</v>
      </c>
      <c r="H294" s="193" t="e">
        <v>#N/A</v>
      </c>
      <c r="I294" s="201" t="e">
        <v>#N/A</v>
      </c>
      <c r="J294" s="309" t="e">
        <v>#N/A</v>
      </c>
      <c r="K294" s="310" t="e">
        <v>#N/A</v>
      </c>
      <c r="L294" s="185" t="e">
        <v>#N/A</v>
      </c>
      <c r="M294" s="201" t="e">
        <v>#N/A</v>
      </c>
      <c r="N294" s="185" t="e">
        <v>#N/A</v>
      </c>
      <c r="O294" s="201" t="e">
        <v>#N/A</v>
      </c>
    </row>
    <row r="295" spans="7:15">
      <c r="G295" s="212" t="e">
        <v>#N/A</v>
      </c>
      <c r="H295" s="193" t="e">
        <v>#N/A</v>
      </c>
      <c r="I295" s="201" t="e">
        <v>#N/A</v>
      </c>
      <c r="J295" s="309" t="e">
        <v>#N/A</v>
      </c>
      <c r="K295" s="310" t="e">
        <v>#N/A</v>
      </c>
      <c r="L295" s="185" t="e">
        <v>#N/A</v>
      </c>
      <c r="M295" s="201" t="e">
        <v>#N/A</v>
      </c>
      <c r="N295" s="185" t="e">
        <v>#N/A</v>
      </c>
      <c r="O295" s="201" t="e">
        <v>#N/A</v>
      </c>
    </row>
    <row r="296" spans="7:15">
      <c r="G296" s="212" t="e">
        <v>#N/A</v>
      </c>
      <c r="H296" s="193" t="e">
        <v>#N/A</v>
      </c>
      <c r="I296" s="201" t="e">
        <v>#N/A</v>
      </c>
      <c r="J296" s="309" t="e">
        <v>#N/A</v>
      </c>
      <c r="K296" s="310" t="e">
        <v>#N/A</v>
      </c>
      <c r="L296" s="185" t="e">
        <v>#N/A</v>
      </c>
      <c r="M296" s="201" t="e">
        <v>#N/A</v>
      </c>
      <c r="N296" s="185" t="e">
        <v>#N/A</v>
      </c>
      <c r="O296" s="201" t="e">
        <v>#N/A</v>
      </c>
    </row>
    <row r="297" spans="7:15">
      <c r="G297" s="212" t="e">
        <v>#N/A</v>
      </c>
      <c r="H297" s="193" t="e">
        <v>#N/A</v>
      </c>
      <c r="I297" s="201" t="e">
        <v>#N/A</v>
      </c>
      <c r="J297" s="309" t="e">
        <v>#N/A</v>
      </c>
      <c r="K297" s="310" t="e">
        <v>#N/A</v>
      </c>
      <c r="L297" s="185" t="e">
        <v>#N/A</v>
      </c>
      <c r="M297" s="201" t="e">
        <v>#N/A</v>
      </c>
      <c r="N297" s="185" t="e">
        <v>#N/A</v>
      </c>
      <c r="O297" s="201" t="e">
        <v>#N/A</v>
      </c>
    </row>
    <row r="298" spans="7:15">
      <c r="G298" s="212" t="e">
        <v>#N/A</v>
      </c>
      <c r="H298" s="193" t="e">
        <v>#N/A</v>
      </c>
      <c r="I298" s="201" t="e">
        <v>#N/A</v>
      </c>
      <c r="J298" s="309" t="e">
        <v>#N/A</v>
      </c>
      <c r="K298" s="310" t="e">
        <v>#N/A</v>
      </c>
      <c r="L298" s="185" t="e">
        <v>#N/A</v>
      </c>
      <c r="M298" s="201" t="e">
        <v>#N/A</v>
      </c>
      <c r="N298" s="185" t="e">
        <v>#N/A</v>
      </c>
      <c r="O298" s="201" t="e">
        <v>#N/A</v>
      </c>
    </row>
    <row r="299" spans="7:15">
      <c r="G299" s="212" t="e">
        <v>#N/A</v>
      </c>
      <c r="H299" s="193" t="e">
        <v>#N/A</v>
      </c>
      <c r="I299" s="201" t="e">
        <v>#N/A</v>
      </c>
      <c r="J299" s="309" t="e">
        <v>#N/A</v>
      </c>
      <c r="K299" s="310" t="e">
        <v>#N/A</v>
      </c>
      <c r="L299" s="185" t="e">
        <v>#N/A</v>
      </c>
      <c r="M299" s="201" t="e">
        <v>#N/A</v>
      </c>
      <c r="N299" s="185" t="e">
        <v>#N/A</v>
      </c>
      <c r="O299" s="201" t="e">
        <v>#N/A</v>
      </c>
    </row>
    <row r="300" spans="7:15">
      <c r="G300" s="212" t="e">
        <v>#N/A</v>
      </c>
      <c r="H300" s="193" t="e">
        <v>#N/A</v>
      </c>
      <c r="I300" s="201" t="e">
        <v>#N/A</v>
      </c>
      <c r="J300" s="309" t="e">
        <v>#N/A</v>
      </c>
      <c r="K300" s="310" t="e">
        <v>#N/A</v>
      </c>
      <c r="L300" s="185" t="e">
        <v>#N/A</v>
      </c>
      <c r="M300" s="201" t="e">
        <v>#N/A</v>
      </c>
      <c r="N300" s="185" t="e">
        <v>#N/A</v>
      </c>
      <c r="O300" s="201" t="e">
        <v>#N/A</v>
      </c>
    </row>
    <row r="301" spans="7:15">
      <c r="G301" s="212" t="e">
        <v>#N/A</v>
      </c>
      <c r="H301" s="193" t="e">
        <v>#N/A</v>
      </c>
      <c r="I301" s="201" t="e">
        <v>#N/A</v>
      </c>
      <c r="J301" s="309" t="e">
        <v>#N/A</v>
      </c>
      <c r="K301" s="310" t="e">
        <v>#N/A</v>
      </c>
      <c r="L301" s="185" t="e">
        <v>#N/A</v>
      </c>
      <c r="M301" s="201" t="e">
        <v>#N/A</v>
      </c>
      <c r="N301" s="185" t="e">
        <v>#N/A</v>
      </c>
      <c r="O301" s="201" t="e">
        <v>#N/A</v>
      </c>
    </row>
    <row r="302" spans="7:15">
      <c r="G302" s="212" t="e">
        <v>#N/A</v>
      </c>
      <c r="H302" s="193" t="e">
        <v>#N/A</v>
      </c>
      <c r="I302" s="201" t="e">
        <v>#N/A</v>
      </c>
      <c r="J302" s="309" t="e">
        <v>#N/A</v>
      </c>
      <c r="K302" s="310" t="e">
        <v>#N/A</v>
      </c>
      <c r="L302" s="185" t="e">
        <v>#N/A</v>
      </c>
      <c r="M302" s="201" t="e">
        <v>#N/A</v>
      </c>
      <c r="N302" s="185" t="e">
        <v>#N/A</v>
      </c>
      <c r="O302" s="201" t="e">
        <v>#N/A</v>
      </c>
    </row>
    <row r="303" spans="7:15">
      <c r="G303" s="212" t="e">
        <v>#N/A</v>
      </c>
      <c r="H303" s="193" t="e">
        <v>#N/A</v>
      </c>
      <c r="I303" s="201" t="e">
        <v>#N/A</v>
      </c>
      <c r="J303" s="309" t="e">
        <v>#N/A</v>
      </c>
      <c r="K303" s="310" t="e">
        <v>#N/A</v>
      </c>
      <c r="L303" s="185" t="e">
        <v>#N/A</v>
      </c>
      <c r="M303" s="201" t="e">
        <v>#N/A</v>
      </c>
      <c r="N303" s="185" t="e">
        <v>#N/A</v>
      </c>
      <c r="O303" s="201" t="e">
        <v>#N/A</v>
      </c>
    </row>
    <row r="304" spans="7:15">
      <c r="G304" s="212" t="e">
        <v>#N/A</v>
      </c>
      <c r="H304" s="193" t="e">
        <v>#N/A</v>
      </c>
      <c r="I304" s="201" t="e">
        <v>#N/A</v>
      </c>
      <c r="J304" s="309" t="e">
        <v>#N/A</v>
      </c>
      <c r="K304" s="310" t="e">
        <v>#N/A</v>
      </c>
      <c r="L304" s="185" t="e">
        <v>#N/A</v>
      </c>
      <c r="M304" s="201" t="e">
        <v>#N/A</v>
      </c>
      <c r="N304" s="185" t="e">
        <v>#N/A</v>
      </c>
      <c r="O304" s="201" t="e">
        <v>#N/A</v>
      </c>
    </row>
    <row r="305" spans="7:15">
      <c r="G305" s="212" t="e">
        <v>#N/A</v>
      </c>
      <c r="H305" s="193" t="e">
        <v>#N/A</v>
      </c>
      <c r="I305" s="201" t="e">
        <v>#N/A</v>
      </c>
      <c r="J305" s="309" t="e">
        <v>#N/A</v>
      </c>
      <c r="K305" s="310" t="e">
        <v>#N/A</v>
      </c>
      <c r="L305" s="185" t="e">
        <v>#N/A</v>
      </c>
      <c r="M305" s="201" t="e">
        <v>#N/A</v>
      </c>
      <c r="N305" s="185" t="e">
        <v>#N/A</v>
      </c>
      <c r="O305" s="201" t="e">
        <v>#N/A</v>
      </c>
    </row>
    <row r="306" spans="7:15">
      <c r="G306" s="230" t="e">
        <v>#N/A</v>
      </c>
      <c r="H306" s="307" t="e">
        <v>#N/A</v>
      </c>
      <c r="I306" s="204" t="e">
        <v>#N/A</v>
      </c>
      <c r="J306" s="311" t="e">
        <v>#N/A</v>
      </c>
      <c r="K306" s="312" t="e">
        <v>#N/A</v>
      </c>
      <c r="L306" s="195" t="e">
        <v>#N/A</v>
      </c>
      <c r="M306" s="204" t="e">
        <v>#N/A</v>
      </c>
      <c r="N306" s="195" t="e">
        <v>#N/A</v>
      </c>
      <c r="O306" s="204" t="e">
        <v>#N/A</v>
      </c>
    </row>
  </sheetData>
  <pageMargins left="0.7" right="0.7" top="0.78740157499999996" bottom="0.78740157499999996"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tblTernaryDiagEos"/>
  <dimension ref="A1:AS307"/>
  <sheetViews>
    <sheetView zoomScale="90" zoomScaleNormal="90" workbookViewId="0">
      <selection activeCell="B7" sqref="B7"/>
    </sheetView>
  </sheetViews>
  <sheetFormatPr baseColWidth="10" defaultColWidth="11.42578125" defaultRowHeight="15"/>
  <cols>
    <col min="1" max="1" width="15.7109375" style="141" customWidth="1"/>
    <col min="2" max="2" width="13.7109375" style="141" customWidth="1"/>
    <col min="3" max="5" width="9.7109375" style="141" customWidth="1"/>
    <col min="6" max="6" width="9.7109375" style="163" customWidth="1"/>
    <col min="7" max="7" width="100.7109375" style="141" customWidth="1"/>
    <col min="8" max="8" width="12.7109375" style="141" customWidth="1"/>
    <col min="9" max="10" width="25.7109375" style="144" customWidth="1"/>
    <col min="11" max="13" width="18.7109375" style="145" customWidth="1"/>
    <col min="14" max="14" width="28.7109375" style="145" customWidth="1"/>
    <col min="15" max="16" width="18.7109375" style="145" customWidth="1"/>
    <col min="17" max="18" width="25.7109375" style="144" customWidth="1"/>
    <col min="19" max="21" width="18.7109375" style="145" customWidth="1"/>
    <col min="22" max="22" width="28.7109375" style="145" customWidth="1"/>
    <col min="23" max="24" width="18.7109375" style="145" customWidth="1"/>
    <col min="25" max="26" width="25.7109375" style="144" customWidth="1"/>
    <col min="27" max="29" width="18.7109375" style="145" customWidth="1"/>
    <col min="30" max="30" width="28.7109375" style="145" customWidth="1"/>
    <col min="31" max="32" width="18.7109375" style="145" customWidth="1"/>
    <col min="33" max="33" width="11.42578125" style="141"/>
    <col min="34" max="45" width="11.42578125" style="160"/>
    <col min="46" max="16384" width="11.42578125" style="141"/>
  </cols>
  <sheetData>
    <row r="1" spans="1:45" ht="15" customHeight="1">
      <c r="D1" s="142"/>
      <c r="I1" s="143"/>
      <c r="AH1" s="146"/>
      <c r="AI1" s="146"/>
      <c r="AJ1" s="146"/>
      <c r="AK1" s="146"/>
      <c r="AL1" s="146"/>
      <c r="AM1" s="146"/>
      <c r="AN1" s="146"/>
      <c r="AO1" s="146"/>
      <c r="AP1" s="146"/>
      <c r="AQ1" s="146"/>
      <c r="AR1" s="146"/>
      <c r="AS1" s="146"/>
    </row>
    <row r="2" spans="1:45" ht="18.75" customHeight="1">
      <c r="A2" s="115" t="s">
        <v>14</v>
      </c>
      <c r="H2" s="115" t="s">
        <v>365</v>
      </c>
      <c r="AH2" s="146"/>
      <c r="AI2" s="146"/>
      <c r="AJ2" s="146"/>
      <c r="AK2" s="146"/>
      <c r="AL2" s="146"/>
      <c r="AM2" s="146"/>
      <c r="AN2" s="146"/>
      <c r="AO2" s="146"/>
      <c r="AP2" s="146"/>
      <c r="AQ2" s="146"/>
      <c r="AR2" s="146"/>
      <c r="AS2" s="146"/>
    </row>
    <row r="3" spans="1:45" ht="15.75" customHeight="1">
      <c r="A3" s="148"/>
      <c r="H3" s="93" t="str">
        <f>[2]!ERRORTEXT(H4)</f>
        <v/>
      </c>
      <c r="AH3" s="146"/>
      <c r="AI3" s="146"/>
      <c r="AJ3" s="146"/>
      <c r="AK3" s="146"/>
      <c r="AL3" s="146"/>
      <c r="AM3" s="146"/>
      <c r="AN3" s="146"/>
      <c r="AO3" s="146"/>
      <c r="AP3" s="146"/>
      <c r="AQ3" s="146"/>
      <c r="AR3" s="146"/>
      <c r="AS3" s="146"/>
    </row>
    <row r="4" spans="1:45" ht="16.350000000000001" customHeight="1">
      <c r="A4" s="149" t="s">
        <v>0</v>
      </c>
      <c r="B4" s="181"/>
      <c r="H4" s="260" t="str">
        <f t="array" ref="H4:AF307">[2]!TERNARYDIAGEOS(B6,B7,A13:A15,C13:C15,D13,B4,B10)</f>
        <v/>
      </c>
      <c r="I4" s="217" t="str">
        <v>Two phase region 1</v>
      </c>
      <c r="J4" s="261" t="str">
        <v/>
      </c>
      <c r="K4" s="216" t="str">
        <v/>
      </c>
      <c r="L4" s="216" t="str">
        <v/>
      </c>
      <c r="M4" s="218" t="str">
        <v/>
      </c>
      <c r="N4" s="216" t="str">
        <v/>
      </c>
      <c r="O4" s="216" t="str">
        <v/>
      </c>
      <c r="P4" s="218" t="str">
        <v/>
      </c>
      <c r="Q4" s="217" t="e">
        <v>#N/A</v>
      </c>
      <c r="R4" s="261" t="e">
        <v>#N/A</v>
      </c>
      <c r="S4" s="216" t="e">
        <v>#N/A</v>
      </c>
      <c r="T4" s="216" t="e">
        <v>#N/A</v>
      </c>
      <c r="U4" s="218" t="e">
        <v>#N/A</v>
      </c>
      <c r="V4" s="216" t="e">
        <v>#N/A</v>
      </c>
      <c r="W4" s="216" t="e">
        <v>#N/A</v>
      </c>
      <c r="X4" s="218" t="e">
        <v>#N/A</v>
      </c>
      <c r="Y4" s="217" t="e">
        <v>#N/A</v>
      </c>
      <c r="Z4" s="261" t="e">
        <v>#N/A</v>
      </c>
      <c r="AA4" s="216" t="e">
        <v>#N/A</v>
      </c>
      <c r="AB4" s="216" t="e">
        <v>#N/A</v>
      </c>
      <c r="AC4" s="218" t="e">
        <v>#N/A</v>
      </c>
      <c r="AD4" s="216" t="e">
        <v>#N/A</v>
      </c>
      <c r="AE4" s="216" t="e">
        <v>#N/A</v>
      </c>
      <c r="AF4" s="218" t="e">
        <v>#N/A</v>
      </c>
      <c r="AH4" s="146"/>
      <c r="AI4" s="146"/>
      <c r="AJ4" s="146"/>
      <c r="AK4" s="146"/>
      <c r="AL4" s="146"/>
      <c r="AM4" s="146"/>
      <c r="AN4" s="146"/>
      <c r="AO4" s="146"/>
      <c r="AP4" s="146"/>
      <c r="AQ4" s="146"/>
      <c r="AR4" s="146"/>
      <c r="AS4" s="146"/>
    </row>
    <row r="5" spans="1:45" ht="16.350000000000001" customHeight="1">
      <c r="A5"/>
      <c r="B5"/>
      <c r="C5"/>
      <c r="D5"/>
      <c r="H5" s="211" t="str">
        <v>Point No.</v>
      </c>
      <c r="I5" s="209" t="str">
        <v>Liquid density</v>
      </c>
      <c r="J5" s="262" t="str">
        <v>Vapor (or liquid2) density</v>
      </c>
      <c r="K5" s="208" t="str">
        <v>Liquid composition</v>
      </c>
      <c r="L5" s="208" t="str">
        <v/>
      </c>
      <c r="M5" s="210" t="str">
        <v/>
      </c>
      <c r="N5" s="208" t="str">
        <v>Vapor (or liquid2) composition</v>
      </c>
      <c r="O5" s="208" t="str">
        <v/>
      </c>
      <c r="P5" s="210" t="str">
        <v/>
      </c>
      <c r="Q5" s="209" t="e">
        <v>#N/A</v>
      </c>
      <c r="R5" s="262" t="e">
        <v>#N/A</v>
      </c>
      <c r="S5" s="208" t="e">
        <v>#N/A</v>
      </c>
      <c r="T5" s="208" t="e">
        <v>#N/A</v>
      </c>
      <c r="U5" s="210" t="e">
        <v>#N/A</v>
      </c>
      <c r="V5" s="208" t="e">
        <v>#N/A</v>
      </c>
      <c r="W5" s="208" t="e">
        <v>#N/A</v>
      </c>
      <c r="X5" s="210" t="e">
        <v>#N/A</v>
      </c>
      <c r="Y5" s="209" t="e">
        <v>#N/A</v>
      </c>
      <c r="Z5" s="262" t="e">
        <v>#N/A</v>
      </c>
      <c r="AA5" s="208" t="e">
        <v>#N/A</v>
      </c>
      <c r="AB5" s="208" t="e">
        <v>#N/A</v>
      </c>
      <c r="AC5" s="210" t="e">
        <v>#N/A</v>
      </c>
      <c r="AD5" s="208" t="e">
        <v>#N/A</v>
      </c>
      <c r="AE5" s="208" t="e">
        <v>#N/A</v>
      </c>
      <c r="AF5" s="210" t="e">
        <v>#N/A</v>
      </c>
      <c r="AH5" s="265">
        <v>0.5</v>
      </c>
      <c r="AI5" s="265">
        <f>SQRT(3)/2</f>
        <v>0.8660254037844386</v>
      </c>
      <c r="AJ5" s="146"/>
      <c r="AK5" s="146"/>
      <c r="AL5" s="146"/>
      <c r="AM5" s="146"/>
      <c r="AN5" s="146"/>
      <c r="AO5" s="146"/>
      <c r="AP5" s="146"/>
      <c r="AQ5" s="146"/>
      <c r="AR5" s="146"/>
      <c r="AS5" s="146"/>
    </row>
    <row r="6" spans="1:45" ht="16.350000000000001" customHeight="1">
      <c r="A6" s="238" t="s">
        <v>28</v>
      </c>
      <c r="B6" s="221">
        <v>200</v>
      </c>
      <c r="C6" s="163" t="str">
        <f>[2]!PROPUNIT(A6)</f>
        <v>K</v>
      </c>
      <c r="H6" s="219" t="str">
        <v>i (max: 142)</v>
      </c>
      <c r="I6" s="217" t="str">
        <v>rho_liq</v>
      </c>
      <c r="J6" s="261" t="str">
        <v>rho_vap(or liq2)</v>
      </c>
      <c r="K6" s="216" t="str">
        <v>x_ethane</v>
      </c>
      <c r="L6" s="216" t="str">
        <v>x_methane</v>
      </c>
      <c r="M6" s="218" t="str">
        <v>x_nitrogen</v>
      </c>
      <c r="N6" s="216" t="str">
        <v>x_ethane</v>
      </c>
      <c r="O6" s="216" t="str">
        <v>x_methane</v>
      </c>
      <c r="P6" s="218" t="str">
        <v>x_nitrogen</v>
      </c>
      <c r="Q6" s="217" t="e">
        <v>#N/A</v>
      </c>
      <c r="R6" s="261" t="e">
        <v>#N/A</v>
      </c>
      <c r="S6" s="216" t="e">
        <v>#N/A</v>
      </c>
      <c r="T6" s="216" t="e">
        <v>#N/A</v>
      </c>
      <c r="U6" s="218" t="e">
        <v>#N/A</v>
      </c>
      <c r="V6" s="216" t="e">
        <v>#N/A</v>
      </c>
      <c r="W6" s="216" t="e">
        <v>#N/A</v>
      </c>
      <c r="X6" s="218" t="e">
        <v>#N/A</v>
      </c>
      <c r="Y6" s="217" t="e">
        <v>#N/A</v>
      </c>
      <c r="Z6" s="261" t="e">
        <v>#N/A</v>
      </c>
      <c r="AA6" s="216" t="e">
        <v>#N/A</v>
      </c>
      <c r="AB6" s="216" t="e">
        <v>#N/A</v>
      </c>
      <c r="AC6" s="218" t="e">
        <v>#N/A</v>
      </c>
      <c r="AD6" s="216" t="e">
        <v>#N/A</v>
      </c>
      <c r="AE6" s="216" t="e">
        <v>#N/A</v>
      </c>
      <c r="AF6" s="218" t="e">
        <v>#N/A</v>
      </c>
      <c r="AH6" s="263" t="s">
        <v>409</v>
      </c>
      <c r="AI6" s="263" t="s">
        <v>410</v>
      </c>
      <c r="AJ6" s="263" t="s">
        <v>411</v>
      </c>
      <c r="AK6" s="263" t="s">
        <v>412</v>
      </c>
      <c r="AL6" s="263" t="s">
        <v>409</v>
      </c>
      <c r="AM6" s="263" t="s">
        <v>410</v>
      </c>
      <c r="AN6" s="263" t="s">
        <v>411</v>
      </c>
      <c r="AO6" s="263" t="s">
        <v>412</v>
      </c>
      <c r="AP6" s="263" t="s">
        <v>409</v>
      </c>
      <c r="AQ6" s="263" t="s">
        <v>410</v>
      </c>
      <c r="AR6" s="263" t="s">
        <v>411</v>
      </c>
      <c r="AS6" s="263" t="s">
        <v>412</v>
      </c>
    </row>
    <row r="7" spans="1:45" ht="16.350000000000001" customHeight="1">
      <c r="A7" s="238" t="s">
        <v>29</v>
      </c>
      <c r="B7" s="221">
        <v>4</v>
      </c>
      <c r="C7" s="163" t="str">
        <f>[2]!PROPUNIT(A7)</f>
        <v>MPa</v>
      </c>
      <c r="H7" s="219" t="str">
        <v>1 (regions: 1)</v>
      </c>
      <c r="I7" s="217" t="str">
        <v>mol/m3</v>
      </c>
      <c r="J7" s="261" t="str">
        <v>mol/m3</v>
      </c>
      <c r="K7" s="216" t="str">
        <v>mol/mol</v>
      </c>
      <c r="L7" s="216" t="str">
        <v>mol/mol</v>
      </c>
      <c r="M7" s="218" t="str">
        <v>mol/mol</v>
      </c>
      <c r="N7" s="216" t="str">
        <v>mol/mol</v>
      </c>
      <c r="O7" s="216" t="str">
        <v>mol/mol</v>
      </c>
      <c r="P7" s="218" t="str">
        <v>mol/mol</v>
      </c>
      <c r="Q7" s="217" t="e">
        <v>#N/A</v>
      </c>
      <c r="R7" s="261" t="e">
        <v>#N/A</v>
      </c>
      <c r="S7" s="216" t="e">
        <v>#N/A</v>
      </c>
      <c r="T7" s="216" t="e">
        <v>#N/A</v>
      </c>
      <c r="U7" s="218" t="e">
        <v>#N/A</v>
      </c>
      <c r="V7" s="216" t="e">
        <v>#N/A</v>
      </c>
      <c r="W7" s="216" t="e">
        <v>#N/A</v>
      </c>
      <c r="X7" s="218" t="e">
        <v>#N/A</v>
      </c>
      <c r="Y7" s="217" t="e">
        <v>#N/A</v>
      </c>
      <c r="Z7" s="261" t="e">
        <v>#N/A</v>
      </c>
      <c r="AA7" s="216" t="e">
        <v>#N/A</v>
      </c>
      <c r="AB7" s="216" t="e">
        <v>#N/A</v>
      </c>
      <c r="AC7" s="218" t="e">
        <v>#N/A</v>
      </c>
      <c r="AD7" s="216" t="e">
        <v>#N/A</v>
      </c>
      <c r="AE7" s="216" t="e">
        <v>#N/A</v>
      </c>
      <c r="AF7" s="218" t="e">
        <v>#N/A</v>
      </c>
      <c r="AH7" s="264">
        <v>1</v>
      </c>
      <c r="AI7" s="264">
        <v>1</v>
      </c>
      <c r="AJ7" s="264">
        <v>1</v>
      </c>
      <c r="AK7" s="264">
        <v>1</v>
      </c>
      <c r="AL7" s="264">
        <v>1</v>
      </c>
      <c r="AM7" s="264">
        <v>1</v>
      </c>
      <c r="AN7" s="264">
        <v>1</v>
      </c>
      <c r="AO7" s="264">
        <v>1</v>
      </c>
      <c r="AP7" s="264">
        <v>1</v>
      </c>
      <c r="AQ7" s="264">
        <v>1</v>
      </c>
      <c r="AR7" s="264">
        <v>1</v>
      </c>
      <c r="AS7" s="264">
        <v>1</v>
      </c>
    </row>
    <row r="8" spans="1:45" ht="16.350000000000001" customHeight="1">
      <c r="H8" s="212">
        <v>1</v>
      </c>
      <c r="I8" s="205">
        <v>17268.635119480554</v>
      </c>
      <c r="J8" s="231">
        <v>3908.8251922715071</v>
      </c>
      <c r="K8" s="185">
        <v>0.23452686418907617</v>
      </c>
      <c r="L8" s="185">
        <v>0.7654731358109238</v>
      </c>
      <c r="M8" s="201">
        <v>0</v>
      </c>
      <c r="N8" s="185">
        <v>5.4521985679184919E-2</v>
      </c>
      <c r="O8" s="185">
        <v>0.94547801432081513</v>
      </c>
      <c r="P8" s="201">
        <v>0</v>
      </c>
      <c r="Q8" s="205" t="e">
        <v>#N/A</v>
      </c>
      <c r="R8" s="231" t="e">
        <v>#N/A</v>
      </c>
      <c r="S8" s="185" t="e">
        <v>#N/A</v>
      </c>
      <c r="T8" s="185" t="e">
        <v>#N/A</v>
      </c>
      <c r="U8" s="201" t="e">
        <v>#N/A</v>
      </c>
      <c r="V8" s="185" t="e">
        <v>#N/A</v>
      </c>
      <c r="W8" s="185" t="e">
        <v>#N/A</v>
      </c>
      <c r="X8" s="201" t="e">
        <v>#N/A</v>
      </c>
      <c r="Y8" s="205" t="e">
        <v>#N/A</v>
      </c>
      <c r="Z8" s="231" t="e">
        <v>#N/A</v>
      </c>
      <c r="AA8" s="185" t="e">
        <v>#N/A</v>
      </c>
      <c r="AB8" s="185" t="e">
        <v>#N/A</v>
      </c>
      <c r="AC8" s="201" t="e">
        <v>#N/A</v>
      </c>
      <c r="AD8" s="185" t="e">
        <v>#N/A</v>
      </c>
      <c r="AE8" s="185" t="e">
        <v>#N/A</v>
      </c>
      <c r="AF8" s="201" t="e">
        <v>#N/A</v>
      </c>
      <c r="AH8" s="152">
        <f>IFERROR(SUM(K8,L8*$AH$5),NA())</f>
        <v>0.61726343209453804</v>
      </c>
      <c r="AI8" s="152">
        <f>IFERROR(L8*$AI$5,NA())</f>
        <v>0.66291918152679574</v>
      </c>
      <c r="AJ8" s="152">
        <f>IFERROR(SUM(N8,O8*$AH$5),NA())</f>
        <v>0.52726099283959249</v>
      </c>
      <c r="AK8" s="152">
        <f>IFERROR(O8*$AI$5,NA())</f>
        <v>0.81880797912149317</v>
      </c>
      <c r="AL8" s="152" t="e">
        <f>IFERROR(SUM(S8,T8*$AH$5),NA())</f>
        <v>#N/A</v>
      </c>
      <c r="AM8" s="152" t="e">
        <f>IFERROR(T8*$AI$5,NA())</f>
        <v>#N/A</v>
      </c>
      <c r="AN8" s="152" t="e">
        <f>IFERROR(SUM(V8,W8*$AH$5),NA())</f>
        <v>#N/A</v>
      </c>
      <c r="AO8" s="152" t="e">
        <f>IFERROR(W8*$AI$5,NA())</f>
        <v>#N/A</v>
      </c>
      <c r="AP8" s="152" t="e">
        <f>IFERROR(SUM(AA8,AB8*$AH$5),NA())</f>
        <v>#N/A</v>
      </c>
      <c r="AQ8" s="152" t="e">
        <f>IFERROR(AB8*$AI$5,NA())</f>
        <v>#N/A</v>
      </c>
      <c r="AR8" s="152" t="e">
        <f>IFERROR(SUM(AD8,AE8*$AH$5),NA())</f>
        <v>#N/A</v>
      </c>
      <c r="AS8" s="152" t="e">
        <f>IFERROR(AE8*$AI$5,NA())</f>
        <v>#N/A</v>
      </c>
    </row>
    <row r="9" spans="1:45" ht="16.350000000000001" customHeight="1">
      <c r="H9" s="212">
        <v>2</v>
      </c>
      <c r="I9" s="205">
        <v>17312.82154971869</v>
      </c>
      <c r="J9" s="231">
        <v>3884.5176929112895</v>
      </c>
      <c r="K9" s="185">
        <v>0.24082860796299177</v>
      </c>
      <c r="L9" s="185">
        <v>0.75692166806366523</v>
      </c>
      <c r="M9" s="201">
        <v>2.2497239733429986E-3</v>
      </c>
      <c r="N9" s="185">
        <v>5.5260521644135474E-2</v>
      </c>
      <c r="O9" s="185">
        <v>0.93719026018544782</v>
      </c>
      <c r="P9" s="201">
        <v>7.5492181704166494E-3</v>
      </c>
      <c r="Q9" s="205" t="e">
        <v>#N/A</v>
      </c>
      <c r="R9" s="231" t="e">
        <v>#N/A</v>
      </c>
      <c r="S9" s="185" t="e">
        <v>#N/A</v>
      </c>
      <c r="T9" s="185" t="e">
        <v>#N/A</v>
      </c>
      <c r="U9" s="201" t="e">
        <v>#N/A</v>
      </c>
      <c r="V9" s="185" t="e">
        <v>#N/A</v>
      </c>
      <c r="W9" s="185" t="e">
        <v>#N/A</v>
      </c>
      <c r="X9" s="201" t="e">
        <v>#N/A</v>
      </c>
      <c r="Y9" s="205" t="e">
        <v>#N/A</v>
      </c>
      <c r="Z9" s="231" t="e">
        <v>#N/A</v>
      </c>
      <c r="AA9" s="185" t="e">
        <v>#N/A</v>
      </c>
      <c r="AB9" s="185" t="e">
        <v>#N/A</v>
      </c>
      <c r="AC9" s="201" t="e">
        <v>#N/A</v>
      </c>
      <c r="AD9" s="185" t="e">
        <v>#N/A</v>
      </c>
      <c r="AE9" s="185" t="e">
        <v>#N/A</v>
      </c>
      <c r="AF9" s="201" t="e">
        <v>#N/A</v>
      </c>
      <c r="AH9" s="152">
        <f t="shared" ref="AH9:AH72" si="0">IFERROR(SUM(K9,L9*$AH$5),NA())</f>
        <v>0.61928944199482439</v>
      </c>
      <c r="AI9" s="152">
        <f t="shared" ref="AI9:AI72" si="1">IFERROR(L9*$AI$5,NA())</f>
        <v>0.65551339321802649</v>
      </c>
      <c r="AJ9" s="152">
        <f t="shared" ref="AJ9:AJ72" si="2">IFERROR(SUM(N9,O9*$AH$5),NA())</f>
        <v>0.52385565173685933</v>
      </c>
      <c r="AK9" s="152">
        <f t="shared" ref="AK9:AK72" si="3">IFERROR(O9*$AI$5,NA())</f>
        <v>0.8116305734999455</v>
      </c>
      <c r="AL9" s="152" t="e">
        <f t="shared" ref="AL9:AL72" si="4">IFERROR(SUM(S9,T9*$AH$5),NA())</f>
        <v>#N/A</v>
      </c>
      <c r="AM9" s="152" t="e">
        <f t="shared" ref="AM9:AM72" si="5">IFERROR(T9*$AI$5,NA())</f>
        <v>#N/A</v>
      </c>
      <c r="AN9" s="152" t="e">
        <f t="shared" ref="AN9:AN72" si="6">IFERROR(SUM(V9,W9*$AH$5),NA())</f>
        <v>#N/A</v>
      </c>
      <c r="AO9" s="152" t="e">
        <f t="shared" ref="AO9:AO72" si="7">IFERROR(W9*$AI$5,NA())</f>
        <v>#N/A</v>
      </c>
      <c r="AP9" s="152" t="e">
        <f t="shared" ref="AP9:AP72" si="8">IFERROR(SUM(AA9,AB9*$AH$5),NA())</f>
        <v>#N/A</v>
      </c>
      <c r="AQ9" s="152" t="e">
        <f t="shared" ref="AQ9:AQ72" si="9">IFERROR(AB9*$AI$5,NA())</f>
        <v>#N/A</v>
      </c>
      <c r="AR9" s="152" t="e">
        <f t="shared" ref="AR9:AR72" si="10">IFERROR(SUM(AD9,AE9*$AH$5),NA())</f>
        <v>#N/A</v>
      </c>
      <c r="AS9" s="152" t="e">
        <f t="shared" ref="AS9:AS72" si="11">IFERROR(AE9*$AI$5,NA())</f>
        <v>#N/A</v>
      </c>
    </row>
    <row r="10" spans="1:45" ht="16.350000000000001" customHeight="1">
      <c r="A10" s="150" t="s">
        <v>374</v>
      </c>
      <c r="B10" s="181" t="b">
        <v>1</v>
      </c>
      <c r="H10" s="212">
        <v>3</v>
      </c>
      <c r="I10" s="205">
        <v>17343.830560547482</v>
      </c>
      <c r="J10" s="231">
        <v>3867.2752766204535</v>
      </c>
      <c r="K10" s="185">
        <v>0.24540698787196105</v>
      </c>
      <c r="L10" s="185">
        <v>0.75073951899819757</v>
      </c>
      <c r="M10" s="201">
        <v>3.853493129841401E-3</v>
      </c>
      <c r="N10" s="185">
        <v>5.578796960372942E-2</v>
      </c>
      <c r="O10" s="185">
        <v>0.93117170375933167</v>
      </c>
      <c r="P10" s="201">
        <v>1.3040326636938881E-2</v>
      </c>
      <c r="Q10" s="205" t="e">
        <v>#N/A</v>
      </c>
      <c r="R10" s="231" t="e">
        <v>#N/A</v>
      </c>
      <c r="S10" s="185" t="e">
        <v>#N/A</v>
      </c>
      <c r="T10" s="185" t="e">
        <v>#N/A</v>
      </c>
      <c r="U10" s="201" t="e">
        <v>#N/A</v>
      </c>
      <c r="V10" s="185" t="e">
        <v>#N/A</v>
      </c>
      <c r="W10" s="185" t="e">
        <v>#N/A</v>
      </c>
      <c r="X10" s="201" t="e">
        <v>#N/A</v>
      </c>
      <c r="Y10" s="205" t="e">
        <v>#N/A</v>
      </c>
      <c r="Z10" s="231" t="e">
        <v>#N/A</v>
      </c>
      <c r="AA10" s="185" t="e">
        <v>#N/A</v>
      </c>
      <c r="AB10" s="185" t="e">
        <v>#N/A</v>
      </c>
      <c r="AC10" s="201" t="e">
        <v>#N/A</v>
      </c>
      <c r="AD10" s="185" t="e">
        <v>#N/A</v>
      </c>
      <c r="AE10" s="185" t="e">
        <v>#N/A</v>
      </c>
      <c r="AF10" s="201" t="e">
        <v>#N/A</v>
      </c>
      <c r="AH10" s="152">
        <f t="shared" si="0"/>
        <v>0.62077674737105981</v>
      </c>
      <c r="AI10" s="152">
        <f t="shared" si="1"/>
        <v>0.65015949507734927</v>
      </c>
      <c r="AJ10" s="152">
        <f t="shared" si="2"/>
        <v>0.52137382148339528</v>
      </c>
      <c r="AK10" s="152">
        <f t="shared" si="3"/>
        <v>0.8064183507408188</v>
      </c>
      <c r="AL10" s="152" t="e">
        <f t="shared" si="4"/>
        <v>#N/A</v>
      </c>
      <c r="AM10" s="152" t="e">
        <f t="shared" si="5"/>
        <v>#N/A</v>
      </c>
      <c r="AN10" s="152" t="e">
        <f t="shared" si="6"/>
        <v>#N/A</v>
      </c>
      <c r="AO10" s="152" t="e">
        <f t="shared" si="7"/>
        <v>#N/A</v>
      </c>
      <c r="AP10" s="152" t="e">
        <f t="shared" si="8"/>
        <v>#N/A</v>
      </c>
      <c r="AQ10" s="152" t="e">
        <f t="shared" si="9"/>
        <v>#N/A</v>
      </c>
      <c r="AR10" s="152" t="e">
        <f t="shared" si="10"/>
        <v>#N/A</v>
      </c>
      <c r="AS10" s="152" t="e">
        <f t="shared" si="11"/>
        <v>#N/A</v>
      </c>
    </row>
    <row r="11" spans="1:45" ht="16.350000000000001" customHeight="1">
      <c r="H11" s="212">
        <v>4</v>
      </c>
      <c r="I11" s="205">
        <v>17374.008919428601</v>
      </c>
      <c r="J11" s="231">
        <v>3850.3342854315879</v>
      </c>
      <c r="K11" s="185">
        <v>0.24999504459233485</v>
      </c>
      <c r="L11" s="185">
        <v>0.74456940333108734</v>
      </c>
      <c r="M11" s="201">
        <v>5.4355520765777543E-3</v>
      </c>
      <c r="N11" s="185">
        <v>5.6309126974025889E-2</v>
      </c>
      <c r="O11" s="185">
        <v>0.92514231794558843</v>
      </c>
      <c r="P11" s="201">
        <v>1.8548555080385665E-2</v>
      </c>
      <c r="Q11" s="205" t="e">
        <v>#N/A</v>
      </c>
      <c r="R11" s="231" t="e">
        <v>#N/A</v>
      </c>
      <c r="S11" s="185" t="e">
        <v>#N/A</v>
      </c>
      <c r="T11" s="185" t="e">
        <v>#N/A</v>
      </c>
      <c r="U11" s="201" t="e">
        <v>#N/A</v>
      </c>
      <c r="V11" s="185" t="e">
        <v>#N/A</v>
      </c>
      <c r="W11" s="185" t="e">
        <v>#N/A</v>
      </c>
      <c r="X11" s="201" t="e">
        <v>#N/A</v>
      </c>
      <c r="Y11" s="205" t="e">
        <v>#N/A</v>
      </c>
      <c r="Z11" s="231" t="e">
        <v>#N/A</v>
      </c>
      <c r="AA11" s="185" t="e">
        <v>#N/A</v>
      </c>
      <c r="AB11" s="185" t="e">
        <v>#N/A</v>
      </c>
      <c r="AC11" s="201" t="e">
        <v>#N/A</v>
      </c>
      <c r="AD11" s="185" t="e">
        <v>#N/A</v>
      </c>
      <c r="AE11" s="185" t="e">
        <v>#N/A</v>
      </c>
      <c r="AF11" s="201" t="e">
        <v>#N/A</v>
      </c>
      <c r="AH11" s="152">
        <f t="shared" si="0"/>
        <v>0.62227974625787852</v>
      </c>
      <c r="AI11" s="152">
        <f t="shared" si="1"/>
        <v>0.6448160181653434</v>
      </c>
      <c r="AJ11" s="152">
        <f t="shared" si="2"/>
        <v>0.51888028594682012</v>
      </c>
      <c r="AK11" s="152">
        <f t="shared" si="3"/>
        <v>0.80119674945689967</v>
      </c>
      <c r="AL11" s="152" t="e">
        <f t="shared" si="4"/>
        <v>#N/A</v>
      </c>
      <c r="AM11" s="152" t="e">
        <f t="shared" si="5"/>
        <v>#N/A</v>
      </c>
      <c r="AN11" s="152" t="e">
        <f t="shared" si="6"/>
        <v>#N/A</v>
      </c>
      <c r="AO11" s="152" t="e">
        <f t="shared" si="7"/>
        <v>#N/A</v>
      </c>
      <c r="AP11" s="152" t="e">
        <f t="shared" si="8"/>
        <v>#N/A</v>
      </c>
      <c r="AQ11" s="152" t="e">
        <f t="shared" si="9"/>
        <v>#N/A</v>
      </c>
      <c r="AR11" s="152" t="e">
        <f t="shared" si="10"/>
        <v>#N/A</v>
      </c>
      <c r="AS11" s="152" t="e">
        <f t="shared" si="11"/>
        <v>#N/A</v>
      </c>
    </row>
    <row r="12" spans="1:45" ht="16.350000000000001" customHeight="1">
      <c r="A12" s="149" t="s">
        <v>1</v>
      </c>
      <c r="C12" s="149" t="s">
        <v>87</v>
      </c>
      <c r="D12" s="149" t="s">
        <v>88</v>
      </c>
      <c r="H12" s="212">
        <v>5</v>
      </c>
      <c r="I12" s="205">
        <v>17403.374916064233</v>
      </c>
      <c r="J12" s="231">
        <v>3833.6838556098564</v>
      </c>
      <c r="K12" s="185">
        <v>0.25459288063868524</v>
      </c>
      <c r="L12" s="185">
        <v>0.7384106455464533</v>
      </c>
      <c r="M12" s="201">
        <v>6.9964738148614591E-3</v>
      </c>
      <c r="N12" s="185">
        <v>5.6824180712579504E-2</v>
      </c>
      <c r="O12" s="185">
        <v>0.91910162925047956</v>
      </c>
      <c r="P12" s="201">
        <v>2.407419003694089E-2</v>
      </c>
      <c r="Q12" s="205" t="e">
        <v>#N/A</v>
      </c>
      <c r="R12" s="231" t="e">
        <v>#N/A</v>
      </c>
      <c r="S12" s="185" t="e">
        <v>#N/A</v>
      </c>
      <c r="T12" s="185" t="e">
        <v>#N/A</v>
      </c>
      <c r="U12" s="201" t="e">
        <v>#N/A</v>
      </c>
      <c r="V12" s="185" t="e">
        <v>#N/A</v>
      </c>
      <c r="W12" s="185" t="e">
        <v>#N/A</v>
      </c>
      <c r="X12" s="201" t="e">
        <v>#N/A</v>
      </c>
      <c r="Y12" s="205" t="e">
        <v>#N/A</v>
      </c>
      <c r="Z12" s="231" t="e">
        <v>#N/A</v>
      </c>
      <c r="AA12" s="185" t="e">
        <v>#N/A</v>
      </c>
      <c r="AB12" s="185" t="e">
        <v>#N/A</v>
      </c>
      <c r="AC12" s="201" t="e">
        <v>#N/A</v>
      </c>
      <c r="AD12" s="185" t="e">
        <v>#N/A</v>
      </c>
      <c r="AE12" s="185" t="e">
        <v>#N/A</v>
      </c>
      <c r="AF12" s="201" t="e">
        <v>#N/A</v>
      </c>
      <c r="AH12" s="152">
        <f t="shared" si="0"/>
        <v>0.62379820341191183</v>
      </c>
      <c r="AI12" s="152">
        <f t="shared" si="1"/>
        <v>0.63948237746809522</v>
      </c>
      <c r="AJ12" s="152">
        <f t="shared" si="2"/>
        <v>0.51637499533781928</v>
      </c>
      <c r="AK12" s="152">
        <f t="shared" si="3"/>
        <v>0.7959653595905819</v>
      </c>
      <c r="AL12" s="152" t="e">
        <f t="shared" si="4"/>
        <v>#N/A</v>
      </c>
      <c r="AM12" s="152" t="e">
        <f t="shared" si="5"/>
        <v>#N/A</v>
      </c>
      <c r="AN12" s="152" t="e">
        <f t="shared" si="6"/>
        <v>#N/A</v>
      </c>
      <c r="AO12" s="152" t="e">
        <f t="shared" si="7"/>
        <v>#N/A</v>
      </c>
      <c r="AP12" s="152" t="e">
        <f t="shared" si="8"/>
        <v>#N/A</v>
      </c>
      <c r="AQ12" s="152" t="e">
        <f t="shared" si="9"/>
        <v>#N/A</v>
      </c>
      <c r="AR12" s="152" t="e">
        <f t="shared" si="10"/>
        <v>#N/A</v>
      </c>
      <c r="AS12" s="152" t="e">
        <f t="shared" si="11"/>
        <v>#N/A</v>
      </c>
    </row>
    <row r="13" spans="1:45" ht="16.350000000000001" customHeight="1">
      <c r="A13" s="255" t="s">
        <v>367</v>
      </c>
      <c r="C13" s="181">
        <v>1</v>
      </c>
      <c r="D13" s="181">
        <v>1</v>
      </c>
      <c r="H13" s="212">
        <v>6</v>
      </c>
      <c r="I13" s="205">
        <v>17431.943630793179</v>
      </c>
      <c r="J13" s="231">
        <v>3817.3150896882635</v>
      </c>
      <c r="K13" s="185">
        <v>0.25920017182463001</v>
      </c>
      <c r="L13" s="185">
        <v>0.73226316758435384</v>
      </c>
      <c r="M13" s="201">
        <v>8.5366605910162097E-3</v>
      </c>
      <c r="N13" s="185">
        <v>5.7333251146863093E-2</v>
      </c>
      <c r="O13" s="185">
        <v>0.91304972335150736</v>
      </c>
      <c r="P13" s="201">
        <v>2.961702550162959E-2</v>
      </c>
      <c r="Q13" s="205" t="e">
        <v>#N/A</v>
      </c>
      <c r="R13" s="231" t="e">
        <v>#N/A</v>
      </c>
      <c r="S13" s="185" t="e">
        <v>#N/A</v>
      </c>
      <c r="T13" s="185" t="e">
        <v>#N/A</v>
      </c>
      <c r="U13" s="201" t="e">
        <v>#N/A</v>
      </c>
      <c r="V13" s="185" t="e">
        <v>#N/A</v>
      </c>
      <c r="W13" s="185" t="e">
        <v>#N/A</v>
      </c>
      <c r="X13" s="201" t="e">
        <v>#N/A</v>
      </c>
      <c r="Y13" s="205" t="e">
        <v>#N/A</v>
      </c>
      <c r="Z13" s="231" t="e">
        <v>#N/A</v>
      </c>
      <c r="AA13" s="185" t="e">
        <v>#N/A</v>
      </c>
      <c r="AB13" s="185" t="e">
        <v>#N/A</v>
      </c>
      <c r="AC13" s="201" t="e">
        <v>#N/A</v>
      </c>
      <c r="AD13" s="185" t="e">
        <v>#N/A</v>
      </c>
      <c r="AE13" s="185" t="e">
        <v>#N/A</v>
      </c>
      <c r="AF13" s="201" t="e">
        <v>#N/A</v>
      </c>
      <c r="AH13" s="152">
        <f t="shared" si="0"/>
        <v>0.62533175561680698</v>
      </c>
      <c r="AI13" s="152">
        <f t="shared" si="1"/>
        <v>0.6341585053837121</v>
      </c>
      <c r="AJ13" s="152">
        <f t="shared" si="2"/>
        <v>0.51385811282261673</v>
      </c>
      <c r="AK13" s="152">
        <f t="shared" si="3"/>
        <v>0.79072425534075907</v>
      </c>
      <c r="AL13" s="152" t="e">
        <f t="shared" si="4"/>
        <v>#N/A</v>
      </c>
      <c r="AM13" s="152" t="e">
        <f t="shared" si="5"/>
        <v>#N/A</v>
      </c>
      <c r="AN13" s="152" t="e">
        <f t="shared" si="6"/>
        <v>#N/A</v>
      </c>
      <c r="AO13" s="152" t="e">
        <f t="shared" si="7"/>
        <v>#N/A</v>
      </c>
      <c r="AP13" s="152" t="e">
        <f t="shared" si="8"/>
        <v>#N/A</v>
      </c>
      <c r="AQ13" s="152" t="e">
        <f t="shared" si="9"/>
        <v>#N/A</v>
      </c>
      <c r="AR13" s="152" t="e">
        <f t="shared" si="10"/>
        <v>#N/A</v>
      </c>
      <c r="AS13" s="152" t="e">
        <f t="shared" si="11"/>
        <v>#N/A</v>
      </c>
    </row>
    <row r="14" spans="1:45" ht="16.350000000000001" customHeight="1">
      <c r="A14" s="255" t="s">
        <v>242</v>
      </c>
      <c r="C14" s="181">
        <v>1</v>
      </c>
      <c r="H14" s="212">
        <v>7</v>
      </c>
      <c r="I14" s="205">
        <v>17459.729900504411</v>
      </c>
      <c r="J14" s="231">
        <v>3801.2194565763921</v>
      </c>
      <c r="K14" s="185">
        <v>0.26381660194943168</v>
      </c>
      <c r="L14" s="185">
        <v>0.72612689798995211</v>
      </c>
      <c r="M14" s="201">
        <v>1.0056500060616202E-2</v>
      </c>
      <c r="N14" s="185">
        <v>5.7836448937175322E-2</v>
      </c>
      <c r="O14" s="185">
        <v>0.90698667371189357</v>
      </c>
      <c r="P14" s="201">
        <v>3.5176877350931113E-2</v>
      </c>
      <c r="Q14" s="205" t="e">
        <v>#N/A</v>
      </c>
      <c r="R14" s="231" t="e">
        <v>#N/A</v>
      </c>
      <c r="S14" s="185" t="e">
        <v>#N/A</v>
      </c>
      <c r="T14" s="185" t="e">
        <v>#N/A</v>
      </c>
      <c r="U14" s="201" t="e">
        <v>#N/A</v>
      </c>
      <c r="V14" s="185" t="e">
        <v>#N/A</v>
      </c>
      <c r="W14" s="185" t="e">
        <v>#N/A</v>
      </c>
      <c r="X14" s="201" t="e">
        <v>#N/A</v>
      </c>
      <c r="Y14" s="205" t="e">
        <v>#N/A</v>
      </c>
      <c r="Z14" s="231" t="e">
        <v>#N/A</v>
      </c>
      <c r="AA14" s="185" t="e">
        <v>#N/A</v>
      </c>
      <c r="AB14" s="185" t="e">
        <v>#N/A</v>
      </c>
      <c r="AC14" s="201" t="e">
        <v>#N/A</v>
      </c>
      <c r="AD14" s="185" t="e">
        <v>#N/A</v>
      </c>
      <c r="AE14" s="185" t="e">
        <v>#N/A</v>
      </c>
      <c r="AF14" s="201" t="e">
        <v>#N/A</v>
      </c>
      <c r="AH14" s="152">
        <f t="shared" si="0"/>
        <v>0.62688005094440769</v>
      </c>
      <c r="AI14" s="152">
        <f t="shared" si="1"/>
        <v>0.62884434003049017</v>
      </c>
      <c r="AJ14" s="152">
        <f t="shared" si="2"/>
        <v>0.51132978579312205</v>
      </c>
      <c r="AK14" s="152">
        <f t="shared" si="3"/>
        <v>0.78547350032844754</v>
      </c>
      <c r="AL14" s="152" t="e">
        <f t="shared" si="4"/>
        <v>#N/A</v>
      </c>
      <c r="AM14" s="152" t="e">
        <f t="shared" si="5"/>
        <v>#N/A</v>
      </c>
      <c r="AN14" s="152" t="e">
        <f t="shared" si="6"/>
        <v>#N/A</v>
      </c>
      <c r="AO14" s="152" t="e">
        <f t="shared" si="7"/>
        <v>#N/A</v>
      </c>
      <c r="AP14" s="152" t="e">
        <f t="shared" si="8"/>
        <v>#N/A</v>
      </c>
      <c r="AQ14" s="152" t="e">
        <f t="shared" si="9"/>
        <v>#N/A</v>
      </c>
      <c r="AR14" s="152" t="e">
        <f t="shared" si="10"/>
        <v>#N/A</v>
      </c>
      <c r="AS14" s="152" t="e">
        <f t="shared" si="11"/>
        <v>#N/A</v>
      </c>
    </row>
    <row r="15" spans="1:45" ht="16.350000000000001" customHeight="1">
      <c r="A15" s="255" t="s">
        <v>364</v>
      </c>
      <c r="C15" s="181">
        <v>1</v>
      </c>
      <c r="H15" s="212">
        <v>8</v>
      </c>
      <c r="I15" s="205">
        <v>17486.74829675307</v>
      </c>
      <c r="J15" s="231">
        <v>3785.3888122501803</v>
      </c>
      <c r="K15" s="185">
        <v>0.26844186107308804</v>
      </c>
      <c r="L15" s="185">
        <v>0.72000177221874329</v>
      </c>
      <c r="M15" s="201">
        <v>1.1556366708168619E-2</v>
      </c>
      <c r="N15" s="185">
        <v>5.833387864202183E-2</v>
      </c>
      <c r="O15" s="185">
        <v>0.90091254436479162</v>
      </c>
      <c r="P15" s="201">
        <v>4.0753576993186602E-2</v>
      </c>
      <c r="Q15" s="205" t="e">
        <v>#N/A</v>
      </c>
      <c r="R15" s="231" t="e">
        <v>#N/A</v>
      </c>
      <c r="S15" s="185" t="e">
        <v>#N/A</v>
      </c>
      <c r="T15" s="185" t="e">
        <v>#N/A</v>
      </c>
      <c r="U15" s="201" t="e">
        <v>#N/A</v>
      </c>
      <c r="V15" s="185" t="e">
        <v>#N/A</v>
      </c>
      <c r="W15" s="185" t="e">
        <v>#N/A</v>
      </c>
      <c r="X15" s="201" t="e">
        <v>#N/A</v>
      </c>
      <c r="Y15" s="205" t="e">
        <v>#N/A</v>
      </c>
      <c r="Z15" s="231" t="e">
        <v>#N/A</v>
      </c>
      <c r="AA15" s="185" t="e">
        <v>#N/A</v>
      </c>
      <c r="AB15" s="185" t="e">
        <v>#N/A</v>
      </c>
      <c r="AC15" s="201" t="e">
        <v>#N/A</v>
      </c>
      <c r="AD15" s="185" t="e">
        <v>#N/A</v>
      </c>
      <c r="AE15" s="185" t="e">
        <v>#N/A</v>
      </c>
      <c r="AF15" s="201" t="e">
        <v>#N/A</v>
      </c>
      <c r="AH15" s="152">
        <f t="shared" si="0"/>
        <v>0.62844274718245963</v>
      </c>
      <c r="AI15" s="152">
        <f t="shared" si="1"/>
        <v>0.62353982551124854</v>
      </c>
      <c r="AJ15" s="152">
        <f t="shared" si="2"/>
        <v>0.5087901508244177</v>
      </c>
      <c r="AK15" s="152">
        <f t="shared" si="3"/>
        <v>0.78021315000798463</v>
      </c>
      <c r="AL15" s="152" t="e">
        <f t="shared" si="4"/>
        <v>#N/A</v>
      </c>
      <c r="AM15" s="152" t="e">
        <f t="shared" si="5"/>
        <v>#N/A</v>
      </c>
      <c r="AN15" s="152" t="e">
        <f t="shared" si="6"/>
        <v>#N/A</v>
      </c>
      <c r="AO15" s="152" t="e">
        <f t="shared" si="7"/>
        <v>#N/A</v>
      </c>
      <c r="AP15" s="152" t="e">
        <f t="shared" si="8"/>
        <v>#N/A</v>
      </c>
      <c r="AQ15" s="152" t="e">
        <f t="shared" si="9"/>
        <v>#N/A</v>
      </c>
      <c r="AR15" s="152" t="e">
        <f t="shared" si="10"/>
        <v>#N/A</v>
      </c>
      <c r="AS15" s="152" t="e">
        <f t="shared" si="11"/>
        <v>#N/A</v>
      </c>
    </row>
    <row r="16" spans="1:45" ht="16.350000000000001" customHeight="1">
      <c r="A16"/>
      <c r="B16"/>
      <c r="C16"/>
      <c r="H16" s="212">
        <v>9</v>
      </c>
      <c r="I16" s="205">
        <v>17513.013115733596</v>
      </c>
      <c r="J16" s="231">
        <v>3769.8153975980108</v>
      </c>
      <c r="K16" s="185">
        <v>0.27307564451366118</v>
      </c>
      <c r="L16" s="185">
        <v>0.71388773242838555</v>
      </c>
      <c r="M16" s="201">
        <v>1.3036623057953278E-2</v>
      </c>
      <c r="N16" s="185">
        <v>5.8825640778522273E-2</v>
      </c>
      <c r="O16" s="185">
        <v>0.89482739188836835</v>
      </c>
      <c r="P16" s="201">
        <v>4.634696733310939E-2</v>
      </c>
      <c r="Q16" s="205" t="e">
        <v>#N/A</v>
      </c>
      <c r="R16" s="231" t="e">
        <v>#N/A</v>
      </c>
      <c r="S16" s="185" t="e">
        <v>#N/A</v>
      </c>
      <c r="T16" s="185" t="e">
        <v>#N/A</v>
      </c>
      <c r="U16" s="201" t="e">
        <v>#N/A</v>
      </c>
      <c r="V16" s="185" t="e">
        <v>#N/A</v>
      </c>
      <c r="W16" s="185" t="e">
        <v>#N/A</v>
      </c>
      <c r="X16" s="201" t="e">
        <v>#N/A</v>
      </c>
      <c r="Y16" s="205" t="e">
        <v>#N/A</v>
      </c>
      <c r="Z16" s="231" t="e">
        <v>#N/A</v>
      </c>
      <c r="AA16" s="185" t="e">
        <v>#N/A</v>
      </c>
      <c r="AB16" s="185" t="e">
        <v>#N/A</v>
      </c>
      <c r="AC16" s="201" t="e">
        <v>#N/A</v>
      </c>
      <c r="AD16" s="185" t="e">
        <v>#N/A</v>
      </c>
      <c r="AE16" s="185" t="e">
        <v>#N/A</v>
      </c>
      <c r="AF16" s="201" t="e">
        <v>#N/A</v>
      </c>
      <c r="AH16" s="152">
        <f t="shared" si="0"/>
        <v>0.63001951072785389</v>
      </c>
      <c r="AI16" s="152">
        <f t="shared" si="1"/>
        <v>0.61824491173304985</v>
      </c>
      <c r="AJ16" s="152">
        <f t="shared" si="2"/>
        <v>0.50623933672270649</v>
      </c>
      <c r="AK16" s="152">
        <f t="shared" si="3"/>
        <v>0.77494325337750025</v>
      </c>
      <c r="AL16" s="152" t="e">
        <f t="shared" si="4"/>
        <v>#N/A</v>
      </c>
      <c r="AM16" s="152" t="e">
        <f t="shared" si="5"/>
        <v>#N/A</v>
      </c>
      <c r="AN16" s="152" t="e">
        <f t="shared" si="6"/>
        <v>#N/A</v>
      </c>
      <c r="AO16" s="152" t="e">
        <f t="shared" si="7"/>
        <v>#N/A</v>
      </c>
      <c r="AP16" s="152" t="e">
        <f t="shared" si="8"/>
        <v>#N/A</v>
      </c>
      <c r="AQ16" s="152" t="e">
        <f t="shared" si="9"/>
        <v>#N/A</v>
      </c>
      <c r="AR16" s="152" t="e">
        <f t="shared" si="10"/>
        <v>#N/A</v>
      </c>
      <c r="AS16" s="152" t="e">
        <f t="shared" si="11"/>
        <v>#N/A</v>
      </c>
    </row>
    <row r="17" spans="1:45" ht="16.350000000000001" customHeight="1">
      <c r="A17" s="153"/>
      <c r="B17" s="154"/>
      <c r="C17" s="155"/>
      <c r="H17" s="212">
        <v>10</v>
      </c>
      <c r="I17" s="205">
        <v>17538.538375538137</v>
      </c>
      <c r="J17" s="231">
        <v>3754.4918247602409</v>
      </c>
      <c r="K17" s="185">
        <v>0.27771765230034706</v>
      </c>
      <c r="L17" s="185">
        <v>0.70778472698620976</v>
      </c>
      <c r="M17" s="201">
        <v>1.4497620713443182E-2</v>
      </c>
      <c r="N17" s="185">
        <v>5.9311833016432502E-2</v>
      </c>
      <c r="O17" s="185">
        <v>0.88873126680373082</v>
      </c>
      <c r="P17" s="201">
        <v>5.1956900179836674E-2</v>
      </c>
      <c r="Q17" s="205" t="e">
        <v>#N/A</v>
      </c>
      <c r="R17" s="231" t="e">
        <v>#N/A</v>
      </c>
      <c r="S17" s="185" t="e">
        <v>#N/A</v>
      </c>
      <c r="T17" s="185" t="e">
        <v>#N/A</v>
      </c>
      <c r="U17" s="201" t="e">
        <v>#N/A</v>
      </c>
      <c r="V17" s="185" t="e">
        <v>#N/A</v>
      </c>
      <c r="W17" s="185" t="e">
        <v>#N/A</v>
      </c>
      <c r="X17" s="201" t="e">
        <v>#N/A</v>
      </c>
      <c r="Y17" s="205" t="e">
        <v>#N/A</v>
      </c>
      <c r="Z17" s="231" t="e">
        <v>#N/A</v>
      </c>
      <c r="AA17" s="185" t="e">
        <v>#N/A</v>
      </c>
      <c r="AB17" s="185" t="e">
        <v>#N/A</v>
      </c>
      <c r="AC17" s="201" t="e">
        <v>#N/A</v>
      </c>
      <c r="AD17" s="185" t="e">
        <v>#N/A</v>
      </c>
      <c r="AE17" s="185" t="e">
        <v>#N/A</v>
      </c>
      <c r="AF17" s="201" t="e">
        <v>#N/A</v>
      </c>
      <c r="AH17" s="152">
        <f t="shared" si="0"/>
        <v>0.63161001579345188</v>
      </c>
      <c r="AI17" s="152">
        <f t="shared" si="1"/>
        <v>0.61295955398069091</v>
      </c>
      <c r="AJ17" s="152">
        <f t="shared" si="2"/>
        <v>0.50367746641829791</v>
      </c>
      <c r="AK17" s="152">
        <f t="shared" si="3"/>
        <v>0.76966385418955663</v>
      </c>
      <c r="AL17" s="152" t="e">
        <f t="shared" si="4"/>
        <v>#N/A</v>
      </c>
      <c r="AM17" s="152" t="e">
        <f t="shared" si="5"/>
        <v>#N/A</v>
      </c>
      <c r="AN17" s="152" t="e">
        <f t="shared" si="6"/>
        <v>#N/A</v>
      </c>
      <c r="AO17" s="152" t="e">
        <f t="shared" si="7"/>
        <v>#N/A</v>
      </c>
      <c r="AP17" s="152" t="e">
        <f t="shared" si="8"/>
        <v>#N/A</v>
      </c>
      <c r="AQ17" s="152" t="e">
        <f t="shared" si="9"/>
        <v>#N/A</v>
      </c>
      <c r="AR17" s="152" t="e">
        <f t="shared" si="10"/>
        <v>#N/A</v>
      </c>
      <c r="AS17" s="152" t="e">
        <f t="shared" si="11"/>
        <v>#N/A</v>
      </c>
    </row>
    <row r="18" spans="1:45" ht="16.350000000000001" customHeight="1">
      <c r="A18" s="156"/>
      <c r="B18" s="156"/>
      <c r="C18" s="157"/>
      <c r="H18" s="212">
        <v>11</v>
      </c>
      <c r="I18" s="205">
        <v>17563.337817654083</v>
      </c>
      <c r="J18" s="231">
        <v>3739.4110582261997</v>
      </c>
      <c r="K18" s="185">
        <v>0.28236758887848884</v>
      </c>
      <c r="L18" s="185">
        <v>0.70169270987707599</v>
      </c>
      <c r="M18" s="201">
        <v>1.5939701244435112E-2</v>
      </c>
      <c r="N18" s="185">
        <v>5.9792550866328002E-2</v>
      </c>
      <c r="O18" s="185">
        <v>0.88262421460826257</v>
      </c>
      <c r="P18" s="201">
        <v>5.7583234525409477E-2</v>
      </c>
      <c r="Q18" s="205" t="e">
        <v>#N/A</v>
      </c>
      <c r="R18" s="231" t="e">
        <v>#N/A</v>
      </c>
      <c r="S18" s="185" t="e">
        <v>#N/A</v>
      </c>
      <c r="T18" s="185" t="e">
        <v>#N/A</v>
      </c>
      <c r="U18" s="201" t="e">
        <v>#N/A</v>
      </c>
      <c r="V18" s="185" t="e">
        <v>#N/A</v>
      </c>
      <c r="W18" s="185" t="e">
        <v>#N/A</v>
      </c>
      <c r="X18" s="201" t="e">
        <v>#N/A</v>
      </c>
      <c r="Y18" s="205" t="e">
        <v>#N/A</v>
      </c>
      <c r="Z18" s="231" t="e">
        <v>#N/A</v>
      </c>
      <c r="AA18" s="185" t="e">
        <v>#N/A</v>
      </c>
      <c r="AB18" s="185" t="e">
        <v>#N/A</v>
      </c>
      <c r="AC18" s="201" t="e">
        <v>#N/A</v>
      </c>
      <c r="AD18" s="185" t="e">
        <v>#N/A</v>
      </c>
      <c r="AE18" s="185" t="e">
        <v>#N/A</v>
      </c>
      <c r="AF18" s="201" t="e">
        <v>#N/A</v>
      </c>
      <c r="AH18" s="152">
        <f t="shared" si="0"/>
        <v>0.63321394381702678</v>
      </c>
      <c r="AI18" s="152">
        <f t="shared" si="1"/>
        <v>0.60768371240389163</v>
      </c>
      <c r="AJ18" s="152">
        <f t="shared" si="2"/>
        <v>0.50110465817045924</v>
      </c>
      <c r="AK18" s="152">
        <f t="shared" si="3"/>
        <v>0.76437499184604363</v>
      </c>
      <c r="AL18" s="152" t="e">
        <f t="shared" si="4"/>
        <v>#N/A</v>
      </c>
      <c r="AM18" s="152" t="e">
        <f t="shared" si="5"/>
        <v>#N/A</v>
      </c>
      <c r="AN18" s="152" t="e">
        <f t="shared" si="6"/>
        <v>#N/A</v>
      </c>
      <c r="AO18" s="152" t="e">
        <f t="shared" si="7"/>
        <v>#N/A</v>
      </c>
      <c r="AP18" s="152" t="e">
        <f t="shared" si="8"/>
        <v>#N/A</v>
      </c>
      <c r="AQ18" s="152" t="e">
        <f t="shared" si="9"/>
        <v>#N/A</v>
      </c>
      <c r="AR18" s="152" t="e">
        <f t="shared" si="10"/>
        <v>#N/A</v>
      </c>
      <c r="AS18" s="152" t="e">
        <f t="shared" si="11"/>
        <v>#N/A</v>
      </c>
    </row>
    <row r="19" spans="1:45" ht="16.350000000000001" customHeight="1">
      <c r="A19" s="156"/>
      <c r="B19" s="156"/>
      <c r="C19" s="157"/>
      <c r="H19" s="212">
        <v>12</v>
      </c>
      <c r="I19" s="205">
        <v>17587.424910911312</v>
      </c>
      <c r="J19" s="231">
        <v>3724.5663940221066</v>
      </c>
      <c r="K19" s="185">
        <v>0.28702516295329256</v>
      </c>
      <c r="L19" s="185">
        <v>0.69561164010152243</v>
      </c>
      <c r="M19" s="201">
        <v>1.7363196945185067E-2</v>
      </c>
      <c r="N19" s="185">
        <v>6.0267888071066568E-2</v>
      </c>
      <c r="O19" s="185">
        <v>0.87650627656957869</v>
      </c>
      <c r="P19" s="201">
        <v>6.3225835359354776E-2</v>
      </c>
      <c r="Q19" s="205" t="e">
        <v>#N/A</v>
      </c>
      <c r="R19" s="231" t="e">
        <v>#N/A</v>
      </c>
      <c r="S19" s="185" t="e">
        <v>#N/A</v>
      </c>
      <c r="T19" s="185" t="e">
        <v>#N/A</v>
      </c>
      <c r="U19" s="201" t="e">
        <v>#N/A</v>
      </c>
      <c r="V19" s="185" t="e">
        <v>#N/A</v>
      </c>
      <c r="W19" s="185" t="e">
        <v>#N/A</v>
      </c>
      <c r="X19" s="201" t="e">
        <v>#N/A</v>
      </c>
      <c r="Y19" s="205" t="e">
        <v>#N/A</v>
      </c>
      <c r="Z19" s="231" t="e">
        <v>#N/A</v>
      </c>
      <c r="AA19" s="185" t="e">
        <v>#N/A</v>
      </c>
      <c r="AB19" s="185" t="e">
        <v>#N/A</v>
      </c>
      <c r="AC19" s="201" t="e">
        <v>#N/A</v>
      </c>
      <c r="AD19" s="185" t="e">
        <v>#N/A</v>
      </c>
      <c r="AE19" s="185" t="e">
        <v>#N/A</v>
      </c>
      <c r="AF19" s="201" t="e">
        <v>#N/A</v>
      </c>
      <c r="AH19" s="152">
        <f t="shared" si="0"/>
        <v>0.63483098300405372</v>
      </c>
      <c r="AI19" s="152">
        <f t="shared" si="1"/>
        <v>0.60241735149607656</v>
      </c>
      <c r="AJ19" s="152">
        <f t="shared" si="2"/>
        <v>0.49852102635585593</v>
      </c>
      <c r="AK19" s="152">
        <f t="shared" si="3"/>
        <v>0.75907670208576417</v>
      </c>
      <c r="AL19" s="152" t="e">
        <f t="shared" si="4"/>
        <v>#N/A</v>
      </c>
      <c r="AM19" s="152" t="e">
        <f t="shared" si="5"/>
        <v>#N/A</v>
      </c>
      <c r="AN19" s="152" t="e">
        <f t="shared" si="6"/>
        <v>#N/A</v>
      </c>
      <c r="AO19" s="152" t="e">
        <f t="shared" si="7"/>
        <v>#N/A</v>
      </c>
      <c r="AP19" s="152" t="e">
        <f t="shared" si="8"/>
        <v>#N/A</v>
      </c>
      <c r="AQ19" s="152" t="e">
        <f t="shared" si="9"/>
        <v>#N/A</v>
      </c>
      <c r="AR19" s="152" t="e">
        <f t="shared" si="10"/>
        <v>#N/A</v>
      </c>
      <c r="AS19" s="152" t="e">
        <f t="shared" si="11"/>
        <v>#N/A</v>
      </c>
    </row>
    <row r="20" spans="1:45" ht="16.350000000000001" customHeight="1">
      <c r="A20" s="156"/>
      <c r="B20" s="156"/>
      <c r="C20" s="157"/>
      <c r="H20" s="212">
        <v>13</v>
      </c>
      <c r="I20" s="205">
        <v>17610.812856808021</v>
      </c>
      <c r="J20" s="231">
        <v>3709.9514387386694</v>
      </c>
      <c r="K20" s="185">
        <v>0.2916900874086531</v>
      </c>
      <c r="L20" s="185">
        <v>0.68954148110571967</v>
      </c>
      <c r="M20" s="201">
        <v>1.8768431485627235E-2</v>
      </c>
      <c r="N20" s="185">
        <v>6.0737936822930709E-2</v>
      </c>
      <c r="O20" s="185">
        <v>0.8703774903555902</v>
      </c>
      <c r="P20" s="201">
        <v>6.8884572821479084E-2</v>
      </c>
      <c r="Q20" s="205" t="e">
        <v>#N/A</v>
      </c>
      <c r="R20" s="231" t="e">
        <v>#N/A</v>
      </c>
      <c r="S20" s="185" t="e">
        <v>#N/A</v>
      </c>
      <c r="T20" s="185" t="e">
        <v>#N/A</v>
      </c>
      <c r="U20" s="201" t="e">
        <v>#N/A</v>
      </c>
      <c r="V20" s="185" t="e">
        <v>#N/A</v>
      </c>
      <c r="W20" s="185" t="e">
        <v>#N/A</v>
      </c>
      <c r="X20" s="201" t="e">
        <v>#N/A</v>
      </c>
      <c r="Y20" s="205" t="e">
        <v>#N/A</v>
      </c>
      <c r="Z20" s="231" t="e">
        <v>#N/A</v>
      </c>
      <c r="AA20" s="185" t="e">
        <v>#N/A</v>
      </c>
      <c r="AB20" s="185" t="e">
        <v>#N/A</v>
      </c>
      <c r="AC20" s="201" t="e">
        <v>#N/A</v>
      </c>
      <c r="AD20" s="185" t="e">
        <v>#N/A</v>
      </c>
      <c r="AE20" s="185" t="e">
        <v>#N/A</v>
      </c>
      <c r="AF20" s="201" t="e">
        <v>#N/A</v>
      </c>
      <c r="AH20" s="152">
        <f t="shared" si="0"/>
        <v>0.63646082796151293</v>
      </c>
      <c r="AI20" s="152">
        <f t="shared" si="1"/>
        <v>0.59716043960070075</v>
      </c>
      <c r="AJ20" s="152">
        <f t="shared" si="2"/>
        <v>0.49592668200072582</v>
      </c>
      <c r="AK20" s="152">
        <f t="shared" si="3"/>
        <v>0.75376901753008629</v>
      </c>
      <c r="AL20" s="152" t="e">
        <f t="shared" si="4"/>
        <v>#N/A</v>
      </c>
      <c r="AM20" s="152" t="e">
        <f t="shared" si="5"/>
        <v>#N/A</v>
      </c>
      <c r="AN20" s="152" t="e">
        <f t="shared" si="6"/>
        <v>#N/A</v>
      </c>
      <c r="AO20" s="152" t="e">
        <f t="shared" si="7"/>
        <v>#N/A</v>
      </c>
      <c r="AP20" s="152" t="e">
        <f t="shared" si="8"/>
        <v>#N/A</v>
      </c>
      <c r="AQ20" s="152" t="e">
        <f t="shared" si="9"/>
        <v>#N/A</v>
      </c>
      <c r="AR20" s="152" t="e">
        <f t="shared" si="10"/>
        <v>#N/A</v>
      </c>
      <c r="AS20" s="152" t="e">
        <f t="shared" si="11"/>
        <v>#N/A</v>
      </c>
    </row>
    <row r="21" spans="1:45" ht="16.350000000000001" customHeight="1">
      <c r="A21" s="157"/>
      <c r="B21" s="157"/>
      <c r="C21" s="157"/>
      <c r="H21" s="212">
        <v>14</v>
      </c>
      <c r="I21" s="205">
        <v>17633.514595568689</v>
      </c>
      <c r="J21" s="231">
        <v>3695.5600892855232</v>
      </c>
      <c r="K21" s="185">
        <v>0.29636207926521208</v>
      </c>
      <c r="L21" s="185">
        <v>0.68348220026005835</v>
      </c>
      <c r="M21" s="201">
        <v>2.0155720474729577E-2</v>
      </c>
      <c r="N21" s="185">
        <v>6.1202787878721958E-2</v>
      </c>
      <c r="O21" s="185">
        <v>0.86423789054748612</v>
      </c>
      <c r="P21" s="201">
        <v>7.455932157379197E-2</v>
      </c>
      <c r="Q21" s="205" t="e">
        <v>#N/A</v>
      </c>
      <c r="R21" s="231" t="e">
        <v>#N/A</v>
      </c>
      <c r="S21" s="185" t="e">
        <v>#N/A</v>
      </c>
      <c r="T21" s="185" t="e">
        <v>#N/A</v>
      </c>
      <c r="U21" s="201" t="e">
        <v>#N/A</v>
      </c>
      <c r="V21" s="185" t="e">
        <v>#N/A</v>
      </c>
      <c r="W21" s="185" t="e">
        <v>#N/A</v>
      </c>
      <c r="X21" s="201" t="e">
        <v>#N/A</v>
      </c>
      <c r="Y21" s="205" t="e">
        <v>#N/A</v>
      </c>
      <c r="Z21" s="231" t="e">
        <v>#N/A</v>
      </c>
      <c r="AA21" s="185" t="e">
        <v>#N/A</v>
      </c>
      <c r="AB21" s="185" t="e">
        <v>#N/A</v>
      </c>
      <c r="AC21" s="201" t="e">
        <v>#N/A</v>
      </c>
      <c r="AD21" s="185" t="e">
        <v>#N/A</v>
      </c>
      <c r="AE21" s="185" t="e">
        <v>#N/A</v>
      </c>
      <c r="AF21" s="201" t="e">
        <v>#N/A</v>
      </c>
      <c r="AH21" s="152">
        <f t="shared" si="0"/>
        <v>0.63810317939524119</v>
      </c>
      <c r="AI21" s="152">
        <f t="shared" si="1"/>
        <v>0.59191294845969356</v>
      </c>
      <c r="AJ21" s="152">
        <f t="shared" si="2"/>
        <v>0.49332173315246503</v>
      </c>
      <c r="AK21" s="152">
        <f t="shared" si="3"/>
        <v>0.74845196812719816</v>
      </c>
      <c r="AL21" s="152" t="e">
        <f t="shared" si="4"/>
        <v>#N/A</v>
      </c>
      <c r="AM21" s="152" t="e">
        <f t="shared" si="5"/>
        <v>#N/A</v>
      </c>
      <c r="AN21" s="152" t="e">
        <f t="shared" si="6"/>
        <v>#N/A</v>
      </c>
      <c r="AO21" s="152" t="e">
        <f t="shared" si="7"/>
        <v>#N/A</v>
      </c>
      <c r="AP21" s="152" t="e">
        <f t="shared" si="8"/>
        <v>#N/A</v>
      </c>
      <c r="AQ21" s="152" t="e">
        <f t="shared" si="9"/>
        <v>#N/A</v>
      </c>
      <c r="AR21" s="152" t="e">
        <f t="shared" si="10"/>
        <v>#N/A</v>
      </c>
      <c r="AS21" s="152" t="e">
        <f t="shared" si="11"/>
        <v>#N/A</v>
      </c>
    </row>
    <row r="22" spans="1:45" ht="16.350000000000001" customHeight="1">
      <c r="A22" s="157"/>
      <c r="B22" s="157"/>
      <c r="C22" s="157"/>
      <c r="H22" s="212">
        <v>15</v>
      </c>
      <c r="I22" s="205">
        <v>17655.542812543579</v>
      </c>
      <c r="J22" s="231">
        <v>3681.3865137917901</v>
      </c>
      <c r="K22" s="185">
        <v>0.30104085965783439</v>
      </c>
      <c r="L22" s="185">
        <v>0.67743376839054814</v>
      </c>
      <c r="M22" s="201">
        <v>2.1525371951617411E-2</v>
      </c>
      <c r="N22" s="185">
        <v>6.1662530615919843E-2</v>
      </c>
      <c r="O22" s="185">
        <v>0.85808750906565845</v>
      </c>
      <c r="P22" s="201">
        <v>8.0249960318421687E-2</v>
      </c>
      <c r="Q22" s="205" t="e">
        <v>#N/A</v>
      </c>
      <c r="R22" s="231" t="e">
        <v>#N/A</v>
      </c>
      <c r="S22" s="185" t="e">
        <v>#N/A</v>
      </c>
      <c r="T22" s="185" t="e">
        <v>#N/A</v>
      </c>
      <c r="U22" s="201" t="e">
        <v>#N/A</v>
      </c>
      <c r="V22" s="185" t="e">
        <v>#N/A</v>
      </c>
      <c r="W22" s="185" t="e">
        <v>#N/A</v>
      </c>
      <c r="X22" s="201" t="e">
        <v>#N/A</v>
      </c>
      <c r="Y22" s="205" t="e">
        <v>#N/A</v>
      </c>
      <c r="Z22" s="231" t="e">
        <v>#N/A</v>
      </c>
      <c r="AA22" s="185" t="e">
        <v>#N/A</v>
      </c>
      <c r="AB22" s="185" t="e">
        <v>#N/A</v>
      </c>
      <c r="AC22" s="201" t="e">
        <v>#N/A</v>
      </c>
      <c r="AD22" s="185" t="e">
        <v>#N/A</v>
      </c>
      <c r="AE22" s="185" t="e">
        <v>#N/A</v>
      </c>
      <c r="AF22" s="201" t="e">
        <v>#N/A</v>
      </c>
      <c r="AH22" s="152">
        <f t="shared" si="0"/>
        <v>0.63975774385310846</v>
      </c>
      <c r="AI22" s="152">
        <f t="shared" si="1"/>
        <v>0.58667485280763831</v>
      </c>
      <c r="AJ22" s="152">
        <f t="shared" si="2"/>
        <v>0.49070628514874909</v>
      </c>
      <c r="AK22" s="152">
        <f t="shared" si="3"/>
        <v>0.74312558152096997</v>
      </c>
      <c r="AL22" s="152" t="e">
        <f t="shared" si="4"/>
        <v>#N/A</v>
      </c>
      <c r="AM22" s="152" t="e">
        <f t="shared" si="5"/>
        <v>#N/A</v>
      </c>
      <c r="AN22" s="152" t="e">
        <f t="shared" si="6"/>
        <v>#N/A</v>
      </c>
      <c r="AO22" s="152" t="e">
        <f t="shared" si="7"/>
        <v>#N/A</v>
      </c>
      <c r="AP22" s="152" t="e">
        <f t="shared" si="8"/>
        <v>#N/A</v>
      </c>
      <c r="AQ22" s="152" t="e">
        <f t="shared" si="9"/>
        <v>#N/A</v>
      </c>
      <c r="AR22" s="152" t="e">
        <f t="shared" si="10"/>
        <v>#N/A</v>
      </c>
      <c r="AS22" s="152" t="e">
        <f t="shared" si="11"/>
        <v>#N/A</v>
      </c>
    </row>
    <row r="23" spans="1:45" ht="16.350000000000001" customHeight="1">
      <c r="A23" s="157"/>
      <c r="B23" s="157"/>
      <c r="C23" s="157"/>
      <c r="H23" s="212">
        <v>16</v>
      </c>
      <c r="I23" s="205">
        <v>17676.909944701976</v>
      </c>
      <c r="J23" s="231">
        <v>3667.4251338155641</v>
      </c>
      <c r="K23" s="185">
        <v>0.30572615382026191</v>
      </c>
      <c r="L23" s="185">
        <v>0.67139615936259878</v>
      </c>
      <c r="M23" s="201">
        <v>2.2877686817139309E-2</v>
      </c>
      <c r="N23" s="185">
        <v>6.2117253055405768E-2</v>
      </c>
      <c r="O23" s="185">
        <v>0.85192637552888151</v>
      </c>
      <c r="P23" s="201">
        <v>8.5956371415712773E-2</v>
      </c>
      <c r="Q23" s="205" t="e">
        <v>#N/A</v>
      </c>
      <c r="R23" s="231" t="e">
        <v>#N/A</v>
      </c>
      <c r="S23" s="185" t="e">
        <v>#N/A</v>
      </c>
      <c r="T23" s="185" t="e">
        <v>#N/A</v>
      </c>
      <c r="U23" s="201" t="e">
        <v>#N/A</v>
      </c>
      <c r="V23" s="185" t="e">
        <v>#N/A</v>
      </c>
      <c r="W23" s="185" t="e">
        <v>#N/A</v>
      </c>
      <c r="X23" s="201" t="e">
        <v>#N/A</v>
      </c>
      <c r="Y23" s="205" t="e">
        <v>#N/A</v>
      </c>
      <c r="Z23" s="231" t="e">
        <v>#N/A</v>
      </c>
      <c r="AA23" s="185" t="e">
        <v>#N/A</v>
      </c>
      <c r="AB23" s="185" t="e">
        <v>#N/A</v>
      </c>
      <c r="AC23" s="201" t="e">
        <v>#N/A</v>
      </c>
      <c r="AD23" s="185" t="e">
        <v>#N/A</v>
      </c>
      <c r="AE23" s="185" t="e">
        <v>#N/A</v>
      </c>
      <c r="AF23" s="201" t="e">
        <v>#N/A</v>
      </c>
      <c r="AH23" s="152">
        <f t="shared" si="0"/>
        <v>0.6414242335015613</v>
      </c>
      <c r="AI23" s="152">
        <f t="shared" si="1"/>
        <v>0.58144613001131584</v>
      </c>
      <c r="AJ23" s="152">
        <f t="shared" si="2"/>
        <v>0.48808044081984653</v>
      </c>
      <c r="AK23" s="152">
        <f t="shared" si="3"/>
        <v>0.7377898833620129</v>
      </c>
      <c r="AL23" s="152" t="e">
        <f t="shared" si="4"/>
        <v>#N/A</v>
      </c>
      <c r="AM23" s="152" t="e">
        <f t="shared" si="5"/>
        <v>#N/A</v>
      </c>
      <c r="AN23" s="152" t="e">
        <f t="shared" si="6"/>
        <v>#N/A</v>
      </c>
      <c r="AO23" s="152" t="e">
        <f t="shared" si="7"/>
        <v>#N/A</v>
      </c>
      <c r="AP23" s="152" t="e">
        <f t="shared" si="8"/>
        <v>#N/A</v>
      </c>
      <c r="AQ23" s="152" t="e">
        <f t="shared" si="9"/>
        <v>#N/A</v>
      </c>
      <c r="AR23" s="152" t="e">
        <f t="shared" si="10"/>
        <v>#N/A</v>
      </c>
      <c r="AS23" s="152" t="e">
        <f t="shared" si="11"/>
        <v>#N/A</v>
      </c>
    </row>
    <row r="24" spans="1:45" ht="16.350000000000001" customHeight="1">
      <c r="D24" s="158"/>
      <c r="H24" s="212">
        <v>17</v>
      </c>
      <c r="I24" s="205">
        <v>17697.628187076458</v>
      </c>
      <c r="J24" s="231">
        <v>3653.6706078898792</v>
      </c>
      <c r="K24" s="185">
        <v>0.31041769107106532</v>
      </c>
      <c r="L24" s="185">
        <v>0.66536934971291506</v>
      </c>
      <c r="M24" s="201">
        <v>2.4212959216019625E-2</v>
      </c>
      <c r="N24" s="185">
        <v>6.256704186620296E-2</v>
      </c>
      <c r="O24" s="185">
        <v>0.8457545175603266</v>
      </c>
      <c r="P24" s="201">
        <v>9.167844057347041E-2</v>
      </c>
      <c r="Q24" s="205" t="e">
        <v>#N/A</v>
      </c>
      <c r="R24" s="231" t="e">
        <v>#N/A</v>
      </c>
      <c r="S24" s="185" t="e">
        <v>#N/A</v>
      </c>
      <c r="T24" s="185" t="e">
        <v>#N/A</v>
      </c>
      <c r="U24" s="201" t="e">
        <v>#N/A</v>
      </c>
      <c r="V24" s="185" t="e">
        <v>#N/A</v>
      </c>
      <c r="W24" s="185" t="e">
        <v>#N/A</v>
      </c>
      <c r="X24" s="201" t="e">
        <v>#N/A</v>
      </c>
      <c r="Y24" s="205" t="e">
        <v>#N/A</v>
      </c>
      <c r="Z24" s="231" t="e">
        <v>#N/A</v>
      </c>
      <c r="AA24" s="185" t="e">
        <v>#N/A</v>
      </c>
      <c r="AB24" s="185" t="e">
        <v>#N/A</v>
      </c>
      <c r="AC24" s="201" t="e">
        <v>#N/A</v>
      </c>
      <c r="AD24" s="185" t="e">
        <v>#N/A</v>
      </c>
      <c r="AE24" s="185" t="e">
        <v>#N/A</v>
      </c>
      <c r="AF24" s="201" t="e">
        <v>#N/A</v>
      </c>
      <c r="AH24" s="152">
        <f t="shared" si="0"/>
        <v>0.64310236592752279</v>
      </c>
      <c r="AI24" s="152">
        <f t="shared" si="1"/>
        <v>0.57622675975091664</v>
      </c>
      <c r="AJ24" s="152">
        <f t="shared" si="2"/>
        <v>0.48544430064636623</v>
      </c>
      <c r="AK24" s="152">
        <f t="shared" si="3"/>
        <v>0.73244489757269493</v>
      </c>
      <c r="AL24" s="152" t="e">
        <f t="shared" si="4"/>
        <v>#N/A</v>
      </c>
      <c r="AM24" s="152" t="e">
        <f t="shared" si="5"/>
        <v>#N/A</v>
      </c>
      <c r="AN24" s="152" t="e">
        <f t="shared" si="6"/>
        <v>#N/A</v>
      </c>
      <c r="AO24" s="152" t="e">
        <f t="shared" si="7"/>
        <v>#N/A</v>
      </c>
      <c r="AP24" s="152" t="e">
        <f t="shared" si="8"/>
        <v>#N/A</v>
      </c>
      <c r="AQ24" s="152" t="e">
        <f t="shared" si="9"/>
        <v>#N/A</v>
      </c>
      <c r="AR24" s="152" t="e">
        <f t="shared" si="10"/>
        <v>#N/A</v>
      </c>
      <c r="AS24" s="152" t="e">
        <f t="shared" si="11"/>
        <v>#N/A</v>
      </c>
    </row>
    <row r="25" spans="1:45" ht="16.350000000000001" customHeight="1">
      <c r="D25" s="158"/>
      <c r="E25" s="158"/>
      <c r="F25" s="158"/>
      <c r="G25" s="158"/>
      <c r="H25" s="212">
        <v>18</v>
      </c>
      <c r="I25" s="205">
        <v>17717.709499062723</v>
      </c>
      <c r="J25" s="231">
        <v>3640.1178163612567</v>
      </c>
      <c r="K25" s="185">
        <v>0.31511520479655392</v>
      </c>
      <c r="L25" s="185">
        <v>0.65935331832569233</v>
      </c>
      <c r="M25" s="201">
        <v>2.55314768777537E-2</v>
      </c>
      <c r="N25" s="185">
        <v>6.3011982361175403E-2</v>
      </c>
      <c r="O25" s="185">
        <v>0.83957196105053045</v>
      </c>
      <c r="P25" s="201">
        <v>9.7416056588294109E-2</v>
      </c>
      <c r="Q25" s="205" t="e">
        <v>#N/A</v>
      </c>
      <c r="R25" s="231" t="e">
        <v>#N/A</v>
      </c>
      <c r="S25" s="185" t="e">
        <v>#N/A</v>
      </c>
      <c r="T25" s="185" t="e">
        <v>#N/A</v>
      </c>
      <c r="U25" s="201" t="e">
        <v>#N/A</v>
      </c>
      <c r="V25" s="185" t="e">
        <v>#N/A</v>
      </c>
      <c r="W25" s="185" t="e">
        <v>#N/A</v>
      </c>
      <c r="X25" s="201" t="e">
        <v>#N/A</v>
      </c>
      <c r="Y25" s="205" t="e">
        <v>#N/A</v>
      </c>
      <c r="Z25" s="231" t="e">
        <v>#N/A</v>
      </c>
      <c r="AA25" s="185" t="e">
        <v>#N/A</v>
      </c>
      <c r="AB25" s="185" t="e">
        <v>#N/A</v>
      </c>
      <c r="AC25" s="201" t="e">
        <v>#N/A</v>
      </c>
      <c r="AD25" s="185" t="e">
        <v>#N/A</v>
      </c>
      <c r="AE25" s="185" t="e">
        <v>#N/A</v>
      </c>
      <c r="AF25" s="201" t="e">
        <v>#N/A</v>
      </c>
      <c r="AH25" s="152">
        <f t="shared" si="0"/>
        <v>0.64479186395940014</v>
      </c>
      <c r="AI25" s="152">
        <f t="shared" si="1"/>
        <v>0.5710167237396172</v>
      </c>
      <c r="AJ25" s="152">
        <f t="shared" si="2"/>
        <v>0.48279796288644061</v>
      </c>
      <c r="AK25" s="152">
        <f t="shared" si="3"/>
        <v>0.72709064657487854</v>
      </c>
      <c r="AL25" s="152" t="e">
        <f t="shared" si="4"/>
        <v>#N/A</v>
      </c>
      <c r="AM25" s="152" t="e">
        <f t="shared" si="5"/>
        <v>#N/A</v>
      </c>
      <c r="AN25" s="152" t="e">
        <f t="shared" si="6"/>
        <v>#N/A</v>
      </c>
      <c r="AO25" s="152" t="e">
        <f t="shared" si="7"/>
        <v>#N/A</v>
      </c>
      <c r="AP25" s="152" t="e">
        <f t="shared" si="8"/>
        <v>#N/A</v>
      </c>
      <c r="AQ25" s="152" t="e">
        <f t="shared" si="9"/>
        <v>#N/A</v>
      </c>
      <c r="AR25" s="152" t="e">
        <f t="shared" si="10"/>
        <v>#N/A</v>
      </c>
      <c r="AS25" s="152" t="e">
        <f t="shared" si="11"/>
        <v>#N/A</v>
      </c>
    </row>
    <row r="26" spans="1:45" ht="16.350000000000001" customHeight="1">
      <c r="D26" s="158"/>
      <c r="E26" s="158"/>
      <c r="F26" s="158"/>
      <c r="G26" s="158"/>
      <c r="H26" s="212">
        <v>19</v>
      </c>
      <c r="I26" s="205">
        <v>17737.165610534852</v>
      </c>
      <c r="J26" s="231">
        <v>3626.7618474458486</v>
      </c>
      <c r="K26" s="185">
        <v>0.31981843243050112</v>
      </c>
      <c r="L26" s="185">
        <v>0.6533480461468687</v>
      </c>
      <c r="M26" s="201">
        <v>2.683352142263018E-2</v>
      </c>
      <c r="N26" s="185">
        <v>6.3452158489387081E-2</v>
      </c>
      <c r="O26" s="185">
        <v>0.8333787303843897</v>
      </c>
      <c r="P26" s="201">
        <v>0.10316911112622318</v>
      </c>
      <c r="Q26" s="205" t="e">
        <v>#N/A</v>
      </c>
      <c r="R26" s="231" t="e">
        <v>#N/A</v>
      </c>
      <c r="S26" s="185" t="e">
        <v>#N/A</v>
      </c>
      <c r="T26" s="185" t="e">
        <v>#N/A</v>
      </c>
      <c r="U26" s="201" t="e">
        <v>#N/A</v>
      </c>
      <c r="V26" s="185" t="e">
        <v>#N/A</v>
      </c>
      <c r="W26" s="185" t="e">
        <v>#N/A</v>
      </c>
      <c r="X26" s="201" t="e">
        <v>#N/A</v>
      </c>
      <c r="Y26" s="205" t="e">
        <v>#N/A</v>
      </c>
      <c r="Z26" s="231" t="e">
        <v>#N/A</v>
      </c>
      <c r="AA26" s="185" t="e">
        <v>#N/A</v>
      </c>
      <c r="AB26" s="185" t="e">
        <v>#N/A</v>
      </c>
      <c r="AC26" s="201" t="e">
        <v>#N/A</v>
      </c>
      <c r="AD26" s="185" t="e">
        <v>#N/A</v>
      </c>
      <c r="AE26" s="185" t="e">
        <v>#N/A</v>
      </c>
      <c r="AF26" s="201" t="e">
        <v>#N/A</v>
      </c>
      <c r="AH26" s="152">
        <f t="shared" si="0"/>
        <v>0.64649245550393553</v>
      </c>
      <c r="AI26" s="152">
        <f t="shared" si="1"/>
        <v>0.56581600547611599</v>
      </c>
      <c r="AJ26" s="152">
        <f t="shared" si="2"/>
        <v>0.48014152368158192</v>
      </c>
      <c r="AK26" s="152">
        <f t="shared" si="3"/>
        <v>0.7217271514865039</v>
      </c>
      <c r="AL26" s="152" t="e">
        <f t="shared" si="4"/>
        <v>#N/A</v>
      </c>
      <c r="AM26" s="152" t="e">
        <f t="shared" si="5"/>
        <v>#N/A</v>
      </c>
      <c r="AN26" s="152" t="e">
        <f t="shared" si="6"/>
        <v>#N/A</v>
      </c>
      <c r="AO26" s="152" t="e">
        <f t="shared" si="7"/>
        <v>#N/A</v>
      </c>
      <c r="AP26" s="152" t="e">
        <f t="shared" si="8"/>
        <v>#N/A</v>
      </c>
      <c r="AQ26" s="152" t="e">
        <f t="shared" si="9"/>
        <v>#N/A</v>
      </c>
      <c r="AR26" s="152" t="e">
        <f t="shared" si="10"/>
        <v>#N/A</v>
      </c>
      <c r="AS26" s="152" t="e">
        <f t="shared" si="11"/>
        <v>#N/A</v>
      </c>
    </row>
    <row r="27" spans="1:45" ht="16.350000000000001" customHeight="1">
      <c r="D27" s="158"/>
      <c r="E27" s="158"/>
      <c r="F27" s="158"/>
      <c r="G27" s="158"/>
      <c r="H27" s="212">
        <v>20</v>
      </c>
      <c r="I27" s="205">
        <v>17756.008027725264</v>
      </c>
      <c r="J27" s="231">
        <v>3613.5979844074654</v>
      </c>
      <c r="K27" s="185">
        <v>0.32452711542630908</v>
      </c>
      <c r="L27" s="185">
        <v>0.64735351593531243</v>
      </c>
      <c r="M27" s="201">
        <v>2.8119368638378495E-2</v>
      </c>
      <c r="N27" s="185">
        <v>6.388765282746435E-2</v>
      </c>
      <c r="O27" s="185">
        <v>0.82717484863836288</v>
      </c>
      <c r="P27" s="201">
        <v>0.10893749853417278</v>
      </c>
      <c r="Q27" s="205" t="e">
        <v>#N/A</v>
      </c>
      <c r="R27" s="231" t="e">
        <v>#N/A</v>
      </c>
      <c r="S27" s="185" t="e">
        <v>#N/A</v>
      </c>
      <c r="T27" s="185" t="e">
        <v>#N/A</v>
      </c>
      <c r="U27" s="201" t="e">
        <v>#N/A</v>
      </c>
      <c r="V27" s="185" t="e">
        <v>#N/A</v>
      </c>
      <c r="W27" s="185" t="e">
        <v>#N/A</v>
      </c>
      <c r="X27" s="201" t="e">
        <v>#N/A</v>
      </c>
      <c r="Y27" s="205" t="e">
        <v>#N/A</v>
      </c>
      <c r="Z27" s="231" t="e">
        <v>#N/A</v>
      </c>
      <c r="AA27" s="185" t="e">
        <v>#N/A</v>
      </c>
      <c r="AB27" s="185" t="e">
        <v>#N/A</v>
      </c>
      <c r="AC27" s="201" t="e">
        <v>#N/A</v>
      </c>
      <c r="AD27" s="185" t="e">
        <v>#N/A</v>
      </c>
      <c r="AE27" s="185" t="e">
        <v>#N/A</v>
      </c>
      <c r="AF27" s="201" t="e">
        <v>#N/A</v>
      </c>
      <c r="AH27" s="152">
        <f t="shared" si="0"/>
        <v>0.64820387339396524</v>
      </c>
      <c r="AI27" s="152">
        <f t="shared" si="1"/>
        <v>0.56062459002915499</v>
      </c>
      <c r="AJ27" s="152">
        <f t="shared" si="2"/>
        <v>0.47747507714664578</v>
      </c>
      <c r="AK27" s="152">
        <f t="shared" si="3"/>
        <v>0.71635443229237006</v>
      </c>
      <c r="AL27" s="152" t="e">
        <f t="shared" si="4"/>
        <v>#N/A</v>
      </c>
      <c r="AM27" s="152" t="e">
        <f t="shared" si="5"/>
        <v>#N/A</v>
      </c>
      <c r="AN27" s="152" t="e">
        <f t="shared" si="6"/>
        <v>#N/A</v>
      </c>
      <c r="AO27" s="152" t="e">
        <f t="shared" si="7"/>
        <v>#N/A</v>
      </c>
      <c r="AP27" s="152" t="e">
        <f t="shared" si="8"/>
        <v>#N/A</v>
      </c>
      <c r="AQ27" s="152" t="e">
        <f t="shared" si="9"/>
        <v>#N/A</v>
      </c>
      <c r="AR27" s="152" t="e">
        <f t="shared" si="10"/>
        <v>#N/A</v>
      </c>
      <c r="AS27" s="152" t="e">
        <f t="shared" si="11"/>
        <v>#N/A</v>
      </c>
    </row>
    <row r="28" spans="1:45" ht="16.350000000000001" customHeight="1">
      <c r="D28" s="158"/>
      <c r="H28" s="212">
        <v>21</v>
      </c>
      <c r="I28" s="205">
        <v>17774.248038885449</v>
      </c>
      <c r="J28" s="231">
        <v>3600.6216937684489</v>
      </c>
      <c r="K28" s="185">
        <v>0.32924099922598776</v>
      </c>
      <c r="L28" s="185">
        <v>0.64136971204248949</v>
      </c>
      <c r="M28" s="201">
        <v>2.93892887315228E-2</v>
      </c>
      <c r="N28" s="185">
        <v>6.4318546572567428E-2</v>
      </c>
      <c r="O28" s="185">
        <v>0.82096033775108812</v>
      </c>
      <c r="P28" s="201">
        <v>0.11472111567634447</v>
      </c>
      <c r="Q28" s="205" t="e">
        <v>#N/A</v>
      </c>
      <c r="R28" s="231" t="e">
        <v>#N/A</v>
      </c>
      <c r="S28" s="185" t="e">
        <v>#N/A</v>
      </c>
      <c r="T28" s="185" t="e">
        <v>#N/A</v>
      </c>
      <c r="U28" s="201" t="e">
        <v>#N/A</v>
      </c>
      <c r="V28" s="185" t="e">
        <v>#N/A</v>
      </c>
      <c r="W28" s="185" t="e">
        <v>#N/A</v>
      </c>
      <c r="X28" s="201" t="e">
        <v>#N/A</v>
      </c>
      <c r="Y28" s="205" t="e">
        <v>#N/A</v>
      </c>
      <c r="Z28" s="231" t="e">
        <v>#N/A</v>
      </c>
      <c r="AA28" s="185" t="e">
        <v>#N/A</v>
      </c>
      <c r="AB28" s="185" t="e">
        <v>#N/A</v>
      </c>
      <c r="AC28" s="201" t="e">
        <v>#N/A</v>
      </c>
      <c r="AD28" s="185" t="e">
        <v>#N/A</v>
      </c>
      <c r="AE28" s="185" t="e">
        <v>#N/A</v>
      </c>
      <c r="AF28" s="201" t="e">
        <v>#N/A</v>
      </c>
      <c r="AH28" s="152">
        <f t="shared" si="0"/>
        <v>0.64992585524723245</v>
      </c>
      <c r="AI28" s="152">
        <f t="shared" si="1"/>
        <v>0.55544246384670604</v>
      </c>
      <c r="AJ28" s="152">
        <f t="shared" si="2"/>
        <v>0.47479871544811147</v>
      </c>
      <c r="AK28" s="152">
        <f t="shared" si="3"/>
        <v>0.71097250799189515</v>
      </c>
      <c r="AL28" s="152" t="e">
        <f t="shared" si="4"/>
        <v>#N/A</v>
      </c>
      <c r="AM28" s="152" t="e">
        <f t="shared" si="5"/>
        <v>#N/A</v>
      </c>
      <c r="AN28" s="152" t="e">
        <f t="shared" si="6"/>
        <v>#N/A</v>
      </c>
      <c r="AO28" s="152" t="e">
        <f t="shared" si="7"/>
        <v>#N/A</v>
      </c>
      <c r="AP28" s="152" t="e">
        <f t="shared" si="8"/>
        <v>#N/A</v>
      </c>
      <c r="AQ28" s="152" t="e">
        <f t="shared" si="9"/>
        <v>#N/A</v>
      </c>
      <c r="AR28" s="152" t="e">
        <f t="shared" si="10"/>
        <v>#N/A</v>
      </c>
      <c r="AS28" s="152" t="e">
        <f t="shared" si="11"/>
        <v>#N/A</v>
      </c>
    </row>
    <row r="29" spans="1:45" ht="16.350000000000001" customHeight="1">
      <c r="H29" s="212">
        <v>22</v>
      </c>
      <c r="I29" s="205">
        <v>17791.896719700238</v>
      </c>
      <c r="J29" s="231">
        <v>3587.828614459967</v>
      </c>
      <c r="K29" s="185">
        <v>0.33395983322209166</v>
      </c>
      <c r="L29" s="185">
        <v>0.63539662022093701</v>
      </c>
      <c r="M29" s="201">
        <v>3.0643546556971324E-2</v>
      </c>
      <c r="N29" s="185">
        <v>6.4744919537096851E-2</v>
      </c>
      <c r="O29" s="185">
        <v>0.81473521867236653</v>
      </c>
      <c r="P29" s="201">
        <v>0.12051986179053664</v>
      </c>
      <c r="Q29" s="205" t="e">
        <v>#N/A</v>
      </c>
      <c r="R29" s="231" t="e">
        <v>#N/A</v>
      </c>
      <c r="S29" s="185" t="e">
        <v>#N/A</v>
      </c>
      <c r="T29" s="185" t="e">
        <v>#N/A</v>
      </c>
      <c r="U29" s="201" t="e">
        <v>#N/A</v>
      </c>
      <c r="V29" s="185" t="e">
        <v>#N/A</v>
      </c>
      <c r="W29" s="185" t="e">
        <v>#N/A</v>
      </c>
      <c r="X29" s="201" t="e">
        <v>#N/A</v>
      </c>
      <c r="Y29" s="205" t="e">
        <v>#N/A</v>
      </c>
      <c r="Z29" s="231" t="e">
        <v>#N/A</v>
      </c>
      <c r="AA29" s="185" t="e">
        <v>#N/A</v>
      </c>
      <c r="AB29" s="185" t="e">
        <v>#N/A</v>
      </c>
      <c r="AC29" s="201" t="e">
        <v>#N/A</v>
      </c>
      <c r="AD29" s="185" t="e">
        <v>#N/A</v>
      </c>
      <c r="AE29" s="185" t="e">
        <v>#N/A</v>
      </c>
      <c r="AF29" s="201" t="e">
        <v>#N/A</v>
      </c>
      <c r="AH29" s="152">
        <f t="shared" si="0"/>
        <v>0.65165814333256011</v>
      </c>
      <c r="AI29" s="152">
        <f t="shared" si="1"/>
        <v>0.55026961459010459</v>
      </c>
      <c r="AJ29" s="152">
        <f t="shared" si="2"/>
        <v>0.47211252887328015</v>
      </c>
      <c r="AK29" s="152">
        <f t="shared" si="3"/>
        <v>0.70558139672813913</v>
      </c>
      <c r="AL29" s="152" t="e">
        <f t="shared" si="4"/>
        <v>#N/A</v>
      </c>
      <c r="AM29" s="152" t="e">
        <f t="shared" si="5"/>
        <v>#N/A</v>
      </c>
      <c r="AN29" s="152" t="e">
        <f t="shared" si="6"/>
        <v>#N/A</v>
      </c>
      <c r="AO29" s="152" t="e">
        <f t="shared" si="7"/>
        <v>#N/A</v>
      </c>
      <c r="AP29" s="152" t="e">
        <f t="shared" si="8"/>
        <v>#N/A</v>
      </c>
      <c r="AQ29" s="152" t="e">
        <f t="shared" si="9"/>
        <v>#N/A</v>
      </c>
      <c r="AR29" s="152" t="e">
        <f t="shared" si="10"/>
        <v>#N/A</v>
      </c>
      <c r="AS29" s="152" t="e">
        <f t="shared" si="11"/>
        <v>#N/A</v>
      </c>
    </row>
    <row r="30" spans="1:45" ht="16.350000000000001" customHeight="1">
      <c r="H30" s="212">
        <v>23</v>
      </c>
      <c r="I30" s="205">
        <v>17808.964938472382</v>
      </c>
      <c r="J30" s="231">
        <v>3575.2145478267958</v>
      </c>
      <c r="K30" s="185">
        <v>0.33868337071513194</v>
      </c>
      <c r="L30" s="185">
        <v>0.62943422745608368</v>
      </c>
      <c r="M30" s="201">
        <v>3.1882401828784324E-2</v>
      </c>
      <c r="N30" s="185">
        <v>6.5166850145895225E-2</v>
      </c>
      <c r="O30" s="185">
        <v>0.80849951149232357</v>
      </c>
      <c r="P30" s="201">
        <v>0.12633363836178124</v>
      </c>
      <c r="Q30" s="205" t="e">
        <v>#N/A</v>
      </c>
      <c r="R30" s="231" t="e">
        <v>#N/A</v>
      </c>
      <c r="S30" s="185" t="e">
        <v>#N/A</v>
      </c>
      <c r="T30" s="185" t="e">
        <v>#N/A</v>
      </c>
      <c r="U30" s="201" t="e">
        <v>#N/A</v>
      </c>
      <c r="V30" s="185" t="e">
        <v>#N/A</v>
      </c>
      <c r="W30" s="185" t="e">
        <v>#N/A</v>
      </c>
      <c r="X30" s="201" t="e">
        <v>#N/A</v>
      </c>
      <c r="Y30" s="205" t="e">
        <v>#N/A</v>
      </c>
      <c r="Z30" s="231" t="e">
        <v>#N/A</v>
      </c>
      <c r="AA30" s="185" t="e">
        <v>#N/A</v>
      </c>
      <c r="AB30" s="185" t="e">
        <v>#N/A</v>
      </c>
      <c r="AC30" s="201" t="e">
        <v>#N/A</v>
      </c>
      <c r="AD30" s="185" t="e">
        <v>#N/A</v>
      </c>
      <c r="AE30" s="185" t="e">
        <v>#N/A</v>
      </c>
      <c r="AF30" s="201" t="e">
        <v>#N/A</v>
      </c>
      <c r="AH30" s="152">
        <f t="shared" si="0"/>
        <v>0.65340048444317378</v>
      </c>
      <c r="AI30" s="152">
        <f t="shared" si="1"/>
        <v>0.54510603098840105</v>
      </c>
      <c r="AJ30" s="152">
        <f t="shared" si="2"/>
        <v>0.46941660589205703</v>
      </c>
      <c r="AK30" s="152">
        <f t="shared" si="3"/>
        <v>0.70018111589966092</v>
      </c>
      <c r="AL30" s="152" t="e">
        <f t="shared" si="4"/>
        <v>#N/A</v>
      </c>
      <c r="AM30" s="152" t="e">
        <f t="shared" si="5"/>
        <v>#N/A</v>
      </c>
      <c r="AN30" s="152" t="e">
        <f t="shared" si="6"/>
        <v>#N/A</v>
      </c>
      <c r="AO30" s="152" t="e">
        <f t="shared" si="7"/>
        <v>#N/A</v>
      </c>
      <c r="AP30" s="152" t="e">
        <f t="shared" si="8"/>
        <v>#N/A</v>
      </c>
      <c r="AQ30" s="152" t="e">
        <f t="shared" si="9"/>
        <v>#N/A</v>
      </c>
      <c r="AR30" s="152" t="e">
        <f t="shared" si="10"/>
        <v>#N/A</v>
      </c>
      <c r="AS30" s="152" t="e">
        <f t="shared" si="11"/>
        <v>#N/A</v>
      </c>
    </row>
    <row r="31" spans="1:45" ht="16.350000000000001" customHeight="1">
      <c r="H31" s="212">
        <v>24</v>
      </c>
      <c r="I31" s="205">
        <v>17825.463361077811</v>
      </c>
      <c r="J31" s="231">
        <v>3562.7754484081493</v>
      </c>
      <c r="K31" s="185">
        <v>0.34341136886571644</v>
      </c>
      <c r="L31" s="185">
        <v>0.62348252181978425</v>
      </c>
      <c r="M31" s="201">
        <v>3.310610931449931E-2</v>
      </c>
      <c r="N31" s="185">
        <v>6.5584415435827992E-2</v>
      </c>
      <c r="O31" s="185">
        <v>0.80225323555367856</v>
      </c>
      <c r="P31" s="201">
        <v>0.1321623490104934</v>
      </c>
      <c r="Q31" s="205" t="e">
        <v>#N/A</v>
      </c>
      <c r="R31" s="231" t="e">
        <v>#N/A</v>
      </c>
      <c r="S31" s="185" t="e">
        <v>#N/A</v>
      </c>
      <c r="T31" s="185" t="e">
        <v>#N/A</v>
      </c>
      <c r="U31" s="201" t="e">
        <v>#N/A</v>
      </c>
      <c r="V31" s="185" t="e">
        <v>#N/A</v>
      </c>
      <c r="W31" s="185" t="e">
        <v>#N/A</v>
      </c>
      <c r="X31" s="201" t="e">
        <v>#N/A</v>
      </c>
      <c r="Y31" s="205" t="e">
        <v>#N/A</v>
      </c>
      <c r="Z31" s="231" t="e">
        <v>#N/A</v>
      </c>
      <c r="AA31" s="185" t="e">
        <v>#N/A</v>
      </c>
      <c r="AB31" s="185" t="e">
        <v>#N/A</v>
      </c>
      <c r="AC31" s="201" t="e">
        <v>#N/A</v>
      </c>
      <c r="AD31" s="185" t="e">
        <v>#N/A</v>
      </c>
      <c r="AE31" s="185" t="e">
        <v>#N/A</v>
      </c>
      <c r="AF31" s="201" t="e">
        <v>#N/A</v>
      </c>
      <c r="AH31" s="152">
        <f t="shared" si="0"/>
        <v>0.65515262977560851</v>
      </c>
      <c r="AI31" s="152">
        <f t="shared" si="1"/>
        <v>0.53995170271151871</v>
      </c>
      <c r="AJ31" s="152">
        <f t="shared" si="2"/>
        <v>0.46671103321266727</v>
      </c>
      <c r="AK31" s="152">
        <f t="shared" si="3"/>
        <v>0.69477168225774677</v>
      </c>
      <c r="AL31" s="152" t="e">
        <f t="shared" si="4"/>
        <v>#N/A</v>
      </c>
      <c r="AM31" s="152" t="e">
        <f t="shared" si="5"/>
        <v>#N/A</v>
      </c>
      <c r="AN31" s="152" t="e">
        <f t="shared" si="6"/>
        <v>#N/A</v>
      </c>
      <c r="AO31" s="152" t="e">
        <f t="shared" si="7"/>
        <v>#N/A</v>
      </c>
      <c r="AP31" s="152" t="e">
        <f t="shared" si="8"/>
        <v>#N/A</v>
      </c>
      <c r="AQ31" s="152" t="e">
        <f t="shared" si="9"/>
        <v>#N/A</v>
      </c>
      <c r="AR31" s="152" t="e">
        <f t="shared" si="10"/>
        <v>#N/A</v>
      </c>
      <c r="AS31" s="152" t="e">
        <f t="shared" si="11"/>
        <v>#N/A</v>
      </c>
    </row>
    <row r="32" spans="1:45" ht="16.350000000000001" customHeight="1">
      <c r="H32" s="212">
        <v>25</v>
      </c>
      <c r="I32" s="205">
        <v>17841.402455704676</v>
      </c>
      <c r="J32" s="231">
        <v>3550.5074154233262</v>
      </c>
      <c r="K32" s="185">
        <v>0.34814358864241002</v>
      </c>
      <c r="L32" s="185">
        <v>0.61754149234255762</v>
      </c>
      <c r="M32" s="201">
        <v>3.4314919015032364E-2</v>
      </c>
      <c r="N32" s="185">
        <v>6.5997691057766705E-2</v>
      </c>
      <c r="O32" s="185">
        <v>0.79599640954891548</v>
      </c>
      <c r="P32" s="201">
        <v>0.13800589939331787</v>
      </c>
      <c r="Q32" s="205" t="e">
        <v>#N/A</v>
      </c>
      <c r="R32" s="231" t="e">
        <v>#N/A</v>
      </c>
      <c r="S32" s="185" t="e">
        <v>#N/A</v>
      </c>
      <c r="T32" s="185" t="e">
        <v>#N/A</v>
      </c>
      <c r="U32" s="201" t="e">
        <v>#N/A</v>
      </c>
      <c r="V32" s="185" t="e">
        <v>#N/A</v>
      </c>
      <c r="W32" s="185" t="e">
        <v>#N/A</v>
      </c>
      <c r="X32" s="201" t="e">
        <v>#N/A</v>
      </c>
      <c r="Y32" s="205" t="e">
        <v>#N/A</v>
      </c>
      <c r="Z32" s="231" t="e">
        <v>#N/A</v>
      </c>
      <c r="AA32" s="185" t="e">
        <v>#N/A</v>
      </c>
      <c r="AB32" s="185" t="e">
        <v>#N/A</v>
      </c>
      <c r="AC32" s="201" t="e">
        <v>#N/A</v>
      </c>
      <c r="AD32" s="185" t="e">
        <v>#N/A</v>
      </c>
      <c r="AE32" s="185" t="e">
        <v>#N/A</v>
      </c>
      <c r="AF32" s="201" t="e">
        <v>#N/A</v>
      </c>
      <c r="AH32" s="152">
        <f t="shared" si="0"/>
        <v>0.65691433481368877</v>
      </c>
      <c r="AI32" s="152">
        <f t="shared" si="1"/>
        <v>0.53480662025960823</v>
      </c>
      <c r="AJ32" s="152">
        <f t="shared" si="2"/>
        <v>0.46399589583222445</v>
      </c>
      <c r="AK32" s="152">
        <f t="shared" si="3"/>
        <v>0.68935311199056293</v>
      </c>
      <c r="AL32" s="152" t="e">
        <f t="shared" si="4"/>
        <v>#N/A</v>
      </c>
      <c r="AM32" s="152" t="e">
        <f t="shared" si="5"/>
        <v>#N/A</v>
      </c>
      <c r="AN32" s="152" t="e">
        <f t="shared" si="6"/>
        <v>#N/A</v>
      </c>
      <c r="AO32" s="152" t="e">
        <f t="shared" si="7"/>
        <v>#N/A</v>
      </c>
      <c r="AP32" s="152" t="e">
        <f t="shared" si="8"/>
        <v>#N/A</v>
      </c>
      <c r="AQ32" s="152" t="e">
        <f t="shared" si="9"/>
        <v>#N/A</v>
      </c>
      <c r="AR32" s="152" t="e">
        <f t="shared" si="10"/>
        <v>#N/A</v>
      </c>
      <c r="AS32" s="152" t="e">
        <f t="shared" si="11"/>
        <v>#N/A</v>
      </c>
    </row>
    <row r="33" spans="1:45" ht="16.350000000000001" customHeight="1">
      <c r="H33" s="212">
        <v>26</v>
      </c>
      <c r="I33" s="205">
        <v>17856.792497386068</v>
      </c>
      <c r="J33" s="231">
        <v>3538.4066848979501</v>
      </c>
      <c r="K33" s="185">
        <v>0.35287979476556369</v>
      </c>
      <c r="L33" s="185">
        <v>0.61161112890259806</v>
      </c>
      <c r="M33" s="201">
        <v>3.5509076331838196E-2</v>
      </c>
      <c r="N33" s="185">
        <v>6.6406751280781356E-2</v>
      </c>
      <c r="O33" s="185">
        <v>0.78972905160424045</v>
      </c>
      <c r="P33" s="201">
        <v>0.14386419711497822</v>
      </c>
      <c r="Q33" s="205" t="e">
        <v>#N/A</v>
      </c>
      <c r="R33" s="231" t="e">
        <v>#N/A</v>
      </c>
      <c r="S33" s="185" t="e">
        <v>#N/A</v>
      </c>
      <c r="T33" s="185" t="e">
        <v>#N/A</v>
      </c>
      <c r="U33" s="201" t="e">
        <v>#N/A</v>
      </c>
      <c r="V33" s="185" t="e">
        <v>#N/A</v>
      </c>
      <c r="W33" s="185" t="e">
        <v>#N/A</v>
      </c>
      <c r="X33" s="201" t="e">
        <v>#N/A</v>
      </c>
      <c r="Y33" s="205" t="e">
        <v>#N/A</v>
      </c>
      <c r="Z33" s="231" t="e">
        <v>#N/A</v>
      </c>
      <c r="AA33" s="185" t="e">
        <v>#N/A</v>
      </c>
      <c r="AB33" s="185" t="e">
        <v>#N/A</v>
      </c>
      <c r="AC33" s="201" t="e">
        <v>#N/A</v>
      </c>
      <c r="AD33" s="185" t="e">
        <v>#N/A</v>
      </c>
      <c r="AE33" s="185" t="e">
        <v>#N/A</v>
      </c>
      <c r="AF33" s="201" t="e">
        <v>#N/A</v>
      </c>
      <c r="AH33" s="152">
        <f t="shared" si="0"/>
        <v>0.65868535921686266</v>
      </c>
      <c r="AI33" s="152">
        <f t="shared" si="1"/>
        <v>0.52967077486692882</v>
      </c>
      <c r="AJ33" s="152">
        <f t="shared" si="2"/>
        <v>0.46127127708290161</v>
      </c>
      <c r="AK33" s="152">
        <f t="shared" si="3"/>
        <v>0.68392542079586405</v>
      </c>
      <c r="AL33" s="152" t="e">
        <f t="shared" si="4"/>
        <v>#N/A</v>
      </c>
      <c r="AM33" s="152" t="e">
        <f t="shared" si="5"/>
        <v>#N/A</v>
      </c>
      <c r="AN33" s="152" t="e">
        <f t="shared" si="6"/>
        <v>#N/A</v>
      </c>
      <c r="AO33" s="152" t="e">
        <f t="shared" si="7"/>
        <v>#N/A</v>
      </c>
      <c r="AP33" s="152" t="e">
        <f t="shared" si="8"/>
        <v>#N/A</v>
      </c>
      <c r="AQ33" s="152" t="e">
        <f t="shared" si="9"/>
        <v>#N/A</v>
      </c>
      <c r="AR33" s="152" t="e">
        <f t="shared" si="10"/>
        <v>#N/A</v>
      </c>
      <c r="AS33" s="152" t="e">
        <f t="shared" si="11"/>
        <v>#N/A</v>
      </c>
    </row>
    <row r="34" spans="1:45" ht="16.350000000000001" customHeight="1">
      <c r="H34" s="212">
        <v>27</v>
      </c>
      <c r="I34" s="205">
        <v>17871.643572337951</v>
      </c>
      <c r="J34" s="231">
        <v>3526.4696223725896</v>
      </c>
      <c r="K34" s="185">
        <v>0.35761975564749499</v>
      </c>
      <c r="L34" s="185">
        <v>0.60569142212971516</v>
      </c>
      <c r="M34" s="201">
        <v>3.6688822222789907E-2</v>
      </c>
      <c r="N34" s="185">
        <v>6.6811668998324039E-2</v>
      </c>
      <c r="O34" s="185">
        <v>0.78345117935180708</v>
      </c>
      <c r="P34" s="201">
        <v>0.14973715164986889</v>
      </c>
      <c r="Q34" s="205" t="e">
        <v>#N/A</v>
      </c>
      <c r="R34" s="231" t="e">
        <v>#N/A</v>
      </c>
      <c r="S34" s="185" t="e">
        <v>#N/A</v>
      </c>
      <c r="T34" s="185" t="e">
        <v>#N/A</v>
      </c>
      <c r="U34" s="201" t="e">
        <v>#N/A</v>
      </c>
      <c r="V34" s="185" t="e">
        <v>#N/A</v>
      </c>
      <c r="W34" s="185" t="e">
        <v>#N/A</v>
      </c>
      <c r="X34" s="201" t="e">
        <v>#N/A</v>
      </c>
      <c r="Y34" s="205" t="e">
        <v>#N/A</v>
      </c>
      <c r="Z34" s="231" t="e">
        <v>#N/A</v>
      </c>
      <c r="AA34" s="185" t="e">
        <v>#N/A</v>
      </c>
      <c r="AB34" s="185" t="e">
        <v>#N/A</v>
      </c>
      <c r="AC34" s="201" t="e">
        <v>#N/A</v>
      </c>
      <c r="AD34" s="185" t="e">
        <v>#N/A</v>
      </c>
      <c r="AE34" s="185" t="e">
        <v>#N/A</v>
      </c>
      <c r="AF34" s="201" t="e">
        <v>#N/A</v>
      </c>
      <c r="AH34" s="152">
        <f t="shared" si="0"/>
        <v>0.66046546671235262</v>
      </c>
      <c r="AI34" s="152">
        <f t="shared" si="1"/>
        <v>0.52454415841865742</v>
      </c>
      <c r="AJ34" s="152">
        <f t="shared" si="2"/>
        <v>0.45853725867422757</v>
      </c>
      <c r="AK34" s="152">
        <f t="shared" si="3"/>
        <v>0.67848862394354337</v>
      </c>
      <c r="AL34" s="152" t="e">
        <f t="shared" si="4"/>
        <v>#N/A</v>
      </c>
      <c r="AM34" s="152" t="e">
        <f t="shared" si="5"/>
        <v>#N/A</v>
      </c>
      <c r="AN34" s="152" t="e">
        <f t="shared" si="6"/>
        <v>#N/A</v>
      </c>
      <c r="AO34" s="152" t="e">
        <f t="shared" si="7"/>
        <v>#N/A</v>
      </c>
      <c r="AP34" s="152" t="e">
        <f t="shared" si="8"/>
        <v>#N/A</v>
      </c>
      <c r="AQ34" s="152" t="e">
        <f t="shared" si="9"/>
        <v>#N/A</v>
      </c>
      <c r="AR34" s="152" t="e">
        <f t="shared" si="10"/>
        <v>#N/A</v>
      </c>
      <c r="AS34" s="152" t="e">
        <f t="shared" si="11"/>
        <v>#N/A</v>
      </c>
    </row>
    <row r="35" spans="1:45" ht="16.350000000000001" customHeight="1">
      <c r="H35" s="212">
        <v>28</v>
      </c>
      <c r="I35" s="205">
        <v>17885.965582114059</v>
      </c>
      <c r="J35" s="231">
        <v>3514.6927161414437</v>
      </c>
      <c r="K35" s="185">
        <v>0.36236324332934994</v>
      </c>
      <c r="L35" s="185">
        <v>0.59978236332260071</v>
      </c>
      <c r="M35" s="201">
        <v>3.7854393348049298E-2</v>
      </c>
      <c r="N35" s="185">
        <v>6.7212515736180367E-2</v>
      </c>
      <c r="O35" s="185">
        <v>0.77716280999149323</v>
      </c>
      <c r="P35" s="201">
        <v>0.1556246742723264</v>
      </c>
      <c r="Q35" s="205" t="e">
        <v>#N/A</v>
      </c>
      <c r="R35" s="231" t="e">
        <v>#N/A</v>
      </c>
      <c r="S35" s="185" t="e">
        <v>#N/A</v>
      </c>
      <c r="T35" s="185" t="e">
        <v>#N/A</v>
      </c>
      <c r="U35" s="201" t="e">
        <v>#N/A</v>
      </c>
      <c r="V35" s="185" t="e">
        <v>#N/A</v>
      </c>
      <c r="W35" s="185" t="e">
        <v>#N/A</v>
      </c>
      <c r="X35" s="201" t="e">
        <v>#N/A</v>
      </c>
      <c r="Y35" s="205" t="e">
        <v>#N/A</v>
      </c>
      <c r="Z35" s="231" t="e">
        <v>#N/A</v>
      </c>
      <c r="AA35" s="185" t="e">
        <v>#N/A</v>
      </c>
      <c r="AB35" s="185" t="e">
        <v>#N/A</v>
      </c>
      <c r="AC35" s="201" t="e">
        <v>#N/A</v>
      </c>
      <c r="AD35" s="185" t="e">
        <v>#N/A</v>
      </c>
      <c r="AE35" s="185" t="e">
        <v>#N/A</v>
      </c>
      <c r="AF35" s="201" t="e">
        <v>#N/A</v>
      </c>
      <c r="AH35" s="152">
        <f t="shared" si="0"/>
        <v>0.66225442499065035</v>
      </c>
      <c r="AI35" s="152">
        <f t="shared" si="1"/>
        <v>0.5194267633792401</v>
      </c>
      <c r="AJ35" s="152">
        <f t="shared" si="2"/>
        <v>0.45579392073192698</v>
      </c>
      <c r="AK35" s="152">
        <f t="shared" si="3"/>
        <v>0.67304273632913181</v>
      </c>
      <c r="AL35" s="152" t="e">
        <f t="shared" si="4"/>
        <v>#N/A</v>
      </c>
      <c r="AM35" s="152" t="e">
        <f t="shared" si="5"/>
        <v>#N/A</v>
      </c>
      <c r="AN35" s="152" t="e">
        <f t="shared" si="6"/>
        <v>#N/A</v>
      </c>
      <c r="AO35" s="152" t="e">
        <f t="shared" si="7"/>
        <v>#N/A</v>
      </c>
      <c r="AP35" s="152" t="e">
        <f t="shared" si="8"/>
        <v>#N/A</v>
      </c>
      <c r="AQ35" s="152" t="e">
        <f t="shared" si="9"/>
        <v>#N/A</v>
      </c>
      <c r="AR35" s="152" t="e">
        <f t="shared" si="10"/>
        <v>#N/A</v>
      </c>
      <c r="AS35" s="152" t="e">
        <f t="shared" si="11"/>
        <v>#N/A</v>
      </c>
    </row>
    <row r="36" spans="1:45" ht="16.350000000000001" customHeight="1">
      <c r="H36" s="212">
        <v>29</v>
      </c>
      <c r="I36" s="205">
        <v>17899.768247591805</v>
      </c>
      <c r="J36" s="231">
        <v>3503.0725709749486</v>
      </c>
      <c r="K36" s="185">
        <v>0.3671100334154791</v>
      </c>
      <c r="L36" s="185">
        <v>0.59388394437759295</v>
      </c>
      <c r="M36" s="201">
        <v>3.9006022206927948E-2</v>
      </c>
      <c r="N36" s="185">
        <v>6.7609361662055611E-2</v>
      </c>
      <c r="O36" s="185">
        <v>0.77086396034340987</v>
      </c>
      <c r="P36" s="201">
        <v>0.16152667799453446</v>
      </c>
      <c r="Q36" s="205" t="e">
        <v>#N/A</v>
      </c>
      <c r="R36" s="231" t="e">
        <v>#N/A</v>
      </c>
      <c r="S36" s="185" t="e">
        <v>#N/A</v>
      </c>
      <c r="T36" s="185" t="e">
        <v>#N/A</v>
      </c>
      <c r="U36" s="201" t="e">
        <v>#N/A</v>
      </c>
      <c r="V36" s="185" t="e">
        <v>#N/A</v>
      </c>
      <c r="W36" s="185" t="e">
        <v>#N/A</v>
      </c>
      <c r="X36" s="201" t="e">
        <v>#N/A</v>
      </c>
      <c r="Y36" s="205" t="e">
        <v>#N/A</v>
      </c>
      <c r="Z36" s="231" t="e">
        <v>#N/A</v>
      </c>
      <c r="AA36" s="185" t="e">
        <v>#N/A</v>
      </c>
      <c r="AB36" s="185" t="e">
        <v>#N/A</v>
      </c>
      <c r="AC36" s="201" t="e">
        <v>#N/A</v>
      </c>
      <c r="AD36" s="185" t="e">
        <v>#N/A</v>
      </c>
      <c r="AE36" s="185" t="e">
        <v>#N/A</v>
      </c>
      <c r="AF36" s="201" t="e">
        <v>#N/A</v>
      </c>
      <c r="AH36" s="152">
        <f t="shared" si="0"/>
        <v>0.66405200560427557</v>
      </c>
      <c r="AI36" s="152">
        <f t="shared" si="1"/>
        <v>0.51431858273069997</v>
      </c>
      <c r="AJ36" s="152">
        <f t="shared" si="2"/>
        <v>0.45304134183376055</v>
      </c>
      <c r="AK36" s="152">
        <f t="shared" si="3"/>
        <v>0.66758777251927304</v>
      </c>
      <c r="AL36" s="152" t="e">
        <f t="shared" si="4"/>
        <v>#N/A</v>
      </c>
      <c r="AM36" s="152" t="e">
        <f t="shared" si="5"/>
        <v>#N/A</v>
      </c>
      <c r="AN36" s="152" t="e">
        <f t="shared" si="6"/>
        <v>#N/A</v>
      </c>
      <c r="AO36" s="152" t="e">
        <f t="shared" si="7"/>
        <v>#N/A</v>
      </c>
      <c r="AP36" s="152" t="e">
        <f t="shared" si="8"/>
        <v>#N/A</v>
      </c>
      <c r="AQ36" s="152" t="e">
        <f t="shared" si="9"/>
        <v>#N/A</v>
      </c>
      <c r="AR36" s="152" t="e">
        <f t="shared" si="10"/>
        <v>#N/A</v>
      </c>
      <c r="AS36" s="152" t="e">
        <f t="shared" si="11"/>
        <v>#N/A</v>
      </c>
    </row>
    <row r="37" spans="1:45" ht="16.350000000000001" customHeight="1">
      <c r="A37" s="147"/>
      <c r="H37" s="212">
        <v>30</v>
      </c>
      <c r="I37" s="205">
        <v>17913.061112799151</v>
      </c>
      <c r="J37" s="231">
        <v>3491.6059022836994</v>
      </c>
      <c r="K37" s="185">
        <v>0.37185990500516808</v>
      </c>
      <c r="L37" s="185">
        <v>0.58799615772811664</v>
      </c>
      <c r="M37" s="201">
        <v>4.0143937266715279E-2</v>
      </c>
      <c r="N37" s="185">
        <v>6.8002275596523387E-2</v>
      </c>
      <c r="O37" s="185">
        <v>0.7645546468922565</v>
      </c>
      <c r="P37" s="201">
        <v>0.16744307751122012</v>
      </c>
      <c r="Q37" s="205" t="e">
        <v>#N/A</v>
      </c>
      <c r="R37" s="231" t="e">
        <v>#N/A</v>
      </c>
      <c r="S37" s="185" t="e">
        <v>#N/A</v>
      </c>
      <c r="T37" s="185" t="e">
        <v>#N/A</v>
      </c>
      <c r="U37" s="201" t="e">
        <v>#N/A</v>
      </c>
      <c r="V37" s="185" t="e">
        <v>#N/A</v>
      </c>
      <c r="W37" s="185" t="e">
        <v>#N/A</v>
      </c>
      <c r="X37" s="201" t="e">
        <v>#N/A</v>
      </c>
      <c r="Y37" s="205" t="e">
        <v>#N/A</v>
      </c>
      <c r="Z37" s="231" t="e">
        <v>#N/A</v>
      </c>
      <c r="AA37" s="185" t="e">
        <v>#N/A</v>
      </c>
      <c r="AB37" s="185" t="e">
        <v>#N/A</v>
      </c>
      <c r="AC37" s="201" t="e">
        <v>#N/A</v>
      </c>
      <c r="AD37" s="185" t="e">
        <v>#N/A</v>
      </c>
      <c r="AE37" s="185" t="e">
        <v>#N/A</v>
      </c>
      <c r="AF37" s="201" t="e">
        <v>#N/A</v>
      </c>
      <c r="AH37" s="152">
        <f t="shared" si="0"/>
        <v>0.66585798386922646</v>
      </c>
      <c r="AI37" s="152">
        <f t="shared" si="1"/>
        <v>0.50921960992019066</v>
      </c>
      <c r="AJ37" s="152">
        <f t="shared" si="2"/>
        <v>0.45027959904265163</v>
      </c>
      <c r="AK37" s="152">
        <f t="shared" si="3"/>
        <v>0.6621237467901353</v>
      </c>
      <c r="AL37" s="152" t="e">
        <f t="shared" si="4"/>
        <v>#N/A</v>
      </c>
      <c r="AM37" s="152" t="e">
        <f t="shared" si="5"/>
        <v>#N/A</v>
      </c>
      <c r="AN37" s="152" t="e">
        <f t="shared" si="6"/>
        <v>#N/A</v>
      </c>
      <c r="AO37" s="152" t="e">
        <f t="shared" si="7"/>
        <v>#N/A</v>
      </c>
      <c r="AP37" s="152" t="e">
        <f t="shared" si="8"/>
        <v>#N/A</v>
      </c>
      <c r="AQ37" s="152" t="e">
        <f t="shared" si="9"/>
        <v>#N/A</v>
      </c>
      <c r="AR37" s="152" t="e">
        <f t="shared" si="10"/>
        <v>#N/A</v>
      </c>
      <c r="AS37" s="152" t="e">
        <f t="shared" si="11"/>
        <v>#N/A</v>
      </c>
    </row>
    <row r="38" spans="1:45" ht="16.350000000000001" customHeight="1">
      <c r="H38" s="212">
        <v>31</v>
      </c>
      <c r="I38" s="205">
        <v>17925.853548594951</v>
      </c>
      <c r="J38" s="231">
        <v>3480.2895306861119</v>
      </c>
      <c r="K38" s="185">
        <v>0.37661264062248767</v>
      </c>
      <c r="L38" s="185">
        <v>0.58211899629325803</v>
      </c>
      <c r="M38" s="201">
        <v>4.12683630842543E-2</v>
      </c>
      <c r="N38" s="185">
        <v>6.8391325025209171E-2</v>
      </c>
      <c r="O38" s="185">
        <v>0.75823488582434695</v>
      </c>
      <c r="P38" s="201">
        <v>0.17337378915044388</v>
      </c>
      <c r="Q38" s="205" t="e">
        <v>#N/A</v>
      </c>
      <c r="R38" s="231" t="e">
        <v>#N/A</v>
      </c>
      <c r="S38" s="185" t="e">
        <v>#N/A</v>
      </c>
      <c r="T38" s="185" t="e">
        <v>#N/A</v>
      </c>
      <c r="U38" s="201" t="e">
        <v>#N/A</v>
      </c>
      <c r="V38" s="185" t="e">
        <v>#N/A</v>
      </c>
      <c r="W38" s="185" t="e">
        <v>#N/A</v>
      </c>
      <c r="X38" s="201" t="e">
        <v>#N/A</v>
      </c>
      <c r="Y38" s="205" t="e">
        <v>#N/A</v>
      </c>
      <c r="Z38" s="231" t="e">
        <v>#N/A</v>
      </c>
      <c r="AA38" s="185" t="e">
        <v>#N/A</v>
      </c>
      <c r="AB38" s="185" t="e">
        <v>#N/A</v>
      </c>
      <c r="AC38" s="201" t="e">
        <v>#N/A</v>
      </c>
      <c r="AD38" s="185" t="e">
        <v>#N/A</v>
      </c>
      <c r="AE38" s="185" t="e">
        <v>#N/A</v>
      </c>
      <c r="AF38" s="201" t="e">
        <v>#N/A</v>
      </c>
      <c r="AH38" s="152">
        <f t="shared" si="0"/>
        <v>0.66767213876911669</v>
      </c>
      <c r="AI38" s="152">
        <f t="shared" si="1"/>
        <v>0.50412983881546092</v>
      </c>
      <c r="AJ38" s="152">
        <f t="shared" si="2"/>
        <v>0.44750876793738265</v>
      </c>
      <c r="AK38" s="152">
        <f t="shared" si="3"/>
        <v>0.65665067315947778</v>
      </c>
      <c r="AL38" s="152" t="e">
        <f t="shared" si="4"/>
        <v>#N/A</v>
      </c>
      <c r="AM38" s="152" t="e">
        <f t="shared" si="5"/>
        <v>#N/A</v>
      </c>
      <c r="AN38" s="152" t="e">
        <f t="shared" si="6"/>
        <v>#N/A</v>
      </c>
      <c r="AO38" s="152" t="e">
        <f t="shared" si="7"/>
        <v>#N/A</v>
      </c>
      <c r="AP38" s="152" t="e">
        <f t="shared" si="8"/>
        <v>#N/A</v>
      </c>
      <c r="AQ38" s="152" t="e">
        <f t="shared" si="9"/>
        <v>#N/A</v>
      </c>
      <c r="AR38" s="152" t="e">
        <f t="shared" si="10"/>
        <v>#N/A</v>
      </c>
      <c r="AS38" s="152" t="e">
        <f t="shared" si="11"/>
        <v>#N/A</v>
      </c>
    </row>
    <row r="39" spans="1:45" ht="15.75" customHeight="1">
      <c r="H39" s="212">
        <v>32</v>
      </c>
      <c r="I39" s="205">
        <v>17938.154756212913</v>
      </c>
      <c r="J39" s="231">
        <v>3469.1203769451527</v>
      </c>
      <c r="K39" s="185">
        <v>0.38136802614415205</v>
      </c>
      <c r="L39" s="185">
        <v>0.57625245343482845</v>
      </c>
      <c r="M39" s="201">
        <v>4.2379520421019445E-2</v>
      </c>
      <c r="N39" s="185">
        <v>6.8776576111977433E-2</v>
      </c>
      <c r="O39" s="185">
        <v>0.75190469305817687</v>
      </c>
      <c r="P39" s="201">
        <v>0.17931873082984573</v>
      </c>
      <c r="Q39" s="205" t="e">
        <v>#N/A</v>
      </c>
      <c r="R39" s="231" t="e">
        <v>#N/A</v>
      </c>
      <c r="S39" s="185" t="e">
        <v>#N/A</v>
      </c>
      <c r="T39" s="185" t="e">
        <v>#N/A</v>
      </c>
      <c r="U39" s="201" t="e">
        <v>#N/A</v>
      </c>
      <c r="V39" s="185" t="e">
        <v>#N/A</v>
      </c>
      <c r="W39" s="185" t="e">
        <v>#N/A</v>
      </c>
      <c r="X39" s="201" t="e">
        <v>#N/A</v>
      </c>
      <c r="Y39" s="205" t="e">
        <v>#N/A</v>
      </c>
      <c r="Z39" s="231" t="e">
        <v>#N/A</v>
      </c>
      <c r="AA39" s="185" t="e">
        <v>#N/A</v>
      </c>
      <c r="AB39" s="185" t="e">
        <v>#N/A</v>
      </c>
      <c r="AC39" s="201" t="e">
        <v>#N/A</v>
      </c>
      <c r="AD39" s="185" t="e">
        <v>#N/A</v>
      </c>
      <c r="AE39" s="185" t="e">
        <v>#N/A</v>
      </c>
      <c r="AF39" s="201" t="e">
        <v>#N/A</v>
      </c>
      <c r="AH39" s="152">
        <f t="shared" si="0"/>
        <v>0.66949425286156627</v>
      </c>
      <c r="AI39" s="152">
        <f t="shared" si="1"/>
        <v>0.49904926366767072</v>
      </c>
      <c r="AJ39" s="152">
        <f t="shared" si="2"/>
        <v>0.44472892264106589</v>
      </c>
      <c r="AK39" s="152">
        <f t="shared" si="3"/>
        <v>0.65116856541312196</v>
      </c>
      <c r="AL39" s="152" t="e">
        <f t="shared" si="4"/>
        <v>#N/A</v>
      </c>
      <c r="AM39" s="152" t="e">
        <f t="shared" si="5"/>
        <v>#N/A</v>
      </c>
      <c r="AN39" s="152" t="e">
        <f t="shared" si="6"/>
        <v>#N/A</v>
      </c>
      <c r="AO39" s="152" t="e">
        <f t="shared" si="7"/>
        <v>#N/A</v>
      </c>
      <c r="AP39" s="152" t="e">
        <f t="shared" si="8"/>
        <v>#N/A</v>
      </c>
      <c r="AQ39" s="152" t="e">
        <f t="shared" si="9"/>
        <v>#N/A</v>
      </c>
      <c r="AR39" s="152" t="e">
        <f t="shared" si="10"/>
        <v>#N/A</v>
      </c>
      <c r="AS39" s="152" t="e">
        <f t="shared" si="11"/>
        <v>#N/A</v>
      </c>
    </row>
    <row r="40" spans="1:45" ht="15.75" customHeight="1">
      <c r="H40" s="212">
        <v>33</v>
      </c>
      <c r="I40" s="205">
        <v>17949.973777177147</v>
      </c>
      <c r="J40" s="231">
        <v>3458.0954571978555</v>
      </c>
      <c r="K40" s="185">
        <v>0.38612585161837865</v>
      </c>
      <c r="L40" s="185">
        <v>0.57039652250674722</v>
      </c>
      <c r="M40" s="201">
        <v>4.3477625874874137E-2</v>
      </c>
      <c r="N40" s="185">
        <v>6.9158093763421288E-2</v>
      </c>
      <c r="O40" s="185">
        <v>0.74556408408815789</v>
      </c>
      <c r="P40" s="201">
        <v>0.18527782214842081</v>
      </c>
      <c r="Q40" s="205" t="e">
        <v>#N/A</v>
      </c>
      <c r="R40" s="231" t="e">
        <v>#N/A</v>
      </c>
      <c r="S40" s="185" t="e">
        <v>#N/A</v>
      </c>
      <c r="T40" s="185" t="e">
        <v>#N/A</v>
      </c>
      <c r="U40" s="201" t="e">
        <v>#N/A</v>
      </c>
      <c r="V40" s="185" t="e">
        <v>#N/A</v>
      </c>
      <c r="W40" s="185" t="e">
        <v>#N/A</v>
      </c>
      <c r="X40" s="201" t="e">
        <v>#N/A</v>
      </c>
      <c r="Y40" s="205" t="e">
        <v>#N/A</v>
      </c>
      <c r="Z40" s="231" t="e">
        <v>#N/A</v>
      </c>
      <c r="AA40" s="185" t="e">
        <v>#N/A</v>
      </c>
      <c r="AB40" s="185" t="e">
        <v>#N/A</v>
      </c>
      <c r="AC40" s="201" t="e">
        <v>#N/A</v>
      </c>
      <c r="AD40" s="185" t="e">
        <v>#N/A</v>
      </c>
      <c r="AE40" s="185" t="e">
        <v>#N/A</v>
      </c>
      <c r="AF40" s="201" t="e">
        <v>#N/A</v>
      </c>
      <c r="AH40" s="152">
        <f t="shared" si="0"/>
        <v>0.6713241128717522</v>
      </c>
      <c r="AI40" s="152">
        <f t="shared" si="1"/>
        <v>0.4939778787211454</v>
      </c>
      <c r="AJ40" s="152">
        <f t="shared" si="2"/>
        <v>0.44194013580750025</v>
      </c>
      <c r="AK40" s="152">
        <f t="shared" si="3"/>
        <v>0.6456774369696221</v>
      </c>
      <c r="AL40" s="152" t="e">
        <f t="shared" si="4"/>
        <v>#N/A</v>
      </c>
      <c r="AM40" s="152" t="e">
        <f t="shared" si="5"/>
        <v>#N/A</v>
      </c>
      <c r="AN40" s="152" t="e">
        <f t="shared" si="6"/>
        <v>#N/A</v>
      </c>
      <c r="AO40" s="152" t="e">
        <f t="shared" si="7"/>
        <v>#N/A</v>
      </c>
      <c r="AP40" s="152" t="e">
        <f t="shared" si="8"/>
        <v>#N/A</v>
      </c>
      <c r="AQ40" s="152" t="e">
        <f t="shared" si="9"/>
        <v>#N/A</v>
      </c>
      <c r="AR40" s="152" t="e">
        <f t="shared" si="10"/>
        <v>#N/A</v>
      </c>
      <c r="AS40" s="152" t="e">
        <f t="shared" si="11"/>
        <v>#N/A</v>
      </c>
    </row>
    <row r="41" spans="1:45" ht="16.350000000000001" customHeight="1">
      <c r="H41" s="212">
        <v>34</v>
      </c>
      <c r="I41" s="205">
        <v>17961.319469616748</v>
      </c>
      <c r="J41" s="231">
        <v>3447.2118790056184</v>
      </c>
      <c r="K41" s="185">
        <v>0.39088590741810747</v>
      </c>
      <c r="L41" s="185">
        <v>0.56455119867686199</v>
      </c>
      <c r="M41" s="201">
        <v>4.4562893905030543E-2</v>
      </c>
      <c r="N41" s="185">
        <v>6.9535941427435979E-2</v>
      </c>
      <c r="O41" s="185">
        <v>0.73921307490845833</v>
      </c>
      <c r="P41" s="201">
        <v>0.19125098366410564</v>
      </c>
      <c r="Q41" s="205" t="e">
        <v>#N/A</v>
      </c>
      <c r="R41" s="231" t="e">
        <v>#N/A</v>
      </c>
      <c r="S41" s="185" t="e">
        <v>#N/A</v>
      </c>
      <c r="T41" s="185" t="e">
        <v>#N/A</v>
      </c>
      <c r="U41" s="201" t="e">
        <v>#N/A</v>
      </c>
      <c r="V41" s="185" t="e">
        <v>#N/A</v>
      </c>
      <c r="W41" s="185" t="e">
        <v>#N/A</v>
      </c>
      <c r="X41" s="201" t="e">
        <v>#N/A</v>
      </c>
      <c r="Y41" s="205" t="e">
        <v>#N/A</v>
      </c>
      <c r="Z41" s="231" t="e">
        <v>#N/A</v>
      </c>
      <c r="AA41" s="185" t="e">
        <v>#N/A</v>
      </c>
      <c r="AB41" s="185" t="e">
        <v>#N/A</v>
      </c>
      <c r="AC41" s="201" t="e">
        <v>#N/A</v>
      </c>
      <c r="AD41" s="185" t="e">
        <v>#N/A</v>
      </c>
      <c r="AE41" s="185" t="e">
        <v>#N/A</v>
      </c>
      <c r="AF41" s="201" t="e">
        <v>#N/A</v>
      </c>
      <c r="AH41" s="152">
        <f t="shared" si="0"/>
        <v>0.67316150675653841</v>
      </c>
      <c r="AI41" s="152">
        <f t="shared" si="1"/>
        <v>0.48891567979111822</v>
      </c>
      <c r="AJ41" s="152">
        <f t="shared" si="2"/>
        <v>0.43914247888166513</v>
      </c>
      <c r="AK41" s="152">
        <f t="shared" si="3"/>
        <v>0.64017730168033404</v>
      </c>
      <c r="AL41" s="152" t="e">
        <f t="shared" si="4"/>
        <v>#N/A</v>
      </c>
      <c r="AM41" s="152" t="e">
        <f t="shared" si="5"/>
        <v>#N/A</v>
      </c>
      <c r="AN41" s="152" t="e">
        <f t="shared" si="6"/>
        <v>#N/A</v>
      </c>
      <c r="AO41" s="152" t="e">
        <f t="shared" si="7"/>
        <v>#N/A</v>
      </c>
      <c r="AP41" s="152" t="e">
        <f t="shared" si="8"/>
        <v>#N/A</v>
      </c>
      <c r="AQ41" s="152" t="e">
        <f t="shared" si="9"/>
        <v>#N/A</v>
      </c>
      <c r="AR41" s="152" t="e">
        <f t="shared" si="10"/>
        <v>#N/A</v>
      </c>
      <c r="AS41" s="152" t="e">
        <f t="shared" si="11"/>
        <v>#N/A</v>
      </c>
    </row>
    <row r="42" spans="1:45" ht="16.350000000000001" customHeight="1">
      <c r="A42" s="256" t="s">
        <v>408</v>
      </c>
      <c r="H42" s="212">
        <v>35</v>
      </c>
      <c r="I42" s="205">
        <v>17972.200553943858</v>
      </c>
      <c r="J42" s="231">
        <v>3436.466835724309</v>
      </c>
      <c r="K42" s="185">
        <v>0.39564799030922293</v>
      </c>
      <c r="L42" s="185">
        <v>0.55871647562246618</v>
      </c>
      <c r="M42" s="201">
        <v>4.563553406831089E-2</v>
      </c>
      <c r="N42" s="185">
        <v>6.991018147029357E-2</v>
      </c>
      <c r="O42" s="185">
        <v>0.73285168017147928</v>
      </c>
      <c r="P42" s="201">
        <v>0.19723813835822712</v>
      </c>
      <c r="Q42" s="205" t="e">
        <v>#N/A</v>
      </c>
      <c r="R42" s="231" t="e">
        <v>#N/A</v>
      </c>
      <c r="S42" s="185" t="e">
        <v>#N/A</v>
      </c>
      <c r="T42" s="185" t="e">
        <v>#N/A</v>
      </c>
      <c r="U42" s="201" t="e">
        <v>#N/A</v>
      </c>
      <c r="V42" s="185" t="e">
        <v>#N/A</v>
      </c>
      <c r="W42" s="185" t="e">
        <v>#N/A</v>
      </c>
      <c r="X42" s="201" t="e">
        <v>#N/A</v>
      </c>
      <c r="Y42" s="205" t="e">
        <v>#N/A</v>
      </c>
      <c r="Z42" s="231" t="e">
        <v>#N/A</v>
      </c>
      <c r="AA42" s="185" t="e">
        <v>#N/A</v>
      </c>
      <c r="AB42" s="185" t="e">
        <v>#N/A</v>
      </c>
      <c r="AC42" s="201" t="e">
        <v>#N/A</v>
      </c>
      <c r="AD42" s="185" t="e">
        <v>#N/A</v>
      </c>
      <c r="AE42" s="185" t="e">
        <v>#N/A</v>
      </c>
      <c r="AF42" s="201" t="e">
        <v>#N/A</v>
      </c>
      <c r="AH42" s="152">
        <f t="shared" si="0"/>
        <v>0.67500622812045608</v>
      </c>
      <c r="AI42" s="152">
        <f t="shared" si="1"/>
        <v>0.48386266140196471</v>
      </c>
      <c r="AJ42" s="152">
        <f t="shared" si="2"/>
        <v>0.43633602155603324</v>
      </c>
      <c r="AK42" s="152">
        <f t="shared" si="3"/>
        <v>0.63466817223460958</v>
      </c>
      <c r="AL42" s="152" t="e">
        <f t="shared" si="4"/>
        <v>#N/A</v>
      </c>
      <c r="AM42" s="152" t="e">
        <f t="shared" si="5"/>
        <v>#N/A</v>
      </c>
      <c r="AN42" s="152" t="e">
        <f t="shared" si="6"/>
        <v>#N/A</v>
      </c>
      <c r="AO42" s="152" t="e">
        <f t="shared" si="7"/>
        <v>#N/A</v>
      </c>
      <c r="AP42" s="152" t="e">
        <f t="shared" si="8"/>
        <v>#N/A</v>
      </c>
      <c r="AQ42" s="152" t="e">
        <f t="shared" si="9"/>
        <v>#N/A</v>
      </c>
      <c r="AR42" s="152" t="e">
        <f t="shared" si="10"/>
        <v>#N/A</v>
      </c>
      <c r="AS42" s="152" t="e">
        <f t="shared" si="11"/>
        <v>#N/A</v>
      </c>
    </row>
    <row r="43" spans="1:45" ht="16.350000000000001" customHeight="1">
      <c r="A43" s="163"/>
      <c r="B43" s="159"/>
      <c r="C43" s="159"/>
      <c r="D43" s="159"/>
      <c r="H43" s="212">
        <v>36</v>
      </c>
      <c r="I43" s="205">
        <v>17982.625585555437</v>
      </c>
      <c r="J43" s="231">
        <v>3425.8576048519421</v>
      </c>
      <c r="K43" s="185">
        <v>0.40041189865961702</v>
      </c>
      <c r="L43" s="185">
        <v>0.55289234839667267</v>
      </c>
      <c r="M43" s="201">
        <v>4.6695752943710311E-2</v>
      </c>
      <c r="N43" s="185">
        <v>7.0280874903837734E-2</v>
      </c>
      <c r="O43" s="185">
        <v>0.72647991516217847</v>
      </c>
      <c r="P43" s="201">
        <v>0.20323920993398381</v>
      </c>
      <c r="Q43" s="205" t="e">
        <v>#N/A</v>
      </c>
      <c r="R43" s="231" t="e">
        <v>#N/A</v>
      </c>
      <c r="S43" s="185" t="e">
        <v>#N/A</v>
      </c>
      <c r="T43" s="185" t="e">
        <v>#N/A</v>
      </c>
      <c r="U43" s="201" t="e">
        <v>#N/A</v>
      </c>
      <c r="V43" s="185" t="e">
        <v>#N/A</v>
      </c>
      <c r="W43" s="185" t="e">
        <v>#N/A</v>
      </c>
      <c r="X43" s="201" t="e">
        <v>#N/A</v>
      </c>
      <c r="Y43" s="205" t="e">
        <v>#N/A</v>
      </c>
      <c r="Z43" s="231" t="e">
        <v>#N/A</v>
      </c>
      <c r="AA43" s="185" t="e">
        <v>#N/A</v>
      </c>
      <c r="AB43" s="185" t="e">
        <v>#N/A</v>
      </c>
      <c r="AC43" s="201" t="e">
        <v>#N/A</v>
      </c>
      <c r="AD43" s="185" t="e">
        <v>#N/A</v>
      </c>
      <c r="AE43" s="185" t="e">
        <v>#N/A</v>
      </c>
      <c r="AF43" s="201" t="e">
        <v>#N/A</v>
      </c>
      <c r="AH43" s="152">
        <f t="shared" si="0"/>
        <v>0.67685807285795341</v>
      </c>
      <c r="AI43" s="152">
        <f t="shared" si="1"/>
        <v>0.47881881926955494</v>
      </c>
      <c r="AJ43" s="152">
        <f t="shared" si="2"/>
        <v>0.43352083248492695</v>
      </c>
      <c r="AK43" s="152">
        <f t="shared" si="3"/>
        <v>0.62915006186961031</v>
      </c>
      <c r="AL43" s="152" t="e">
        <f t="shared" si="4"/>
        <v>#N/A</v>
      </c>
      <c r="AM43" s="152" t="e">
        <f t="shared" si="5"/>
        <v>#N/A</v>
      </c>
      <c r="AN43" s="152" t="e">
        <f t="shared" si="6"/>
        <v>#N/A</v>
      </c>
      <c r="AO43" s="152" t="e">
        <f t="shared" si="7"/>
        <v>#N/A</v>
      </c>
      <c r="AP43" s="152" t="e">
        <f t="shared" si="8"/>
        <v>#N/A</v>
      </c>
      <c r="AQ43" s="152" t="e">
        <f t="shared" si="9"/>
        <v>#N/A</v>
      </c>
      <c r="AR43" s="152" t="e">
        <f t="shared" si="10"/>
        <v>#N/A</v>
      </c>
      <c r="AS43" s="152" t="e">
        <f t="shared" si="11"/>
        <v>#N/A</v>
      </c>
    </row>
    <row r="44" spans="1:45" ht="16.350000000000001" customHeight="1">
      <c r="A44" s="257" t="str">
        <f>A13</f>
        <v>ethane</v>
      </c>
      <c r="B44" s="257" t="str">
        <f>A14</f>
        <v>methane</v>
      </c>
      <c r="C44" s="257" t="str">
        <f>A15</f>
        <v>nitrogen</v>
      </c>
      <c r="D44" s="159"/>
      <c r="E44" s="257" t="s">
        <v>388</v>
      </c>
      <c r="F44" s="257" t="s">
        <v>389</v>
      </c>
      <c r="H44" s="212">
        <v>37</v>
      </c>
      <c r="I44" s="205">
        <v>17992.602966696821</v>
      </c>
      <c r="J44" s="231">
        <v>3415.3815428731791</v>
      </c>
      <c r="K44" s="185">
        <v>0.40517743399294454</v>
      </c>
      <c r="L44" s="185">
        <v>0.54707881215508691</v>
      </c>
      <c r="M44" s="201">
        <v>4.7743753851968496E-2</v>
      </c>
      <c r="N44" s="185">
        <v>7.0648081510063299E-2</v>
      </c>
      <c r="O44" s="185">
        <v>0.72009779474022795</v>
      </c>
      <c r="P44" s="201">
        <v>0.20925412374970875</v>
      </c>
      <c r="Q44" s="205" t="e">
        <v>#N/A</v>
      </c>
      <c r="R44" s="231" t="e">
        <v>#N/A</v>
      </c>
      <c r="S44" s="185" t="e">
        <v>#N/A</v>
      </c>
      <c r="T44" s="185" t="e">
        <v>#N/A</v>
      </c>
      <c r="U44" s="201" t="e">
        <v>#N/A</v>
      </c>
      <c r="V44" s="185" t="e">
        <v>#N/A</v>
      </c>
      <c r="W44" s="185" t="e">
        <v>#N/A</v>
      </c>
      <c r="X44" s="201" t="e">
        <v>#N/A</v>
      </c>
      <c r="Y44" s="205" t="e">
        <v>#N/A</v>
      </c>
      <c r="Z44" s="231" t="e">
        <v>#N/A</v>
      </c>
      <c r="AA44" s="185" t="e">
        <v>#N/A</v>
      </c>
      <c r="AB44" s="185" t="e">
        <v>#N/A</v>
      </c>
      <c r="AC44" s="201" t="e">
        <v>#N/A</v>
      </c>
      <c r="AD44" s="185" t="e">
        <v>#N/A</v>
      </c>
      <c r="AE44" s="185" t="e">
        <v>#N/A</v>
      </c>
      <c r="AF44" s="201" t="e">
        <v>#N/A</v>
      </c>
      <c r="AH44" s="152">
        <f t="shared" si="0"/>
        <v>0.67871684007048794</v>
      </c>
      <c r="AI44" s="152">
        <f t="shared" si="1"/>
        <v>0.47378414919852019</v>
      </c>
      <c r="AJ44" s="152">
        <f t="shared" si="2"/>
        <v>0.43069697888017727</v>
      </c>
      <c r="AK44" s="152">
        <f t="shared" si="3"/>
        <v>0.62362298345418965</v>
      </c>
      <c r="AL44" s="152" t="e">
        <f t="shared" si="4"/>
        <v>#N/A</v>
      </c>
      <c r="AM44" s="152" t="e">
        <f t="shared" si="5"/>
        <v>#N/A</v>
      </c>
      <c r="AN44" s="152" t="e">
        <f t="shared" si="6"/>
        <v>#N/A</v>
      </c>
      <c r="AO44" s="152" t="e">
        <f t="shared" si="7"/>
        <v>#N/A</v>
      </c>
      <c r="AP44" s="152" t="e">
        <f t="shared" si="8"/>
        <v>#N/A</v>
      </c>
      <c r="AQ44" s="152" t="e">
        <f t="shared" si="9"/>
        <v>#N/A</v>
      </c>
      <c r="AR44" s="152" t="e">
        <f t="shared" si="10"/>
        <v>#N/A</v>
      </c>
      <c r="AS44" s="152" t="e">
        <f t="shared" si="11"/>
        <v>#N/A</v>
      </c>
    </row>
    <row r="45" spans="1:45" ht="16.350000000000001" customHeight="1">
      <c r="A45" s="178">
        <v>0.92464864999999996</v>
      </c>
      <c r="B45" s="178">
        <v>7.5351349999999997E-2</v>
      </c>
      <c r="C45">
        <f>IF(AND(ISBLANK(A45),ISBLANK(B45)),"",1-SUM(A45:B45))</f>
        <v>0</v>
      </c>
      <c r="D45" s="159"/>
      <c r="E45" s="152">
        <f>IF(C45="",NA(),A45+B45*$AH$5)</f>
        <v>0.96232432499999998</v>
      </c>
      <c r="F45" s="152">
        <f>IF(C45="",NA(),B45*$AI$5)</f>
        <v>6.5256183309452556E-2</v>
      </c>
      <c r="H45" s="212">
        <v>38</v>
      </c>
      <c r="I45" s="205">
        <v>18002.140948963963</v>
      </c>
      <c r="J45" s="231">
        <v>3405.0360822719504</v>
      </c>
      <c r="K45" s="185">
        <v>0.40994440073518718</v>
      </c>
      <c r="L45" s="185">
        <v>0.54127586236364111</v>
      </c>
      <c r="M45" s="201">
        <v>4.8779736901171766E-2</v>
      </c>
      <c r="N45" s="185">
        <v>7.1011859844214931E-2</v>
      </c>
      <c r="O45" s="185">
        <v>0.71370533358234511</v>
      </c>
      <c r="P45" s="201">
        <v>0.21528280657344001</v>
      </c>
      <c r="Q45" s="205" t="e">
        <v>#N/A</v>
      </c>
      <c r="R45" s="231" t="e">
        <v>#N/A</v>
      </c>
      <c r="S45" s="185" t="e">
        <v>#N/A</v>
      </c>
      <c r="T45" s="185" t="e">
        <v>#N/A</v>
      </c>
      <c r="U45" s="201" t="e">
        <v>#N/A</v>
      </c>
      <c r="V45" s="185" t="e">
        <v>#N/A</v>
      </c>
      <c r="W45" s="185" t="e">
        <v>#N/A</v>
      </c>
      <c r="X45" s="201" t="e">
        <v>#N/A</v>
      </c>
      <c r="Y45" s="205" t="e">
        <v>#N/A</v>
      </c>
      <c r="Z45" s="231" t="e">
        <v>#N/A</v>
      </c>
      <c r="AA45" s="185" t="e">
        <v>#N/A</v>
      </c>
      <c r="AB45" s="185" t="e">
        <v>#N/A</v>
      </c>
      <c r="AC45" s="201" t="e">
        <v>#N/A</v>
      </c>
      <c r="AD45" s="185" t="e">
        <v>#N/A</v>
      </c>
      <c r="AE45" s="185" t="e">
        <v>#N/A</v>
      </c>
      <c r="AF45" s="201" t="e">
        <v>#N/A</v>
      </c>
      <c r="AH45" s="152">
        <f t="shared" si="0"/>
        <v>0.68058233191700768</v>
      </c>
      <c r="AI45" s="152">
        <f t="shared" si="1"/>
        <v>0.46875864726224248</v>
      </c>
      <c r="AJ45" s="152">
        <f t="shared" si="2"/>
        <v>0.42786452663538749</v>
      </c>
      <c r="AK45" s="152">
        <f t="shared" si="3"/>
        <v>0.61808694969875788</v>
      </c>
      <c r="AL45" s="152" t="e">
        <f t="shared" si="4"/>
        <v>#N/A</v>
      </c>
      <c r="AM45" s="152" t="e">
        <f t="shared" si="5"/>
        <v>#N/A</v>
      </c>
      <c r="AN45" s="152" t="e">
        <f t="shared" si="6"/>
        <v>#N/A</v>
      </c>
      <c r="AO45" s="152" t="e">
        <f t="shared" si="7"/>
        <v>#N/A</v>
      </c>
      <c r="AP45" s="152" t="e">
        <f t="shared" si="8"/>
        <v>#N/A</v>
      </c>
      <c r="AQ45" s="152" t="e">
        <f t="shared" si="9"/>
        <v>#N/A</v>
      </c>
      <c r="AR45" s="152" t="e">
        <f t="shared" si="10"/>
        <v>#N/A</v>
      </c>
      <c r="AS45" s="152" t="e">
        <f t="shared" si="11"/>
        <v>#N/A</v>
      </c>
    </row>
    <row r="46" spans="1:45" ht="16.350000000000001" customHeight="1">
      <c r="A46" s="181"/>
      <c r="B46" s="181"/>
      <c r="C46" s="161" t="str">
        <f>IF(AND(ISBLANK(A46),ISBLANK(B46)),"",1-SUM(A46:B46))</f>
        <v/>
      </c>
      <c r="E46" s="152" t="e">
        <f>IF(C46="",NA(),A46+B46*$AH$5)</f>
        <v>#N/A</v>
      </c>
      <c r="F46" s="152" t="e">
        <f>IF(C46="",NA(),B46*$AI$5)</f>
        <v>#N/A</v>
      </c>
      <c r="H46" s="212">
        <v>39</v>
      </c>
      <c r="I46" s="205">
        <v>18011.247636161268</v>
      </c>
      <c r="J46" s="231">
        <v>3394.8187283408456</v>
      </c>
      <c r="K46" s="185">
        <v>0.41471260613852934</v>
      </c>
      <c r="L46" s="185">
        <v>0.53548349479171786</v>
      </c>
      <c r="M46" s="201">
        <v>4.9803899069752799E-2</v>
      </c>
      <c r="N46" s="185">
        <v>7.1372267252314173E-2</v>
      </c>
      <c r="O46" s="185">
        <v>0.70730254618508148</v>
      </c>
      <c r="P46" s="201">
        <v>0.22132518656260436</v>
      </c>
      <c r="Q46" s="205" t="e">
        <v>#N/A</v>
      </c>
      <c r="R46" s="231" t="e">
        <v>#N/A</v>
      </c>
      <c r="S46" s="185" t="e">
        <v>#N/A</v>
      </c>
      <c r="T46" s="185" t="e">
        <v>#N/A</v>
      </c>
      <c r="U46" s="201" t="e">
        <v>#N/A</v>
      </c>
      <c r="V46" s="185" t="e">
        <v>#N/A</v>
      </c>
      <c r="W46" s="185" t="e">
        <v>#N/A</v>
      </c>
      <c r="X46" s="201" t="e">
        <v>#N/A</v>
      </c>
      <c r="Y46" s="205" t="e">
        <v>#N/A</v>
      </c>
      <c r="Z46" s="231" t="e">
        <v>#N/A</v>
      </c>
      <c r="AA46" s="185" t="e">
        <v>#N/A</v>
      </c>
      <c r="AB46" s="185" t="e">
        <v>#N/A</v>
      </c>
      <c r="AC46" s="201" t="e">
        <v>#N/A</v>
      </c>
      <c r="AD46" s="185" t="e">
        <v>#N/A</v>
      </c>
      <c r="AE46" s="185" t="e">
        <v>#N/A</v>
      </c>
      <c r="AF46" s="201" t="e">
        <v>#N/A</v>
      </c>
      <c r="AH46" s="152">
        <f t="shared" si="0"/>
        <v>0.68245435353438832</v>
      </c>
      <c r="AI46" s="152">
        <f t="shared" si="1"/>
        <v>0.46374230979689979</v>
      </c>
      <c r="AJ46" s="152">
        <f t="shared" si="2"/>
        <v>0.4250235403448549</v>
      </c>
      <c r="AK46" s="152">
        <f t="shared" si="3"/>
        <v>0.61254197315769676</v>
      </c>
      <c r="AL46" s="152" t="e">
        <f t="shared" si="4"/>
        <v>#N/A</v>
      </c>
      <c r="AM46" s="152" t="e">
        <f t="shared" si="5"/>
        <v>#N/A</v>
      </c>
      <c r="AN46" s="152" t="e">
        <f t="shared" si="6"/>
        <v>#N/A</v>
      </c>
      <c r="AO46" s="152" t="e">
        <f t="shared" si="7"/>
        <v>#N/A</v>
      </c>
      <c r="AP46" s="152" t="e">
        <f t="shared" si="8"/>
        <v>#N/A</v>
      </c>
      <c r="AQ46" s="152" t="e">
        <f t="shared" si="9"/>
        <v>#N/A</v>
      </c>
      <c r="AR46" s="152" t="e">
        <f t="shared" si="10"/>
        <v>#N/A</v>
      </c>
      <c r="AS46" s="152" t="e">
        <f t="shared" si="11"/>
        <v>#N/A</v>
      </c>
    </row>
    <row r="47" spans="1:45" ht="15.75" customHeight="1">
      <c r="A47" s="181"/>
      <c r="B47" s="181"/>
      <c r="C47" s="161" t="str">
        <f>IF(AND(ISBLANK(A47),ISBLANK(B47)),"",1-SUM(A47:B47))</f>
        <v/>
      </c>
      <c r="E47" s="152" t="e">
        <f>IF(C47="",NA(),A47+B47*$AH$5)</f>
        <v>#N/A</v>
      </c>
      <c r="F47" s="152" t="e">
        <f>IF(C47="",NA(),B47*$AI$5)</f>
        <v>#N/A</v>
      </c>
      <c r="H47" s="212">
        <v>40</v>
      </c>
      <c r="I47" s="205">
        <v>18019.930987092994</v>
      </c>
      <c r="J47" s="231">
        <v>3384.7270561820169</v>
      </c>
      <c r="K47" s="185">
        <v>0.41948186020608386</v>
      </c>
      <c r="L47" s="185">
        <v>0.52970170550770346</v>
      </c>
      <c r="M47" s="201">
        <v>5.0816434286212631E-2</v>
      </c>
      <c r="N47" s="185">
        <v>7.1729359889095831E-2</v>
      </c>
      <c r="O47" s="185">
        <v>0.70088944686540056</v>
      </c>
      <c r="P47" s="201">
        <v>0.22738119324550365</v>
      </c>
      <c r="Q47" s="205" t="e">
        <v>#N/A</v>
      </c>
      <c r="R47" s="231" t="e">
        <v>#N/A</v>
      </c>
      <c r="S47" s="185" t="e">
        <v>#N/A</v>
      </c>
      <c r="T47" s="185" t="e">
        <v>#N/A</v>
      </c>
      <c r="U47" s="201" t="e">
        <v>#N/A</v>
      </c>
      <c r="V47" s="185" t="e">
        <v>#N/A</v>
      </c>
      <c r="W47" s="185" t="e">
        <v>#N/A</v>
      </c>
      <c r="X47" s="201" t="e">
        <v>#N/A</v>
      </c>
      <c r="Y47" s="205" t="e">
        <v>#N/A</v>
      </c>
      <c r="Z47" s="231" t="e">
        <v>#N/A</v>
      </c>
      <c r="AA47" s="185" t="e">
        <v>#N/A</v>
      </c>
      <c r="AB47" s="185" t="e">
        <v>#N/A</v>
      </c>
      <c r="AC47" s="201" t="e">
        <v>#N/A</v>
      </c>
      <c r="AD47" s="185" t="e">
        <v>#N/A</v>
      </c>
      <c r="AE47" s="185" t="e">
        <v>#N/A</v>
      </c>
      <c r="AF47" s="201" t="e">
        <v>#N/A</v>
      </c>
      <c r="AH47" s="152">
        <f t="shared" si="0"/>
        <v>0.68433271295993559</v>
      </c>
      <c r="AI47" s="152">
        <f t="shared" si="1"/>
        <v>0.45873513339761468</v>
      </c>
      <c r="AJ47" s="152">
        <f t="shared" si="2"/>
        <v>0.42217408332179612</v>
      </c>
      <c r="AK47" s="152">
        <f t="shared" si="3"/>
        <v>0.60698806622986035</v>
      </c>
      <c r="AL47" s="152" t="e">
        <f t="shared" si="4"/>
        <v>#N/A</v>
      </c>
      <c r="AM47" s="152" t="e">
        <f t="shared" si="5"/>
        <v>#N/A</v>
      </c>
      <c r="AN47" s="152" t="e">
        <f t="shared" si="6"/>
        <v>#N/A</v>
      </c>
      <c r="AO47" s="152" t="e">
        <f t="shared" si="7"/>
        <v>#N/A</v>
      </c>
      <c r="AP47" s="152" t="e">
        <f t="shared" si="8"/>
        <v>#N/A</v>
      </c>
      <c r="AQ47" s="152" t="e">
        <f t="shared" si="9"/>
        <v>#N/A</v>
      </c>
      <c r="AR47" s="152" t="e">
        <f t="shared" si="10"/>
        <v>#N/A</v>
      </c>
      <c r="AS47" s="152" t="e">
        <f t="shared" si="11"/>
        <v>#N/A</v>
      </c>
    </row>
    <row r="48" spans="1:45" ht="15.75" customHeight="1">
      <c r="A48" s="181"/>
      <c r="B48" s="181"/>
      <c r="C48" s="161" t="str">
        <f>IF(AND(ISBLANK(A48),ISBLANK(B48)),"",1-SUM(A48:B48))</f>
        <v/>
      </c>
      <c r="E48" s="152" t="e">
        <f>IF(C48="",NA(),A48+B48*$AH$5)</f>
        <v>#N/A</v>
      </c>
      <c r="F48" s="152" t="e">
        <f>IF(C48="",NA(),B48*$AI$5)</f>
        <v>#N/A</v>
      </c>
      <c r="H48" s="212">
        <v>41</v>
      </c>
      <c r="I48" s="205">
        <v>18028.198818290282</v>
      </c>
      <c r="J48" s="231">
        <v>3374.7587078847359</v>
      </c>
      <c r="K48" s="185">
        <v>0.42425197561684252</v>
      </c>
      <c r="L48" s="185">
        <v>0.52393049087725974</v>
      </c>
      <c r="M48" s="201">
        <v>5.1817533505897684E-2</v>
      </c>
      <c r="N48" s="185">
        <v>7.2083192736148285E-2</v>
      </c>
      <c r="O48" s="185">
        <v>0.69446604975954307</v>
      </c>
      <c r="P48" s="201">
        <v>0.23345075750430866</v>
      </c>
      <c r="Q48" s="205" t="e">
        <v>#N/A</v>
      </c>
      <c r="R48" s="231" t="e">
        <v>#N/A</v>
      </c>
      <c r="S48" s="185" t="e">
        <v>#N/A</v>
      </c>
      <c r="T48" s="185" t="e">
        <v>#N/A</v>
      </c>
      <c r="U48" s="201" t="e">
        <v>#N/A</v>
      </c>
      <c r="V48" s="185" t="e">
        <v>#N/A</v>
      </c>
      <c r="W48" s="185" t="e">
        <v>#N/A</v>
      </c>
      <c r="X48" s="201" t="e">
        <v>#N/A</v>
      </c>
      <c r="Y48" s="205" t="e">
        <v>#N/A</v>
      </c>
      <c r="Z48" s="231" t="e">
        <v>#N/A</v>
      </c>
      <c r="AA48" s="185" t="e">
        <v>#N/A</v>
      </c>
      <c r="AB48" s="185" t="e">
        <v>#N/A</v>
      </c>
      <c r="AC48" s="201" t="e">
        <v>#N/A</v>
      </c>
      <c r="AD48" s="185" t="e">
        <v>#N/A</v>
      </c>
      <c r="AE48" s="185" t="e">
        <v>#N/A</v>
      </c>
      <c r="AF48" s="201" t="e">
        <v>#N/A</v>
      </c>
      <c r="AH48" s="152">
        <f t="shared" si="0"/>
        <v>0.68621722105547245</v>
      </c>
      <c r="AI48" s="152">
        <f t="shared" si="1"/>
        <v>0.45373711491695801</v>
      </c>
      <c r="AJ48" s="152">
        <f t="shared" si="2"/>
        <v>0.41931621761591981</v>
      </c>
      <c r="AK48" s="152">
        <f t="shared" si="3"/>
        <v>0.60142524115759233</v>
      </c>
      <c r="AL48" s="152" t="e">
        <f t="shared" si="4"/>
        <v>#N/A</v>
      </c>
      <c r="AM48" s="152" t="e">
        <f t="shared" si="5"/>
        <v>#N/A</v>
      </c>
      <c r="AN48" s="152" t="e">
        <f t="shared" si="6"/>
        <v>#N/A</v>
      </c>
      <c r="AO48" s="152" t="e">
        <f t="shared" si="7"/>
        <v>#N/A</v>
      </c>
      <c r="AP48" s="152" t="e">
        <f t="shared" si="8"/>
        <v>#N/A</v>
      </c>
      <c r="AQ48" s="152" t="e">
        <f t="shared" si="9"/>
        <v>#N/A</v>
      </c>
      <c r="AR48" s="152" t="e">
        <f t="shared" si="10"/>
        <v>#N/A</v>
      </c>
      <c r="AS48" s="152" t="e">
        <f t="shared" si="11"/>
        <v>#N/A</v>
      </c>
    </row>
    <row r="49" spans="1:45" ht="15.75" customHeight="1">
      <c r="A49" s="181"/>
      <c r="B49" s="181"/>
      <c r="C49" s="161" t="str">
        <f>IF(AND(ISBLANK(A49),ISBLANK(B49)),"",1-SUM(A49:B49))</f>
        <v/>
      </c>
      <c r="E49" s="152" t="e">
        <f>IF(C49="",NA(),A49+B49*$AH$5)</f>
        <v>#N/A</v>
      </c>
      <c r="F49" s="152" t="e">
        <f>IF(C49="",NA(),B49*$AI$5)</f>
        <v>#N/A</v>
      </c>
      <c r="H49" s="212">
        <v>42</v>
      </c>
      <c r="I49" s="205">
        <v>18036.058806682053</v>
      </c>
      <c r="J49" s="231">
        <v>3364.91138986736</v>
      </c>
      <c r="K49" s="185">
        <v>0.42902276765176994</v>
      </c>
      <c r="L49" s="185">
        <v>0.51816984756330886</v>
      </c>
      <c r="M49" s="201">
        <v>5.2807384784921196E-2</v>
      </c>
      <c r="N49" s="185">
        <v>7.243381962036391E-2</v>
      </c>
      <c r="O49" s="185">
        <v>0.68803236882042074</v>
      </c>
      <c r="P49" s="201">
        <v>0.23953381155921538</v>
      </c>
      <c r="Q49" s="205" t="e">
        <v>#N/A</v>
      </c>
      <c r="R49" s="231" t="e">
        <v>#N/A</v>
      </c>
      <c r="S49" s="185" t="e">
        <v>#N/A</v>
      </c>
      <c r="T49" s="185" t="e">
        <v>#N/A</v>
      </c>
      <c r="U49" s="201" t="e">
        <v>#N/A</v>
      </c>
      <c r="V49" s="185" t="e">
        <v>#N/A</v>
      </c>
      <c r="W49" s="185" t="e">
        <v>#N/A</v>
      </c>
      <c r="X49" s="201" t="e">
        <v>#N/A</v>
      </c>
      <c r="Y49" s="205" t="e">
        <v>#N/A</v>
      </c>
      <c r="Z49" s="231" t="e">
        <v>#N/A</v>
      </c>
      <c r="AA49" s="185" t="e">
        <v>#N/A</v>
      </c>
      <c r="AB49" s="185" t="e">
        <v>#N/A</v>
      </c>
      <c r="AC49" s="201" t="e">
        <v>#N/A</v>
      </c>
      <c r="AD49" s="185" t="e">
        <v>#N/A</v>
      </c>
      <c r="AE49" s="185" t="e">
        <v>#N/A</v>
      </c>
      <c r="AF49" s="201" t="e">
        <v>#N/A</v>
      </c>
      <c r="AH49" s="152">
        <f t="shared" si="0"/>
        <v>0.68810769143342432</v>
      </c>
      <c r="AI49" s="152">
        <f t="shared" si="1"/>
        <v>0.44874825146493558</v>
      </c>
      <c r="AJ49" s="152">
        <f t="shared" si="2"/>
        <v>0.41645000403057431</v>
      </c>
      <c r="AK49" s="152">
        <f t="shared" si="3"/>
        <v>0.59585351002446862</v>
      </c>
      <c r="AL49" s="152" t="e">
        <f t="shared" si="4"/>
        <v>#N/A</v>
      </c>
      <c r="AM49" s="152" t="e">
        <f t="shared" si="5"/>
        <v>#N/A</v>
      </c>
      <c r="AN49" s="152" t="e">
        <f t="shared" si="6"/>
        <v>#N/A</v>
      </c>
      <c r="AO49" s="152" t="e">
        <f t="shared" si="7"/>
        <v>#N/A</v>
      </c>
      <c r="AP49" s="152" t="e">
        <f t="shared" si="8"/>
        <v>#N/A</v>
      </c>
      <c r="AQ49" s="152" t="e">
        <f t="shared" si="9"/>
        <v>#N/A</v>
      </c>
      <c r="AR49" s="152" t="e">
        <f t="shared" si="10"/>
        <v>#N/A</v>
      </c>
      <c r="AS49" s="152" t="e">
        <f t="shared" si="11"/>
        <v>#N/A</v>
      </c>
    </row>
    <row r="50" spans="1:45" ht="15.75" customHeight="1">
      <c r="H50" s="212">
        <v>43</v>
      </c>
      <c r="I50" s="205">
        <v>18043.518492210558</v>
      </c>
      <c r="J50" s="231">
        <v>3355.1828703709557</v>
      </c>
      <c r="K50" s="185">
        <v>0.43379405412044336</v>
      </c>
      <c r="L50" s="185">
        <v>0.51241977252801674</v>
      </c>
      <c r="M50" s="201">
        <v>5.3786173351539901E-2</v>
      </c>
      <c r="N50" s="185">
        <v>7.2781293232500571E-2</v>
      </c>
      <c r="O50" s="185">
        <v>0.68158841781388668</v>
      </c>
      <c r="P50" s="201">
        <v>0.24563028895361272</v>
      </c>
      <c r="Q50" s="205" t="e">
        <v>#N/A</v>
      </c>
      <c r="R50" s="231" t="e">
        <v>#N/A</v>
      </c>
      <c r="S50" s="185" t="e">
        <v>#N/A</v>
      </c>
      <c r="T50" s="185" t="e">
        <v>#N/A</v>
      </c>
      <c r="U50" s="201" t="e">
        <v>#N/A</v>
      </c>
      <c r="V50" s="185" t="e">
        <v>#N/A</v>
      </c>
      <c r="W50" s="185" t="e">
        <v>#N/A</v>
      </c>
      <c r="X50" s="201" t="e">
        <v>#N/A</v>
      </c>
      <c r="Y50" s="205" t="e">
        <v>#N/A</v>
      </c>
      <c r="Z50" s="231" t="e">
        <v>#N/A</v>
      </c>
      <c r="AA50" s="185" t="e">
        <v>#N/A</v>
      </c>
      <c r="AB50" s="185" t="e">
        <v>#N/A</v>
      </c>
      <c r="AC50" s="201" t="e">
        <v>#N/A</v>
      </c>
      <c r="AD50" s="185" t="e">
        <v>#N/A</v>
      </c>
      <c r="AE50" s="185" t="e">
        <v>#N/A</v>
      </c>
      <c r="AF50" s="201" t="e">
        <v>#N/A</v>
      </c>
      <c r="AH50" s="152">
        <f t="shared" si="0"/>
        <v>0.69000394038445179</v>
      </c>
      <c r="AI50" s="152">
        <f t="shared" si="1"/>
        <v>0.44376854041070585</v>
      </c>
      <c r="AJ50" s="152">
        <f t="shared" si="2"/>
        <v>0.41357550213944394</v>
      </c>
      <c r="AK50" s="152">
        <f t="shared" si="3"/>
        <v>0.59027288475206785</v>
      </c>
      <c r="AL50" s="152" t="e">
        <f t="shared" si="4"/>
        <v>#N/A</v>
      </c>
      <c r="AM50" s="152" t="e">
        <f t="shared" si="5"/>
        <v>#N/A</v>
      </c>
      <c r="AN50" s="152" t="e">
        <f t="shared" si="6"/>
        <v>#N/A</v>
      </c>
      <c r="AO50" s="152" t="e">
        <f t="shared" si="7"/>
        <v>#N/A</v>
      </c>
      <c r="AP50" s="152" t="e">
        <f t="shared" si="8"/>
        <v>#N/A</v>
      </c>
      <c r="AQ50" s="152" t="e">
        <f t="shared" si="9"/>
        <v>#N/A</v>
      </c>
      <c r="AR50" s="152" t="e">
        <f t="shared" si="10"/>
        <v>#N/A</v>
      </c>
      <c r="AS50" s="152" t="e">
        <f t="shared" si="11"/>
        <v>#N/A</v>
      </c>
    </row>
    <row r="51" spans="1:45" ht="15.75" customHeight="1">
      <c r="H51" s="212">
        <v>44</v>
      </c>
      <c r="I51" s="205">
        <v>18050.585280398253</v>
      </c>
      <c r="J51" s="231">
        <v>3345.570977094409</v>
      </c>
      <c r="K51" s="185">
        <v>0.43856565528910546</v>
      </c>
      <c r="L51" s="185">
        <v>0.50668026303585656</v>
      </c>
      <c r="M51" s="201">
        <v>5.4754081675037924E-2</v>
      </c>
      <c r="N51" s="185">
        <v>7.3125665145971547E-2</v>
      </c>
      <c r="O51" s="185">
        <v>0.67513421031406851</v>
      </c>
      <c r="P51" s="201">
        <v>0.25174012453995998</v>
      </c>
      <c r="Q51" s="205" t="e">
        <v>#N/A</v>
      </c>
      <c r="R51" s="231" t="e">
        <v>#N/A</v>
      </c>
      <c r="S51" s="185" t="e">
        <v>#N/A</v>
      </c>
      <c r="T51" s="185" t="e">
        <v>#N/A</v>
      </c>
      <c r="U51" s="201" t="e">
        <v>#N/A</v>
      </c>
      <c r="V51" s="185" t="e">
        <v>#N/A</v>
      </c>
      <c r="W51" s="185" t="e">
        <v>#N/A</v>
      </c>
      <c r="X51" s="201" t="e">
        <v>#N/A</v>
      </c>
      <c r="Y51" s="205" t="e">
        <v>#N/A</v>
      </c>
      <c r="Z51" s="231" t="e">
        <v>#N/A</v>
      </c>
      <c r="AA51" s="185" t="e">
        <v>#N/A</v>
      </c>
      <c r="AB51" s="185" t="e">
        <v>#N/A</v>
      </c>
      <c r="AC51" s="201" t="e">
        <v>#N/A</v>
      </c>
      <c r="AD51" s="185" t="e">
        <v>#N/A</v>
      </c>
      <c r="AE51" s="185" t="e">
        <v>#N/A</v>
      </c>
      <c r="AF51" s="201" t="e">
        <v>#N/A</v>
      </c>
      <c r="AH51" s="152">
        <f t="shared" si="0"/>
        <v>0.69190578680703374</v>
      </c>
      <c r="AI51" s="152">
        <f t="shared" si="1"/>
        <v>0.43879797938523324</v>
      </c>
      <c r="AJ51" s="152">
        <f t="shared" si="2"/>
        <v>0.41069277030300577</v>
      </c>
      <c r="AK51" s="152">
        <f t="shared" si="3"/>
        <v>0.58468337709592921</v>
      </c>
      <c r="AL51" s="152" t="e">
        <f t="shared" si="4"/>
        <v>#N/A</v>
      </c>
      <c r="AM51" s="152" t="e">
        <f t="shared" si="5"/>
        <v>#N/A</v>
      </c>
      <c r="AN51" s="152" t="e">
        <f t="shared" si="6"/>
        <v>#N/A</v>
      </c>
      <c r="AO51" s="152" t="e">
        <f t="shared" si="7"/>
        <v>#N/A</v>
      </c>
      <c r="AP51" s="152" t="e">
        <f t="shared" si="8"/>
        <v>#N/A</v>
      </c>
      <c r="AQ51" s="152" t="e">
        <f t="shared" si="9"/>
        <v>#N/A</v>
      </c>
      <c r="AR51" s="152" t="e">
        <f t="shared" si="10"/>
        <v>#N/A</v>
      </c>
      <c r="AS51" s="152" t="e">
        <f t="shared" si="11"/>
        <v>#N/A</v>
      </c>
    </row>
    <row r="52" spans="1:45" ht="15.75" customHeight="1">
      <c r="H52" s="212">
        <v>45</v>
      </c>
      <c r="I52" s="205">
        <v>18057.266444866578</v>
      </c>
      <c r="J52" s="231">
        <v>3336.0735949603227</v>
      </c>
      <c r="K52" s="185">
        <v>0.44333739380958426</v>
      </c>
      <c r="L52" s="185">
        <v>0.50095131665804371</v>
      </c>
      <c r="M52" s="201">
        <v>5.5711289532372033E-2</v>
      </c>
      <c r="N52" s="185">
        <v>7.3466985835683715E-2</v>
      </c>
      <c r="O52" s="185">
        <v>0.66866975969805631</v>
      </c>
      <c r="P52" s="201">
        <v>0.25786325446626002</v>
      </c>
      <c r="Q52" s="205" t="e">
        <v>#N/A</v>
      </c>
      <c r="R52" s="231" t="e">
        <v>#N/A</v>
      </c>
      <c r="S52" s="185" t="e">
        <v>#N/A</v>
      </c>
      <c r="T52" s="185" t="e">
        <v>#N/A</v>
      </c>
      <c r="U52" s="201" t="e">
        <v>#N/A</v>
      </c>
      <c r="V52" s="185" t="e">
        <v>#N/A</v>
      </c>
      <c r="W52" s="185" t="e">
        <v>#N/A</v>
      </c>
      <c r="X52" s="201" t="e">
        <v>#N/A</v>
      </c>
      <c r="Y52" s="205" t="e">
        <v>#N/A</v>
      </c>
      <c r="Z52" s="231" t="e">
        <v>#N/A</v>
      </c>
      <c r="AA52" s="185" t="e">
        <v>#N/A</v>
      </c>
      <c r="AB52" s="185" t="e">
        <v>#N/A</v>
      </c>
      <c r="AC52" s="201" t="e">
        <v>#N/A</v>
      </c>
      <c r="AD52" s="185" t="e">
        <v>#N/A</v>
      </c>
      <c r="AE52" s="185" t="e">
        <v>#N/A</v>
      </c>
      <c r="AF52" s="201" t="e">
        <v>#N/A</v>
      </c>
      <c r="AH52" s="152">
        <f t="shared" si="0"/>
        <v>0.69381305213860611</v>
      </c>
      <c r="AI52" s="152">
        <f t="shared" si="1"/>
        <v>0.43383656628512846</v>
      </c>
      <c r="AJ52" s="152">
        <f t="shared" si="2"/>
        <v>0.40780186568471188</v>
      </c>
      <c r="AK52" s="152">
        <f t="shared" si="3"/>
        <v>0.57908499864095275</v>
      </c>
      <c r="AL52" s="152" t="e">
        <f t="shared" si="4"/>
        <v>#N/A</v>
      </c>
      <c r="AM52" s="152" t="e">
        <f t="shared" si="5"/>
        <v>#N/A</v>
      </c>
      <c r="AN52" s="152" t="e">
        <f t="shared" si="6"/>
        <v>#N/A</v>
      </c>
      <c r="AO52" s="152" t="e">
        <f t="shared" si="7"/>
        <v>#N/A</v>
      </c>
      <c r="AP52" s="152" t="e">
        <f t="shared" si="8"/>
        <v>#N/A</v>
      </c>
      <c r="AQ52" s="152" t="e">
        <f t="shared" si="9"/>
        <v>#N/A</v>
      </c>
      <c r="AR52" s="152" t="e">
        <f t="shared" si="10"/>
        <v>#N/A</v>
      </c>
      <c r="AS52" s="152" t="e">
        <f t="shared" si="11"/>
        <v>#N/A</v>
      </c>
    </row>
    <row r="53" spans="1:45" ht="15.75" customHeight="1">
      <c r="H53" s="212">
        <v>46</v>
      </c>
      <c r="I53" s="205">
        <v>18063.569129811785</v>
      </c>
      <c r="J53" s="231">
        <v>3326.6886640032317</v>
      </c>
      <c r="K53" s="185">
        <v>0.44810909464991494</v>
      </c>
      <c r="L53" s="185">
        <v>0.49523293127749068</v>
      </c>
      <c r="M53" s="201">
        <v>5.665797407259443E-2</v>
      </c>
      <c r="N53" s="185">
        <v>7.3805304697050739E-2</v>
      </c>
      <c r="O53" s="185">
        <v>0.66219507914012032</v>
      </c>
      <c r="P53" s="201">
        <v>0.26399961616282897</v>
      </c>
      <c r="Q53" s="205" t="e">
        <v>#N/A</v>
      </c>
      <c r="R53" s="231" t="e">
        <v>#N/A</v>
      </c>
      <c r="S53" s="185" t="e">
        <v>#N/A</v>
      </c>
      <c r="T53" s="185" t="e">
        <v>#N/A</v>
      </c>
      <c r="U53" s="201" t="e">
        <v>#N/A</v>
      </c>
      <c r="V53" s="185" t="e">
        <v>#N/A</v>
      </c>
      <c r="W53" s="185" t="e">
        <v>#N/A</v>
      </c>
      <c r="X53" s="201" t="e">
        <v>#N/A</v>
      </c>
      <c r="Y53" s="205" t="e">
        <v>#N/A</v>
      </c>
      <c r="Z53" s="231" t="e">
        <v>#N/A</v>
      </c>
      <c r="AA53" s="185" t="e">
        <v>#N/A</v>
      </c>
      <c r="AB53" s="185" t="e">
        <v>#N/A</v>
      </c>
      <c r="AC53" s="201" t="e">
        <v>#N/A</v>
      </c>
      <c r="AD53" s="185" t="e">
        <v>#N/A</v>
      </c>
      <c r="AE53" s="185" t="e">
        <v>#N/A</v>
      </c>
      <c r="AF53" s="201" t="e">
        <v>#N/A</v>
      </c>
      <c r="AH53" s="152">
        <f t="shared" si="0"/>
        <v>0.69572556028866028</v>
      </c>
      <c r="AI53" s="152">
        <f t="shared" si="1"/>
        <v>0.42888429927694</v>
      </c>
      <c r="AJ53" s="152">
        <f t="shared" si="2"/>
        <v>0.40490284426711087</v>
      </c>
      <c r="AK53" s="152">
        <f t="shared" si="3"/>
        <v>0.57347776079639101</v>
      </c>
      <c r="AL53" s="152" t="e">
        <f t="shared" si="4"/>
        <v>#N/A</v>
      </c>
      <c r="AM53" s="152" t="e">
        <f t="shared" si="5"/>
        <v>#N/A</v>
      </c>
      <c r="AN53" s="152" t="e">
        <f t="shared" si="6"/>
        <v>#N/A</v>
      </c>
      <c r="AO53" s="152" t="e">
        <f t="shared" si="7"/>
        <v>#N/A</v>
      </c>
      <c r="AP53" s="152" t="e">
        <f t="shared" si="8"/>
        <v>#N/A</v>
      </c>
      <c r="AQ53" s="152" t="e">
        <f t="shared" si="9"/>
        <v>#N/A</v>
      </c>
      <c r="AR53" s="152" t="e">
        <f t="shared" si="10"/>
        <v>#N/A</v>
      </c>
      <c r="AS53" s="152" t="e">
        <f t="shared" si="11"/>
        <v>#N/A</v>
      </c>
    </row>
    <row r="54" spans="1:45" ht="15.75" customHeight="1">
      <c r="H54" s="212">
        <v>47</v>
      </c>
      <c r="I54" s="205">
        <v>18069.500352437975</v>
      </c>
      <c r="J54" s="231">
        <v>3317.4141773709875</v>
      </c>
      <c r="K54" s="185">
        <v>0.45288058502609913</v>
      </c>
      <c r="L54" s="185">
        <v>0.48952510509461977</v>
      </c>
      <c r="M54" s="201">
        <v>5.7594309879281158E-2</v>
      </c>
      <c r="N54" s="185">
        <v>7.414067006501289E-2</v>
      </c>
      <c r="O54" s="185">
        <v>0.65571018160569206</v>
      </c>
      <c r="P54" s="201">
        <v>0.27014914832929504</v>
      </c>
      <c r="Q54" s="205" t="e">
        <v>#N/A</v>
      </c>
      <c r="R54" s="231" t="e">
        <v>#N/A</v>
      </c>
      <c r="S54" s="185" t="e">
        <v>#N/A</v>
      </c>
      <c r="T54" s="185" t="e">
        <v>#N/A</v>
      </c>
      <c r="U54" s="201" t="e">
        <v>#N/A</v>
      </c>
      <c r="V54" s="185" t="e">
        <v>#N/A</v>
      </c>
      <c r="W54" s="185" t="e">
        <v>#N/A</v>
      </c>
      <c r="X54" s="201" t="e">
        <v>#N/A</v>
      </c>
      <c r="Y54" s="205" t="e">
        <v>#N/A</v>
      </c>
      <c r="Z54" s="231" t="e">
        <v>#N/A</v>
      </c>
      <c r="AA54" s="185" t="e">
        <v>#N/A</v>
      </c>
      <c r="AB54" s="185" t="e">
        <v>#N/A</v>
      </c>
      <c r="AC54" s="201" t="e">
        <v>#N/A</v>
      </c>
      <c r="AD54" s="185" t="e">
        <v>#N/A</v>
      </c>
      <c r="AE54" s="185" t="e">
        <v>#N/A</v>
      </c>
      <c r="AF54" s="201" t="e">
        <v>#N/A</v>
      </c>
      <c r="AH54" s="152">
        <f t="shared" si="0"/>
        <v>0.69764313757340901</v>
      </c>
      <c r="AI54" s="152">
        <f t="shared" si="1"/>
        <v>0.42394117680218785</v>
      </c>
      <c r="AJ54" s="152">
        <f t="shared" si="2"/>
        <v>0.40199576086785893</v>
      </c>
      <c r="AK54" s="152">
        <f t="shared" si="3"/>
        <v>0.56786167479063698</v>
      </c>
      <c r="AL54" s="152" t="e">
        <f t="shared" si="4"/>
        <v>#N/A</v>
      </c>
      <c r="AM54" s="152" t="e">
        <f t="shared" si="5"/>
        <v>#N/A</v>
      </c>
      <c r="AN54" s="152" t="e">
        <f t="shared" si="6"/>
        <v>#N/A</v>
      </c>
      <c r="AO54" s="152" t="e">
        <f t="shared" si="7"/>
        <v>#N/A</v>
      </c>
      <c r="AP54" s="152" t="e">
        <f t="shared" si="8"/>
        <v>#N/A</v>
      </c>
      <c r="AQ54" s="152" t="e">
        <f t="shared" si="9"/>
        <v>#N/A</v>
      </c>
      <c r="AR54" s="152" t="e">
        <f t="shared" si="10"/>
        <v>#N/A</v>
      </c>
      <c r="AS54" s="152" t="e">
        <f t="shared" si="11"/>
        <v>#N/A</v>
      </c>
    </row>
    <row r="55" spans="1:45" ht="15.75" customHeight="1">
      <c r="H55" s="212">
        <v>48</v>
      </c>
      <c r="I55" s="205">
        <v>18075.067005350804</v>
      </c>
      <c r="J55" s="231">
        <v>3308.2481794321552</v>
      </c>
      <c r="K55" s="185">
        <v>0.4576516943356716</v>
      </c>
      <c r="L55" s="185">
        <v>0.48382783663334705</v>
      </c>
      <c r="M55" s="201">
        <v>5.8520469030981292E-2</v>
      </c>
      <c r="N55" s="185">
        <v>7.4473129233162322E-2</v>
      </c>
      <c r="O55" s="185">
        <v>0.64921507984522708</v>
      </c>
      <c r="P55" s="201">
        <v>0.27631179092161062</v>
      </c>
      <c r="Q55" s="205" t="e">
        <v>#N/A</v>
      </c>
      <c r="R55" s="231" t="e">
        <v>#N/A</v>
      </c>
      <c r="S55" s="185" t="e">
        <v>#N/A</v>
      </c>
      <c r="T55" s="185" t="e">
        <v>#N/A</v>
      </c>
      <c r="U55" s="201" t="e">
        <v>#N/A</v>
      </c>
      <c r="V55" s="185" t="e">
        <v>#N/A</v>
      </c>
      <c r="W55" s="185" t="e">
        <v>#N/A</v>
      </c>
      <c r="X55" s="201" t="e">
        <v>#N/A</v>
      </c>
      <c r="Y55" s="205" t="e">
        <v>#N/A</v>
      </c>
      <c r="Z55" s="231" t="e">
        <v>#N/A</v>
      </c>
      <c r="AA55" s="185" t="e">
        <v>#N/A</v>
      </c>
      <c r="AB55" s="185" t="e">
        <v>#N/A</v>
      </c>
      <c r="AC55" s="201" t="e">
        <v>#N/A</v>
      </c>
      <c r="AD55" s="185" t="e">
        <v>#N/A</v>
      </c>
      <c r="AE55" s="185" t="e">
        <v>#N/A</v>
      </c>
      <c r="AF55" s="201" t="e">
        <v>#N/A</v>
      </c>
      <c r="AH55" s="152">
        <f t="shared" si="0"/>
        <v>0.69956561265234507</v>
      </c>
      <c r="AI55" s="152">
        <f t="shared" si="1"/>
        <v>0.41900719758254579</v>
      </c>
      <c r="AJ55" s="152">
        <f t="shared" si="2"/>
        <v>0.39908066915577589</v>
      </c>
      <c r="AK55" s="152">
        <f t="shared" si="3"/>
        <v>0.56223675166590936</v>
      </c>
      <c r="AL55" s="152" t="e">
        <f t="shared" si="4"/>
        <v>#N/A</v>
      </c>
      <c r="AM55" s="152" t="e">
        <f t="shared" si="5"/>
        <v>#N/A</v>
      </c>
      <c r="AN55" s="152" t="e">
        <f t="shared" si="6"/>
        <v>#N/A</v>
      </c>
      <c r="AO55" s="152" t="e">
        <f t="shared" si="7"/>
        <v>#N/A</v>
      </c>
      <c r="AP55" s="152" t="e">
        <f t="shared" si="8"/>
        <v>#N/A</v>
      </c>
      <c r="AQ55" s="152" t="e">
        <f t="shared" si="9"/>
        <v>#N/A</v>
      </c>
      <c r="AR55" s="152" t="e">
        <f t="shared" si="10"/>
        <v>#N/A</v>
      </c>
      <c r="AS55" s="152" t="e">
        <f t="shared" si="11"/>
        <v>#N/A</v>
      </c>
    </row>
    <row r="56" spans="1:45" ht="15.75" customHeight="1">
      <c r="H56" s="212">
        <v>49</v>
      </c>
      <c r="I56" s="205">
        <v>18080.275858911871</v>
      </c>
      <c r="J56" s="231">
        <v>3299.1887639815936</v>
      </c>
      <c r="K56" s="185">
        <v>0.46242225409266147</v>
      </c>
      <c r="L56" s="185">
        <v>0.47814112474746806</v>
      </c>
      <c r="M56" s="201">
        <v>5.9436621159870473E-2</v>
      </c>
      <c r="N56" s="185">
        <v>7.4802728472839516E-2</v>
      </c>
      <c r="O56" s="185">
        <v>0.64270978638813536</v>
      </c>
      <c r="P56" s="201">
        <v>0.28248748513902511</v>
      </c>
      <c r="Q56" s="205" t="e">
        <v>#N/A</v>
      </c>
      <c r="R56" s="231" t="e">
        <v>#N/A</v>
      </c>
      <c r="S56" s="185" t="e">
        <v>#N/A</v>
      </c>
      <c r="T56" s="185" t="e">
        <v>#N/A</v>
      </c>
      <c r="U56" s="201" t="e">
        <v>#N/A</v>
      </c>
      <c r="V56" s="185" t="e">
        <v>#N/A</v>
      </c>
      <c r="W56" s="185" t="e">
        <v>#N/A</v>
      </c>
      <c r="X56" s="201" t="e">
        <v>#N/A</v>
      </c>
      <c r="Y56" s="205" t="e">
        <v>#N/A</v>
      </c>
      <c r="Z56" s="231" t="e">
        <v>#N/A</v>
      </c>
      <c r="AA56" s="185" t="e">
        <v>#N/A</v>
      </c>
      <c r="AB56" s="185" t="e">
        <v>#N/A</v>
      </c>
      <c r="AC56" s="201" t="e">
        <v>#N/A</v>
      </c>
      <c r="AD56" s="185" t="e">
        <v>#N/A</v>
      </c>
      <c r="AE56" s="185" t="e">
        <v>#N/A</v>
      </c>
      <c r="AF56" s="201" t="e">
        <v>#N/A</v>
      </c>
      <c r="AH56" s="152">
        <f t="shared" si="0"/>
        <v>0.7014928164663955</v>
      </c>
      <c r="AI56" s="152">
        <f t="shared" si="1"/>
        <v>0.41408236062537163</v>
      </c>
      <c r="AJ56" s="152">
        <f t="shared" si="2"/>
        <v>0.39615762166690721</v>
      </c>
      <c r="AK56" s="152">
        <f t="shared" si="3"/>
        <v>0.5566030022729952</v>
      </c>
      <c r="AL56" s="152" t="e">
        <f t="shared" si="4"/>
        <v>#N/A</v>
      </c>
      <c r="AM56" s="152" t="e">
        <f t="shared" si="5"/>
        <v>#N/A</v>
      </c>
      <c r="AN56" s="152" t="e">
        <f t="shared" si="6"/>
        <v>#N/A</v>
      </c>
      <c r="AO56" s="152" t="e">
        <f t="shared" si="7"/>
        <v>#N/A</v>
      </c>
      <c r="AP56" s="152" t="e">
        <f t="shared" si="8"/>
        <v>#N/A</v>
      </c>
      <c r="AQ56" s="152" t="e">
        <f t="shared" si="9"/>
        <v>#N/A</v>
      </c>
      <c r="AR56" s="152" t="e">
        <f t="shared" si="10"/>
        <v>#N/A</v>
      </c>
      <c r="AS56" s="152" t="e">
        <f t="shared" si="11"/>
        <v>#N/A</v>
      </c>
    </row>
    <row r="57" spans="1:45" ht="15.75" customHeight="1">
      <c r="H57" s="212">
        <v>50</v>
      </c>
      <c r="I57" s="205">
        <v>18085.133563556112</v>
      </c>
      <c r="J57" s="231">
        <v>3290.2340725380545</v>
      </c>
      <c r="K57" s="185">
        <v>0.46719209786436638</v>
      </c>
      <c r="L57" s="185">
        <v>0.47246496862698872</v>
      </c>
      <c r="M57" s="201">
        <v>6.0342933508644836E-2</v>
      </c>
      <c r="N57" s="185">
        <v>7.5129513052264535E-2</v>
      </c>
      <c r="O57" s="185">
        <v>0.63619431353686107</v>
      </c>
      <c r="P57" s="201">
        <v>0.28867617341087437</v>
      </c>
      <c r="Q57" s="205" t="e">
        <v>#N/A</v>
      </c>
      <c r="R57" s="231" t="e">
        <v>#N/A</v>
      </c>
      <c r="S57" s="185" t="e">
        <v>#N/A</v>
      </c>
      <c r="T57" s="185" t="e">
        <v>#N/A</v>
      </c>
      <c r="U57" s="201" t="e">
        <v>#N/A</v>
      </c>
      <c r="V57" s="185" t="e">
        <v>#N/A</v>
      </c>
      <c r="W57" s="185" t="e">
        <v>#N/A</v>
      </c>
      <c r="X57" s="201" t="e">
        <v>#N/A</v>
      </c>
      <c r="Y57" s="205" t="e">
        <v>#N/A</v>
      </c>
      <c r="Z57" s="231" t="e">
        <v>#N/A</v>
      </c>
      <c r="AA57" s="185" t="e">
        <v>#N/A</v>
      </c>
      <c r="AB57" s="185" t="e">
        <v>#N/A</v>
      </c>
      <c r="AC57" s="201" t="e">
        <v>#N/A</v>
      </c>
      <c r="AD57" s="185" t="e">
        <v>#N/A</v>
      </c>
      <c r="AE57" s="185" t="e">
        <v>#N/A</v>
      </c>
      <c r="AF57" s="201" t="e">
        <v>#N/A</v>
      </c>
      <c r="AH57" s="152">
        <f t="shared" si="0"/>
        <v>0.70342458217786075</v>
      </c>
      <c r="AI57" s="152">
        <f t="shared" si="1"/>
        <v>0.40916666522919004</v>
      </c>
      <c r="AJ57" s="152">
        <f t="shared" si="2"/>
        <v>0.3932266698206951</v>
      </c>
      <c r="AK57" s="152">
        <f t="shared" si="3"/>
        <v>0.55096043726612387</v>
      </c>
      <c r="AL57" s="152" t="e">
        <f t="shared" si="4"/>
        <v>#N/A</v>
      </c>
      <c r="AM57" s="152" t="e">
        <f t="shared" si="5"/>
        <v>#N/A</v>
      </c>
      <c r="AN57" s="152" t="e">
        <f t="shared" si="6"/>
        <v>#N/A</v>
      </c>
      <c r="AO57" s="152" t="e">
        <f t="shared" si="7"/>
        <v>#N/A</v>
      </c>
      <c r="AP57" s="152" t="e">
        <f t="shared" si="8"/>
        <v>#N/A</v>
      </c>
      <c r="AQ57" s="152" t="e">
        <f t="shared" si="9"/>
        <v>#N/A</v>
      </c>
      <c r="AR57" s="152" t="e">
        <f t="shared" si="10"/>
        <v>#N/A</v>
      </c>
      <c r="AS57" s="152" t="e">
        <f t="shared" si="11"/>
        <v>#N/A</v>
      </c>
    </row>
    <row r="58" spans="1:45" ht="15.75" customHeight="1">
      <c r="H58" s="212">
        <v>51</v>
      </c>
      <c r="I58" s="205">
        <v>18089.646652072879</v>
      </c>
      <c r="J58" s="231">
        <v>3281.3822927276142</v>
      </c>
      <c r="K58" s="185">
        <v>0.47196106120993336</v>
      </c>
      <c r="L58" s="185">
        <v>0.46679936780433628</v>
      </c>
      <c r="M58" s="201">
        <v>6.1239570985730296E-2</v>
      </c>
      <c r="N58" s="185">
        <v>7.5453527255665051E-2</v>
      </c>
      <c r="O58" s="185">
        <v>0.62966867336129206</v>
      </c>
      <c r="P58" s="201">
        <v>0.29487779938304293</v>
      </c>
      <c r="Q58" s="205" t="e">
        <v>#N/A</v>
      </c>
      <c r="R58" s="231" t="e">
        <v>#N/A</v>
      </c>
      <c r="S58" s="185" t="e">
        <v>#N/A</v>
      </c>
      <c r="T58" s="185" t="e">
        <v>#N/A</v>
      </c>
      <c r="U58" s="201" t="e">
        <v>#N/A</v>
      </c>
      <c r="V58" s="185" t="e">
        <v>#N/A</v>
      </c>
      <c r="W58" s="185" t="e">
        <v>#N/A</v>
      </c>
      <c r="X58" s="201" t="e">
        <v>#N/A</v>
      </c>
      <c r="Y58" s="205" t="e">
        <v>#N/A</v>
      </c>
      <c r="Z58" s="231" t="e">
        <v>#N/A</v>
      </c>
      <c r="AA58" s="185" t="e">
        <v>#N/A</v>
      </c>
      <c r="AB58" s="185" t="e">
        <v>#N/A</v>
      </c>
      <c r="AC58" s="201" t="e">
        <v>#N/A</v>
      </c>
      <c r="AD58" s="185" t="e">
        <v>#N/A</v>
      </c>
      <c r="AE58" s="185" t="e">
        <v>#N/A</v>
      </c>
      <c r="AF58" s="201" t="e">
        <v>#N/A</v>
      </c>
      <c r="AH58" s="152">
        <f t="shared" si="0"/>
        <v>0.70536074511210156</v>
      </c>
      <c r="AI58" s="152">
        <f t="shared" si="1"/>
        <v>0.404260110989071</v>
      </c>
      <c r="AJ58" s="152">
        <f t="shared" si="2"/>
        <v>0.3902878639363111</v>
      </c>
      <c r="AK58" s="152">
        <f t="shared" si="3"/>
        <v>0.54530906709812477</v>
      </c>
      <c r="AL58" s="152" t="e">
        <f t="shared" si="4"/>
        <v>#N/A</v>
      </c>
      <c r="AM58" s="152" t="e">
        <f t="shared" si="5"/>
        <v>#N/A</v>
      </c>
      <c r="AN58" s="152" t="e">
        <f t="shared" si="6"/>
        <v>#N/A</v>
      </c>
      <c r="AO58" s="152" t="e">
        <f t="shared" si="7"/>
        <v>#N/A</v>
      </c>
      <c r="AP58" s="152" t="e">
        <f t="shared" si="8"/>
        <v>#N/A</v>
      </c>
      <c r="AQ58" s="152" t="e">
        <f t="shared" si="9"/>
        <v>#N/A</v>
      </c>
      <c r="AR58" s="152" t="e">
        <f t="shared" si="10"/>
        <v>#N/A</v>
      </c>
      <c r="AS58" s="152" t="e">
        <f t="shared" si="11"/>
        <v>#N/A</v>
      </c>
    </row>
    <row r="59" spans="1:45" ht="15.75" customHeight="1">
      <c r="H59" s="212">
        <v>52</v>
      </c>
      <c r="I59" s="205">
        <v>18093.821541850972</v>
      </c>
      <c r="J59" s="231">
        <v>3272.6316567472077</v>
      </c>
      <c r="K59" s="185">
        <v>0.47672898162067623</v>
      </c>
      <c r="L59" s="185">
        <v>0.46114432216040763</v>
      </c>
      <c r="M59" s="201">
        <v>6.2126696218916144E-2</v>
      </c>
      <c r="N59" s="185">
        <v>7.5774814402369425E-2</v>
      </c>
      <c r="O59" s="185">
        <v>0.62313287769356007</v>
      </c>
      <c r="P59" s="201">
        <v>0.30109230790407049</v>
      </c>
      <c r="Q59" s="205" t="e">
        <v>#N/A</v>
      </c>
      <c r="R59" s="231" t="e">
        <v>#N/A</v>
      </c>
      <c r="S59" s="185" t="e">
        <v>#N/A</v>
      </c>
      <c r="T59" s="185" t="e">
        <v>#N/A</v>
      </c>
      <c r="U59" s="201" t="e">
        <v>#N/A</v>
      </c>
      <c r="V59" s="185" t="e">
        <v>#N/A</v>
      </c>
      <c r="W59" s="185" t="e">
        <v>#N/A</v>
      </c>
      <c r="X59" s="201" t="e">
        <v>#N/A</v>
      </c>
      <c r="Y59" s="205" t="e">
        <v>#N/A</v>
      </c>
      <c r="Z59" s="231" t="e">
        <v>#N/A</v>
      </c>
      <c r="AA59" s="185" t="e">
        <v>#N/A</v>
      </c>
      <c r="AB59" s="185" t="e">
        <v>#N/A</v>
      </c>
      <c r="AC59" s="201" t="e">
        <v>#N/A</v>
      </c>
      <c r="AD59" s="185" t="e">
        <v>#N/A</v>
      </c>
      <c r="AE59" s="185" t="e">
        <v>#N/A</v>
      </c>
      <c r="AF59" s="201" t="e">
        <v>#N/A</v>
      </c>
      <c r="AH59" s="152">
        <f t="shared" si="0"/>
        <v>0.70730114270088007</v>
      </c>
      <c r="AI59" s="152">
        <f t="shared" si="1"/>
        <v>0.39936269780186823</v>
      </c>
      <c r="AJ59" s="152">
        <f t="shared" si="2"/>
        <v>0.38734125324914948</v>
      </c>
      <c r="AK59" s="152">
        <f t="shared" si="3"/>
        <v>0.53964890201592453</v>
      </c>
      <c r="AL59" s="152" t="e">
        <f t="shared" si="4"/>
        <v>#N/A</v>
      </c>
      <c r="AM59" s="152" t="e">
        <f t="shared" si="5"/>
        <v>#N/A</v>
      </c>
      <c r="AN59" s="152" t="e">
        <f t="shared" si="6"/>
        <v>#N/A</v>
      </c>
      <c r="AO59" s="152" t="e">
        <f t="shared" si="7"/>
        <v>#N/A</v>
      </c>
      <c r="AP59" s="152" t="e">
        <f t="shared" si="8"/>
        <v>#N/A</v>
      </c>
      <c r="AQ59" s="152" t="e">
        <f t="shared" si="9"/>
        <v>#N/A</v>
      </c>
      <c r="AR59" s="152" t="e">
        <f t="shared" si="10"/>
        <v>#N/A</v>
      </c>
      <c r="AS59" s="152" t="e">
        <f t="shared" si="11"/>
        <v>#N/A</v>
      </c>
    </row>
    <row r="60" spans="1:45" ht="15.75" customHeight="1">
      <c r="H60" s="212">
        <v>53</v>
      </c>
      <c r="I60" s="205">
        <v>18097.664537088767</v>
      </c>
      <c r="J60" s="231">
        <v>3263.9804399031682</v>
      </c>
      <c r="K60" s="185">
        <v>0.48149569846232809</v>
      </c>
      <c r="L60" s="185">
        <v>0.4554998319302207</v>
      </c>
      <c r="M60" s="201">
        <v>6.3004469607451208E-2</v>
      </c>
      <c r="N60" s="185">
        <v>7.6093416865876035E-2</v>
      </c>
      <c r="O60" s="185">
        <v>0.61658693812332899</v>
      </c>
      <c r="P60" s="201">
        <v>0.30731964501079501</v>
      </c>
      <c r="Q60" s="205" t="e">
        <v>#N/A</v>
      </c>
      <c r="R60" s="231" t="e">
        <v>#N/A</v>
      </c>
      <c r="S60" s="185" t="e">
        <v>#N/A</v>
      </c>
      <c r="T60" s="185" t="e">
        <v>#N/A</v>
      </c>
      <c r="U60" s="201" t="e">
        <v>#N/A</v>
      </c>
      <c r="V60" s="185" t="e">
        <v>#N/A</v>
      </c>
      <c r="W60" s="185" t="e">
        <v>#N/A</v>
      </c>
      <c r="X60" s="201" t="e">
        <v>#N/A</v>
      </c>
      <c r="Y60" s="205" t="e">
        <v>#N/A</v>
      </c>
      <c r="Z60" s="231" t="e">
        <v>#N/A</v>
      </c>
      <c r="AA60" s="185" t="e">
        <v>#N/A</v>
      </c>
      <c r="AB60" s="185" t="e">
        <v>#N/A</v>
      </c>
      <c r="AC60" s="201" t="e">
        <v>#N/A</v>
      </c>
      <c r="AD60" s="185" t="e">
        <v>#N/A</v>
      </c>
      <c r="AE60" s="185" t="e">
        <v>#N/A</v>
      </c>
      <c r="AF60" s="201" t="e">
        <v>#N/A</v>
      </c>
      <c r="AH60" s="152">
        <f t="shared" si="0"/>
        <v>0.70924561442743839</v>
      </c>
      <c r="AI60" s="152">
        <f t="shared" si="1"/>
        <v>0.39447442587111331</v>
      </c>
      <c r="AJ60" s="152">
        <f t="shared" si="2"/>
        <v>0.38438688592754056</v>
      </c>
      <c r="AK60" s="152">
        <f t="shared" si="3"/>
        <v>0.53397995205646664</v>
      </c>
      <c r="AL60" s="152" t="e">
        <f t="shared" si="4"/>
        <v>#N/A</v>
      </c>
      <c r="AM60" s="152" t="e">
        <f t="shared" si="5"/>
        <v>#N/A</v>
      </c>
      <c r="AN60" s="152" t="e">
        <f t="shared" si="6"/>
        <v>#N/A</v>
      </c>
      <c r="AO60" s="152" t="e">
        <f t="shared" si="7"/>
        <v>#N/A</v>
      </c>
      <c r="AP60" s="152" t="e">
        <f t="shared" si="8"/>
        <v>#N/A</v>
      </c>
      <c r="AQ60" s="152" t="e">
        <f t="shared" si="9"/>
        <v>#N/A</v>
      </c>
      <c r="AR60" s="152" t="e">
        <f t="shared" si="10"/>
        <v>#N/A</v>
      </c>
      <c r="AS60" s="152" t="e">
        <f t="shared" si="11"/>
        <v>#N/A</v>
      </c>
    </row>
    <row r="61" spans="1:45" ht="15.75" customHeight="1">
      <c r="H61" s="212">
        <v>54</v>
      </c>
      <c r="I61" s="205">
        <v>18101.181830968144</v>
      </c>
      <c r="J61" s="231">
        <v>3255.4269592192618</v>
      </c>
      <c r="K61" s="185">
        <v>0.48626105291880867</v>
      </c>
      <c r="L61" s="185">
        <v>0.44986589770841828</v>
      </c>
      <c r="M61" s="201">
        <v>6.3873049372772994E-2</v>
      </c>
      <c r="N61" s="185">
        <v>7.6409376092780784E-2</v>
      </c>
      <c r="O61" s="185">
        <v>0.61003086599356415</v>
      </c>
      <c r="P61" s="201">
        <v>0.31355975791365509</v>
      </c>
      <c r="Q61" s="205" t="e">
        <v>#N/A</v>
      </c>
      <c r="R61" s="231" t="e">
        <v>#N/A</v>
      </c>
      <c r="S61" s="185" t="e">
        <v>#N/A</v>
      </c>
      <c r="T61" s="185" t="e">
        <v>#N/A</v>
      </c>
      <c r="U61" s="201" t="e">
        <v>#N/A</v>
      </c>
      <c r="V61" s="185" t="e">
        <v>#N/A</v>
      </c>
      <c r="W61" s="185" t="e">
        <v>#N/A</v>
      </c>
      <c r="X61" s="201" t="e">
        <v>#N/A</v>
      </c>
      <c r="Y61" s="205" t="e">
        <v>#N/A</v>
      </c>
      <c r="Z61" s="231" t="e">
        <v>#N/A</v>
      </c>
      <c r="AA61" s="185" t="e">
        <v>#N/A</v>
      </c>
      <c r="AB61" s="185" t="e">
        <v>#N/A</v>
      </c>
      <c r="AC61" s="201" t="e">
        <v>#N/A</v>
      </c>
      <c r="AD61" s="185" t="e">
        <v>#N/A</v>
      </c>
      <c r="AE61" s="185" t="e">
        <v>#N/A</v>
      </c>
      <c r="AF61" s="201" t="e">
        <v>#N/A</v>
      </c>
      <c r="AH61" s="152">
        <f t="shared" si="0"/>
        <v>0.71119400177301784</v>
      </c>
      <c r="AI61" s="152">
        <f t="shared" si="1"/>
        <v>0.38959529571178192</v>
      </c>
      <c r="AJ61" s="152">
        <f t="shared" si="2"/>
        <v>0.38142480908956289</v>
      </c>
      <c r="AK61" s="152">
        <f t="shared" si="3"/>
        <v>0.52830222704304719</v>
      </c>
      <c r="AL61" s="152" t="e">
        <f t="shared" si="4"/>
        <v>#N/A</v>
      </c>
      <c r="AM61" s="152" t="e">
        <f t="shared" si="5"/>
        <v>#N/A</v>
      </c>
      <c r="AN61" s="152" t="e">
        <f t="shared" si="6"/>
        <v>#N/A</v>
      </c>
      <c r="AO61" s="152" t="e">
        <f t="shared" si="7"/>
        <v>#N/A</v>
      </c>
      <c r="AP61" s="152" t="e">
        <f t="shared" si="8"/>
        <v>#N/A</v>
      </c>
      <c r="AQ61" s="152" t="e">
        <f t="shared" si="9"/>
        <v>#N/A</v>
      </c>
      <c r="AR61" s="152" t="e">
        <f t="shared" si="10"/>
        <v>#N/A</v>
      </c>
      <c r="AS61" s="152" t="e">
        <f t="shared" si="11"/>
        <v>#N/A</v>
      </c>
    </row>
    <row r="62" spans="1:45" ht="15.75" customHeight="1">
      <c r="H62" s="212">
        <v>55</v>
      </c>
      <c r="I62" s="205">
        <v>18104.379507795933</v>
      </c>
      <c r="J62" s="231">
        <v>3246.9695721113635</v>
      </c>
      <c r="K62" s="185">
        <v>0.49102488793859345</v>
      </c>
      <c r="L62" s="185">
        <v>0.44424252045372997</v>
      </c>
      <c r="M62" s="201">
        <v>6.4732591607676582E-2</v>
      </c>
      <c r="N62" s="185">
        <v>7.6722732621809286E-2</v>
      </c>
      <c r="O62" s="185">
        <v>0.60346467239699508</v>
      </c>
      <c r="P62" s="201">
        <v>0.31981259498119563</v>
      </c>
      <c r="Q62" s="205" t="e">
        <v>#N/A</v>
      </c>
      <c r="R62" s="231" t="e">
        <v>#N/A</v>
      </c>
      <c r="S62" s="185" t="e">
        <v>#N/A</v>
      </c>
      <c r="T62" s="185" t="e">
        <v>#N/A</v>
      </c>
      <c r="U62" s="201" t="e">
        <v>#N/A</v>
      </c>
      <c r="V62" s="185" t="e">
        <v>#N/A</v>
      </c>
      <c r="W62" s="185" t="e">
        <v>#N/A</v>
      </c>
      <c r="X62" s="201" t="e">
        <v>#N/A</v>
      </c>
      <c r="Y62" s="205" t="e">
        <v>#N/A</v>
      </c>
      <c r="Z62" s="231" t="e">
        <v>#N/A</v>
      </c>
      <c r="AA62" s="185" t="e">
        <v>#N/A</v>
      </c>
      <c r="AB62" s="185" t="e">
        <v>#N/A</v>
      </c>
      <c r="AC62" s="201" t="e">
        <v>#N/A</v>
      </c>
      <c r="AD62" s="185" t="e">
        <v>#N/A</v>
      </c>
      <c r="AE62" s="185" t="e">
        <v>#N/A</v>
      </c>
      <c r="AF62" s="201" t="e">
        <v>#N/A</v>
      </c>
      <c r="AH62" s="152">
        <f t="shared" si="0"/>
        <v>0.7131461481654584</v>
      </c>
      <c r="AI62" s="152">
        <f t="shared" si="1"/>
        <v>0.38472530815415823</v>
      </c>
      <c r="AJ62" s="152">
        <f t="shared" si="2"/>
        <v>0.37845506882030683</v>
      </c>
      <c r="AK62" s="152">
        <f t="shared" si="3"/>
        <v>0.52261573658225158</v>
      </c>
      <c r="AL62" s="152" t="e">
        <f t="shared" si="4"/>
        <v>#N/A</v>
      </c>
      <c r="AM62" s="152" t="e">
        <f t="shared" si="5"/>
        <v>#N/A</v>
      </c>
      <c r="AN62" s="152" t="e">
        <f t="shared" si="6"/>
        <v>#N/A</v>
      </c>
      <c r="AO62" s="152" t="e">
        <f t="shared" si="7"/>
        <v>#N/A</v>
      </c>
      <c r="AP62" s="152" t="e">
        <f t="shared" si="8"/>
        <v>#N/A</v>
      </c>
      <c r="AQ62" s="152" t="e">
        <f t="shared" si="9"/>
        <v>#N/A</v>
      </c>
      <c r="AR62" s="152" t="e">
        <f t="shared" si="10"/>
        <v>#N/A</v>
      </c>
      <c r="AS62" s="152" t="e">
        <f t="shared" si="11"/>
        <v>#N/A</v>
      </c>
    </row>
    <row r="63" spans="1:45" ht="15.75" customHeight="1">
      <c r="H63" s="212">
        <v>56</v>
      </c>
      <c r="I63" s="205">
        <v>18107.263545108468</v>
      </c>
      <c r="J63" s="231">
        <v>3238.6066751226053</v>
      </c>
      <c r="K63" s="185">
        <v>0.49578704818218511</v>
      </c>
      <c r="L63" s="185">
        <v>0.43862970149350011</v>
      </c>
      <c r="M63" s="201">
        <v>6.5583250324314779E-2</v>
      </c>
      <c r="N63" s="185">
        <v>7.7033526102589567E-2</v>
      </c>
      <c r="O63" s="185">
        <v>0.59688836817320212</v>
      </c>
      <c r="P63" s="201">
        <v>0.32607810572420826</v>
      </c>
      <c r="Q63" s="205" t="e">
        <v>#N/A</v>
      </c>
      <c r="R63" s="231" t="e">
        <v>#N/A</v>
      </c>
      <c r="S63" s="185" t="e">
        <v>#N/A</v>
      </c>
      <c r="T63" s="185" t="e">
        <v>#N/A</v>
      </c>
      <c r="U63" s="201" t="e">
        <v>#N/A</v>
      </c>
      <c r="V63" s="185" t="e">
        <v>#N/A</v>
      </c>
      <c r="W63" s="185" t="e">
        <v>#N/A</v>
      </c>
      <c r="X63" s="201" t="e">
        <v>#N/A</v>
      </c>
      <c r="Y63" s="205" t="e">
        <v>#N/A</v>
      </c>
      <c r="Z63" s="231" t="e">
        <v>#N/A</v>
      </c>
      <c r="AA63" s="185" t="e">
        <v>#N/A</v>
      </c>
      <c r="AB63" s="185" t="e">
        <v>#N/A</v>
      </c>
      <c r="AC63" s="201" t="e">
        <v>#N/A</v>
      </c>
      <c r="AD63" s="185" t="e">
        <v>#N/A</v>
      </c>
      <c r="AE63" s="185" t="e">
        <v>#N/A</v>
      </c>
      <c r="AF63" s="201" t="e">
        <v>#N/A</v>
      </c>
      <c r="AH63" s="152">
        <f t="shared" si="0"/>
        <v>0.71510189892893516</v>
      </c>
      <c r="AI63" s="152">
        <f t="shared" si="1"/>
        <v>0.37986446434775623</v>
      </c>
      <c r="AJ63" s="152">
        <f t="shared" si="2"/>
        <v>0.37547771018919063</v>
      </c>
      <c r="AK63" s="152">
        <f t="shared" si="3"/>
        <v>0.51692049006143204</v>
      </c>
      <c r="AL63" s="152" t="e">
        <f t="shared" si="4"/>
        <v>#N/A</v>
      </c>
      <c r="AM63" s="152" t="e">
        <f t="shared" si="5"/>
        <v>#N/A</v>
      </c>
      <c r="AN63" s="152" t="e">
        <f t="shared" si="6"/>
        <v>#N/A</v>
      </c>
      <c r="AO63" s="152" t="e">
        <f t="shared" si="7"/>
        <v>#N/A</v>
      </c>
      <c r="AP63" s="152" t="e">
        <f t="shared" si="8"/>
        <v>#N/A</v>
      </c>
      <c r="AQ63" s="152" t="e">
        <f t="shared" si="9"/>
        <v>#N/A</v>
      </c>
      <c r="AR63" s="152" t="e">
        <f t="shared" si="10"/>
        <v>#N/A</v>
      </c>
      <c r="AS63" s="152" t="e">
        <f t="shared" si="11"/>
        <v>#N/A</v>
      </c>
    </row>
    <row r="64" spans="1:45" ht="15.75" customHeight="1">
      <c r="H64" s="212">
        <v>57</v>
      </c>
      <c r="I64" s="205">
        <v>18109.839815742744</v>
      </c>
      <c r="J64" s="231">
        <v>3230.3367027166078</v>
      </c>
      <c r="K64" s="185">
        <v>0.50054737997194143</v>
      </c>
      <c r="L64" s="185">
        <v>0.43302744252721798</v>
      </c>
      <c r="M64" s="201">
        <v>6.6425177500840593E-2</v>
      </c>
      <c r="N64" s="185">
        <v>7.7341795314439216E-2</v>
      </c>
      <c r="O64" s="185">
        <v>0.59030196390633893</v>
      </c>
      <c r="P64" s="201">
        <v>0.33235624077922188</v>
      </c>
      <c r="Q64" s="205" t="e">
        <v>#N/A</v>
      </c>
      <c r="R64" s="231" t="e">
        <v>#N/A</v>
      </c>
      <c r="S64" s="185" t="e">
        <v>#N/A</v>
      </c>
      <c r="T64" s="185" t="e">
        <v>#N/A</v>
      </c>
      <c r="U64" s="201" t="e">
        <v>#N/A</v>
      </c>
      <c r="V64" s="185" t="e">
        <v>#N/A</v>
      </c>
      <c r="W64" s="185" t="e">
        <v>#N/A</v>
      </c>
      <c r="X64" s="201" t="e">
        <v>#N/A</v>
      </c>
      <c r="Y64" s="205" t="e">
        <v>#N/A</v>
      </c>
      <c r="Z64" s="231" t="e">
        <v>#N/A</v>
      </c>
      <c r="AA64" s="185" t="e">
        <v>#N/A</v>
      </c>
      <c r="AB64" s="185" t="e">
        <v>#N/A</v>
      </c>
      <c r="AC64" s="201" t="e">
        <v>#N/A</v>
      </c>
      <c r="AD64" s="185" t="e">
        <v>#N/A</v>
      </c>
      <c r="AE64" s="185" t="e">
        <v>#N/A</v>
      </c>
      <c r="AF64" s="201" t="e">
        <v>#N/A</v>
      </c>
      <c r="AH64" s="152">
        <f t="shared" si="0"/>
        <v>0.71706110123555045</v>
      </c>
      <c r="AI64" s="152">
        <f t="shared" si="1"/>
        <v>0.3750127657643767</v>
      </c>
      <c r="AJ64" s="152">
        <f t="shared" si="2"/>
        <v>0.37249277726760865</v>
      </c>
      <c r="AK64" s="152">
        <f t="shared" si="3"/>
        <v>0.5112164966467343</v>
      </c>
      <c r="AL64" s="152" t="e">
        <f t="shared" si="4"/>
        <v>#N/A</v>
      </c>
      <c r="AM64" s="152" t="e">
        <f t="shared" si="5"/>
        <v>#N/A</v>
      </c>
      <c r="AN64" s="152" t="e">
        <f t="shared" si="6"/>
        <v>#N/A</v>
      </c>
      <c r="AO64" s="152" t="e">
        <f t="shared" si="7"/>
        <v>#N/A</v>
      </c>
      <c r="AP64" s="152" t="e">
        <f t="shared" si="8"/>
        <v>#N/A</v>
      </c>
      <c r="AQ64" s="152" t="e">
        <f t="shared" si="9"/>
        <v>#N/A</v>
      </c>
      <c r="AR64" s="152" t="e">
        <f t="shared" si="10"/>
        <v>#N/A</v>
      </c>
      <c r="AS64" s="152" t="e">
        <f t="shared" si="11"/>
        <v>#N/A</v>
      </c>
    </row>
    <row r="65" spans="8:45" ht="15.75" customHeight="1">
      <c r="H65" s="212">
        <v>58</v>
      </c>
      <c r="I65" s="205">
        <v>18112.114089872874</v>
      </c>
      <c r="J65" s="231">
        <v>3222.1581261247238</v>
      </c>
      <c r="K65" s="185">
        <v>0.50530573124370104</v>
      </c>
      <c r="L65" s="185">
        <v>0.42743574562948339</v>
      </c>
      <c r="M65" s="201">
        <v>6.7258523126815573E-2</v>
      </c>
      <c r="N65" s="185">
        <v>7.7647578185037411E-2</v>
      </c>
      <c r="O65" s="185">
        <v>0.58370546992363936</v>
      </c>
      <c r="P65" s="201">
        <v>0.33864695189132321</v>
      </c>
      <c r="Q65" s="205" t="e">
        <v>#N/A</v>
      </c>
      <c r="R65" s="231" t="e">
        <v>#N/A</v>
      </c>
      <c r="S65" s="185" t="e">
        <v>#N/A</v>
      </c>
      <c r="T65" s="185" t="e">
        <v>#N/A</v>
      </c>
      <c r="U65" s="201" t="e">
        <v>#N/A</v>
      </c>
      <c r="V65" s="185" t="e">
        <v>#N/A</v>
      </c>
      <c r="W65" s="185" t="e">
        <v>#N/A</v>
      </c>
      <c r="X65" s="201" t="e">
        <v>#N/A</v>
      </c>
      <c r="Y65" s="205" t="e">
        <v>#N/A</v>
      </c>
      <c r="Z65" s="231" t="e">
        <v>#N/A</v>
      </c>
      <c r="AA65" s="185" t="e">
        <v>#N/A</v>
      </c>
      <c r="AB65" s="185" t="e">
        <v>#N/A</v>
      </c>
      <c r="AC65" s="201" t="e">
        <v>#N/A</v>
      </c>
      <c r="AD65" s="185" t="e">
        <v>#N/A</v>
      </c>
      <c r="AE65" s="185" t="e">
        <v>#N/A</v>
      </c>
      <c r="AF65" s="201" t="e">
        <v>#N/A</v>
      </c>
      <c r="AH65" s="152">
        <f t="shared" si="0"/>
        <v>0.71902360405844279</v>
      </c>
      <c r="AI65" s="152">
        <f t="shared" si="1"/>
        <v>0.37017021420067592</v>
      </c>
      <c r="AJ65" s="152">
        <f t="shared" si="2"/>
        <v>0.36950031314685711</v>
      </c>
      <c r="AK65" s="152">
        <f t="shared" si="3"/>
        <v>0.5055037652818053</v>
      </c>
      <c r="AL65" s="152" t="e">
        <f t="shared" si="4"/>
        <v>#N/A</v>
      </c>
      <c r="AM65" s="152" t="e">
        <f t="shared" si="5"/>
        <v>#N/A</v>
      </c>
      <c r="AN65" s="152" t="e">
        <f t="shared" si="6"/>
        <v>#N/A</v>
      </c>
      <c r="AO65" s="152" t="e">
        <f t="shared" si="7"/>
        <v>#N/A</v>
      </c>
      <c r="AP65" s="152" t="e">
        <f t="shared" si="8"/>
        <v>#N/A</v>
      </c>
      <c r="AQ65" s="152" t="e">
        <f t="shared" si="9"/>
        <v>#N/A</v>
      </c>
      <c r="AR65" s="152" t="e">
        <f t="shared" si="10"/>
        <v>#N/A</v>
      </c>
      <c r="AS65" s="152" t="e">
        <f t="shared" si="11"/>
        <v>#N/A</v>
      </c>
    </row>
    <row r="66" spans="8:45" ht="15.75" customHeight="1">
      <c r="H66" s="212">
        <v>59</v>
      </c>
      <c r="I66" s="205">
        <v>18114.092037011553</v>
      </c>
      <c r="J66" s="231">
        <v>3214.0694522438753</v>
      </c>
      <c r="K66" s="185">
        <v>0.51006195150011147</v>
      </c>
      <c r="L66" s="185">
        <v>0.42185461325240248</v>
      </c>
      <c r="M66" s="201">
        <v>6.8083435247486057E-2</v>
      </c>
      <c r="N66" s="185">
        <v>7.7950911808955928E-2</v>
      </c>
      <c r="O66" s="185">
        <v>0.57709889629460809</v>
      </c>
      <c r="P66" s="201">
        <v>0.34495019189643594</v>
      </c>
      <c r="Q66" s="205" t="e">
        <v>#N/A</v>
      </c>
      <c r="R66" s="231" t="e">
        <v>#N/A</v>
      </c>
      <c r="S66" s="185" t="e">
        <v>#N/A</v>
      </c>
      <c r="T66" s="185" t="e">
        <v>#N/A</v>
      </c>
      <c r="U66" s="201" t="e">
        <v>#N/A</v>
      </c>
      <c r="V66" s="185" t="e">
        <v>#N/A</v>
      </c>
      <c r="W66" s="185" t="e">
        <v>#N/A</v>
      </c>
      <c r="X66" s="201" t="e">
        <v>#N/A</v>
      </c>
      <c r="Y66" s="205" t="e">
        <v>#N/A</v>
      </c>
      <c r="Z66" s="231" t="e">
        <v>#N/A</v>
      </c>
      <c r="AA66" s="185" t="e">
        <v>#N/A</v>
      </c>
      <c r="AB66" s="185" t="e">
        <v>#N/A</v>
      </c>
      <c r="AC66" s="201" t="e">
        <v>#N/A</v>
      </c>
      <c r="AD66" s="185" t="e">
        <v>#N/A</v>
      </c>
      <c r="AE66" s="185" t="e">
        <v>#N/A</v>
      </c>
      <c r="AF66" s="201" t="e">
        <v>#N/A</v>
      </c>
      <c r="AH66" s="152">
        <f t="shared" si="0"/>
        <v>0.72098925812631265</v>
      </c>
      <c r="AI66" s="152">
        <f t="shared" si="1"/>
        <v>0.36533681178024002</v>
      </c>
      <c r="AJ66" s="152">
        <f t="shared" si="2"/>
        <v>0.36650035995625996</v>
      </c>
      <c r="AK66" s="152">
        <f t="shared" si="3"/>
        <v>0.49978230468709184</v>
      </c>
      <c r="AL66" s="152" t="e">
        <f t="shared" si="4"/>
        <v>#N/A</v>
      </c>
      <c r="AM66" s="152" t="e">
        <f t="shared" si="5"/>
        <v>#N/A</v>
      </c>
      <c r="AN66" s="152" t="e">
        <f t="shared" si="6"/>
        <v>#N/A</v>
      </c>
      <c r="AO66" s="152" t="e">
        <f t="shared" si="7"/>
        <v>#N/A</v>
      </c>
      <c r="AP66" s="152" t="e">
        <f t="shared" si="8"/>
        <v>#N/A</v>
      </c>
      <c r="AQ66" s="152" t="e">
        <f t="shared" si="9"/>
        <v>#N/A</v>
      </c>
      <c r="AR66" s="152" t="e">
        <f t="shared" si="10"/>
        <v>#N/A</v>
      </c>
      <c r="AS66" s="152" t="e">
        <f t="shared" si="11"/>
        <v>#N/A</v>
      </c>
    </row>
    <row r="67" spans="8:45" ht="15.75" customHeight="1">
      <c r="H67" s="212">
        <v>60</v>
      </c>
      <c r="I67" s="205">
        <v>18115.779227977164</v>
      </c>
      <c r="J67" s="231">
        <v>3206.0692225822859</v>
      </c>
      <c r="K67" s="185">
        <v>0.51481589176602327</v>
      </c>
      <c r="L67" s="185">
        <v>0.41628404822710108</v>
      </c>
      <c r="M67" s="201">
        <v>6.8900060006875652E-2</v>
      </c>
      <c r="N67" s="185">
        <v>7.8251832466128282E-2</v>
      </c>
      <c r="O67" s="185">
        <v>0.57048225283098242</v>
      </c>
      <c r="P67" s="201">
        <v>0.35126591470288926</v>
      </c>
      <c r="Q67" s="205" t="e">
        <v>#N/A</v>
      </c>
      <c r="R67" s="231" t="e">
        <v>#N/A</v>
      </c>
      <c r="S67" s="185" t="e">
        <v>#N/A</v>
      </c>
      <c r="T67" s="185" t="e">
        <v>#N/A</v>
      </c>
      <c r="U67" s="201" t="e">
        <v>#N/A</v>
      </c>
      <c r="V67" s="185" t="e">
        <v>#N/A</v>
      </c>
      <c r="W67" s="185" t="e">
        <v>#N/A</v>
      </c>
      <c r="X67" s="201" t="e">
        <v>#N/A</v>
      </c>
      <c r="Y67" s="205" t="e">
        <v>#N/A</v>
      </c>
      <c r="Z67" s="231" t="e">
        <v>#N/A</v>
      </c>
      <c r="AA67" s="185" t="e">
        <v>#N/A</v>
      </c>
      <c r="AB67" s="185" t="e">
        <v>#N/A</v>
      </c>
      <c r="AC67" s="201" t="e">
        <v>#N/A</v>
      </c>
      <c r="AD67" s="185" t="e">
        <v>#N/A</v>
      </c>
      <c r="AE67" s="185" t="e">
        <v>#N/A</v>
      </c>
      <c r="AF67" s="201" t="e">
        <v>#N/A</v>
      </c>
      <c r="AH67" s="152">
        <f t="shared" si="0"/>
        <v>0.72295791587957381</v>
      </c>
      <c r="AI67" s="152">
        <f t="shared" si="1"/>
        <v>0.36051256095489592</v>
      </c>
      <c r="AJ67" s="152">
        <f t="shared" si="2"/>
        <v>0.36349295888161948</v>
      </c>
      <c r="AK67" s="152">
        <f t="shared" si="3"/>
        <v>0.49405212335980775</v>
      </c>
      <c r="AL67" s="152" t="e">
        <f t="shared" si="4"/>
        <v>#N/A</v>
      </c>
      <c r="AM67" s="152" t="e">
        <f t="shared" si="5"/>
        <v>#N/A</v>
      </c>
      <c r="AN67" s="152" t="e">
        <f t="shared" si="6"/>
        <v>#N/A</v>
      </c>
      <c r="AO67" s="152" t="e">
        <f t="shared" si="7"/>
        <v>#N/A</v>
      </c>
      <c r="AP67" s="152" t="e">
        <f t="shared" si="8"/>
        <v>#N/A</v>
      </c>
      <c r="AQ67" s="152" t="e">
        <f t="shared" si="9"/>
        <v>#N/A</v>
      </c>
      <c r="AR67" s="152" t="e">
        <f t="shared" si="10"/>
        <v>#N/A</v>
      </c>
      <c r="AS67" s="152" t="e">
        <f t="shared" si="11"/>
        <v>#N/A</v>
      </c>
    </row>
    <row r="68" spans="8:45" ht="15.75" customHeight="1">
      <c r="H68" s="212">
        <v>61</v>
      </c>
      <c r="I68" s="205">
        <v>18117.181136827774</v>
      </c>
      <c r="J68" s="231">
        <v>3198.1560122722508</v>
      </c>
      <c r="K68" s="185">
        <v>0.51956740454633987</v>
      </c>
      <c r="L68" s="185">
        <v>0.41072405376402576</v>
      </c>
      <c r="M68" s="201">
        <v>6.9708541689634362E-2</v>
      </c>
      <c r="N68" s="185">
        <v>7.8550375640671841E-2</v>
      </c>
      <c r="O68" s="185">
        <v>0.56385554908760882</v>
      </c>
      <c r="P68" s="201">
        <v>0.35759407527171938</v>
      </c>
      <c r="Q68" s="205" t="e">
        <v>#N/A</v>
      </c>
      <c r="R68" s="231" t="e">
        <v>#N/A</v>
      </c>
      <c r="S68" s="185" t="e">
        <v>#N/A</v>
      </c>
      <c r="T68" s="185" t="e">
        <v>#N/A</v>
      </c>
      <c r="U68" s="201" t="e">
        <v>#N/A</v>
      </c>
      <c r="V68" s="185" t="e">
        <v>#N/A</v>
      </c>
      <c r="W68" s="185" t="e">
        <v>#N/A</v>
      </c>
      <c r="X68" s="201" t="e">
        <v>#N/A</v>
      </c>
      <c r="Y68" s="205" t="e">
        <v>#N/A</v>
      </c>
      <c r="Z68" s="231" t="e">
        <v>#N/A</v>
      </c>
      <c r="AA68" s="185" t="e">
        <v>#N/A</v>
      </c>
      <c r="AB68" s="185" t="e">
        <v>#N/A</v>
      </c>
      <c r="AC68" s="201" t="e">
        <v>#N/A</v>
      </c>
      <c r="AD68" s="185" t="e">
        <v>#N/A</v>
      </c>
      <c r="AE68" s="185" t="e">
        <v>#N/A</v>
      </c>
      <c r="AF68" s="201" t="e">
        <v>#N/A</v>
      </c>
      <c r="AH68" s="152">
        <f t="shared" si="0"/>
        <v>0.72492943142835276</v>
      </c>
      <c r="AI68" s="152">
        <f t="shared" si="1"/>
        <v>0.35569746450497186</v>
      </c>
      <c r="AJ68" s="152">
        <f t="shared" si="2"/>
        <v>0.36047815018447626</v>
      </c>
      <c r="AK68" s="152">
        <f t="shared" si="3"/>
        <v>0.48831322957469275</v>
      </c>
      <c r="AL68" s="152" t="e">
        <f t="shared" si="4"/>
        <v>#N/A</v>
      </c>
      <c r="AM68" s="152" t="e">
        <f t="shared" si="5"/>
        <v>#N/A</v>
      </c>
      <c r="AN68" s="152" t="e">
        <f t="shared" si="6"/>
        <v>#N/A</v>
      </c>
      <c r="AO68" s="152" t="e">
        <f t="shared" si="7"/>
        <v>#N/A</v>
      </c>
      <c r="AP68" s="152" t="e">
        <f t="shared" si="8"/>
        <v>#N/A</v>
      </c>
      <c r="AQ68" s="152" t="e">
        <f t="shared" si="9"/>
        <v>#N/A</v>
      </c>
      <c r="AR68" s="152" t="e">
        <f t="shared" si="10"/>
        <v>#N/A</v>
      </c>
      <c r="AS68" s="152" t="e">
        <f t="shared" si="11"/>
        <v>#N/A</v>
      </c>
    </row>
    <row r="69" spans="8:45" ht="15.75" customHeight="1">
      <c r="H69" s="212">
        <v>62</v>
      </c>
      <c r="I69" s="205">
        <v>18118.303142751065</v>
      </c>
      <c r="J69" s="231">
        <v>3190.3284290111242</v>
      </c>
      <c r="K69" s="185">
        <v>0.52431634378108583</v>
      </c>
      <c r="L69" s="185">
        <v>0.40517463345604271</v>
      </c>
      <c r="M69" s="201">
        <v>7.0509022762871465E-2</v>
      </c>
      <c r="N69" s="185">
        <v>7.8846576036905022E-2</v>
      </c>
      <c r="O69" s="185">
        <v>0.55721879436328448</v>
      </c>
      <c r="P69" s="201">
        <v>0.36393462959981049</v>
      </c>
      <c r="Q69" s="205" t="e">
        <v>#N/A</v>
      </c>
      <c r="R69" s="231" t="e">
        <v>#N/A</v>
      </c>
      <c r="S69" s="185" t="e">
        <v>#N/A</v>
      </c>
      <c r="T69" s="185" t="e">
        <v>#N/A</v>
      </c>
      <c r="U69" s="201" t="e">
        <v>#N/A</v>
      </c>
      <c r="V69" s="185" t="e">
        <v>#N/A</v>
      </c>
      <c r="W69" s="185" t="e">
        <v>#N/A</v>
      </c>
      <c r="X69" s="201" t="e">
        <v>#N/A</v>
      </c>
      <c r="Y69" s="205" t="e">
        <v>#N/A</v>
      </c>
      <c r="Z69" s="231" t="e">
        <v>#N/A</v>
      </c>
      <c r="AA69" s="185" t="e">
        <v>#N/A</v>
      </c>
      <c r="AB69" s="185" t="e">
        <v>#N/A</v>
      </c>
      <c r="AC69" s="201" t="e">
        <v>#N/A</v>
      </c>
      <c r="AD69" s="185" t="e">
        <v>#N/A</v>
      </c>
      <c r="AE69" s="185" t="e">
        <v>#N/A</v>
      </c>
      <c r="AF69" s="201" t="e">
        <v>#N/A</v>
      </c>
      <c r="AH69" s="152">
        <f t="shared" si="0"/>
        <v>0.72690366050910715</v>
      </c>
      <c r="AI69" s="152">
        <f t="shared" si="1"/>
        <v>0.35089152554198128</v>
      </c>
      <c r="AJ69" s="152">
        <f t="shared" si="2"/>
        <v>0.35745597321854727</v>
      </c>
      <c r="AK69" s="152">
        <f t="shared" si="3"/>
        <v>0.48256563138474151</v>
      </c>
      <c r="AL69" s="152" t="e">
        <f t="shared" si="4"/>
        <v>#N/A</v>
      </c>
      <c r="AM69" s="152" t="e">
        <f t="shared" si="5"/>
        <v>#N/A</v>
      </c>
      <c r="AN69" s="152" t="e">
        <f t="shared" si="6"/>
        <v>#N/A</v>
      </c>
      <c r="AO69" s="152" t="e">
        <f t="shared" si="7"/>
        <v>#N/A</v>
      </c>
      <c r="AP69" s="152" t="e">
        <f t="shared" si="8"/>
        <v>#N/A</v>
      </c>
      <c r="AQ69" s="152" t="e">
        <f t="shared" si="9"/>
        <v>#N/A</v>
      </c>
      <c r="AR69" s="152" t="e">
        <f t="shared" si="10"/>
        <v>#N/A</v>
      </c>
      <c r="AS69" s="152" t="e">
        <f t="shared" si="11"/>
        <v>#N/A</v>
      </c>
    </row>
    <row r="70" spans="8:45" ht="15.75" customHeight="1">
      <c r="H70" s="212">
        <v>63</v>
      </c>
      <c r="I70" s="205">
        <v>18119.150531938656</v>
      </c>
      <c r="J70" s="231">
        <v>3182.5851122737604</v>
      </c>
      <c r="K70" s="185">
        <v>0.52906256481210634</v>
      </c>
      <c r="L70" s="185">
        <v>0.39963579127295956</v>
      </c>
      <c r="M70" s="201">
        <v>7.1301643914934099E-2</v>
      </c>
      <c r="N70" s="185">
        <v>7.9140467600768011E-2</v>
      </c>
      <c r="O70" s="185">
        <v>0.55057199770334586</v>
      </c>
      <c r="P70" s="201">
        <v>0.37028753469588616</v>
      </c>
      <c r="Q70" s="205" t="e">
        <v>#N/A</v>
      </c>
      <c r="R70" s="231" t="e">
        <v>#N/A</v>
      </c>
      <c r="S70" s="185" t="e">
        <v>#N/A</v>
      </c>
      <c r="T70" s="185" t="e">
        <v>#N/A</v>
      </c>
      <c r="U70" s="201" t="e">
        <v>#N/A</v>
      </c>
      <c r="V70" s="185" t="e">
        <v>#N/A</v>
      </c>
      <c r="W70" s="185" t="e">
        <v>#N/A</v>
      </c>
      <c r="X70" s="201" t="e">
        <v>#N/A</v>
      </c>
      <c r="Y70" s="205" t="e">
        <v>#N/A</v>
      </c>
      <c r="Z70" s="231" t="e">
        <v>#N/A</v>
      </c>
      <c r="AA70" s="185" t="e">
        <v>#N/A</v>
      </c>
      <c r="AB70" s="185" t="e">
        <v>#N/A</v>
      </c>
      <c r="AC70" s="201" t="e">
        <v>#N/A</v>
      </c>
      <c r="AD70" s="185" t="e">
        <v>#N/A</v>
      </c>
      <c r="AE70" s="185" t="e">
        <v>#N/A</v>
      </c>
      <c r="AF70" s="201" t="e">
        <v>#N/A</v>
      </c>
      <c r="AH70" s="152">
        <f t="shared" si="0"/>
        <v>0.72888046044858612</v>
      </c>
      <c r="AI70" s="152">
        <f t="shared" si="1"/>
        <v>0.34609474750387842</v>
      </c>
      <c r="AJ70" s="152">
        <f t="shared" si="2"/>
        <v>0.35442646645244091</v>
      </c>
      <c r="AK70" s="152">
        <f t="shared" si="3"/>
        <v>0.4768093366234451</v>
      </c>
      <c r="AL70" s="152" t="e">
        <f t="shared" si="4"/>
        <v>#N/A</v>
      </c>
      <c r="AM70" s="152" t="e">
        <f t="shared" si="5"/>
        <v>#N/A</v>
      </c>
      <c r="AN70" s="152" t="e">
        <f t="shared" si="6"/>
        <v>#N/A</v>
      </c>
      <c r="AO70" s="152" t="e">
        <f t="shared" si="7"/>
        <v>#N/A</v>
      </c>
      <c r="AP70" s="152" t="e">
        <f t="shared" si="8"/>
        <v>#N/A</v>
      </c>
      <c r="AQ70" s="152" t="e">
        <f t="shared" si="9"/>
        <v>#N/A</v>
      </c>
      <c r="AR70" s="152" t="e">
        <f t="shared" si="10"/>
        <v>#N/A</v>
      </c>
      <c r="AS70" s="152" t="e">
        <f t="shared" si="11"/>
        <v>#N/A</v>
      </c>
    </row>
    <row r="71" spans="8:45" ht="15.75" customHeight="1">
      <c r="H71" s="212">
        <v>64</v>
      </c>
      <c r="I71" s="205">
        <v>18119.728499405719</v>
      </c>
      <c r="J71" s="231">
        <v>3174.9247323271602</v>
      </c>
      <c r="K71" s="185">
        <v>0.53380592434049123</v>
      </c>
      <c r="L71" s="185">
        <v>0.39410753156426154</v>
      </c>
      <c r="M71" s="201">
        <v>7.2086544095247229E-2</v>
      </c>
      <c r="N71" s="185">
        <v>7.9432083535383641E-2</v>
      </c>
      <c r="O71" s="185">
        <v>0.54391516790290018</v>
      </c>
      <c r="P71" s="201">
        <v>0.37665274856171616</v>
      </c>
      <c r="Q71" s="205" t="e">
        <v>#N/A</v>
      </c>
      <c r="R71" s="231" t="e">
        <v>#N/A</v>
      </c>
      <c r="S71" s="185" t="e">
        <v>#N/A</v>
      </c>
      <c r="T71" s="185" t="e">
        <v>#N/A</v>
      </c>
      <c r="U71" s="201" t="e">
        <v>#N/A</v>
      </c>
      <c r="V71" s="185" t="e">
        <v>#N/A</v>
      </c>
      <c r="W71" s="185" t="e">
        <v>#N/A</v>
      </c>
      <c r="X71" s="201" t="e">
        <v>#N/A</v>
      </c>
      <c r="Y71" s="205" t="e">
        <v>#N/A</v>
      </c>
      <c r="Z71" s="231" t="e">
        <v>#N/A</v>
      </c>
      <c r="AA71" s="185" t="e">
        <v>#N/A</v>
      </c>
      <c r="AB71" s="185" t="e">
        <v>#N/A</v>
      </c>
      <c r="AC71" s="201" t="e">
        <v>#N/A</v>
      </c>
      <c r="AD71" s="185" t="e">
        <v>#N/A</v>
      </c>
      <c r="AE71" s="185" t="e">
        <v>#N/A</v>
      </c>
      <c r="AF71" s="201" t="e">
        <v>#N/A</v>
      </c>
      <c r="AH71" s="152">
        <f t="shared" si="0"/>
        <v>0.73085969012262197</v>
      </c>
      <c r="AI71" s="152">
        <f t="shared" si="1"/>
        <v>0.34130713415742797</v>
      </c>
      <c r="AJ71" s="152">
        <f t="shared" si="2"/>
        <v>0.35138966748683376</v>
      </c>
      <c r="AK71" s="152">
        <f t="shared" si="3"/>
        <v>0.47104435290758984</v>
      </c>
      <c r="AL71" s="152" t="e">
        <f t="shared" si="4"/>
        <v>#N/A</v>
      </c>
      <c r="AM71" s="152" t="e">
        <f t="shared" si="5"/>
        <v>#N/A</v>
      </c>
      <c r="AN71" s="152" t="e">
        <f t="shared" si="6"/>
        <v>#N/A</v>
      </c>
      <c r="AO71" s="152" t="e">
        <f t="shared" si="7"/>
        <v>#N/A</v>
      </c>
      <c r="AP71" s="152" t="e">
        <f t="shared" si="8"/>
        <v>#N/A</v>
      </c>
      <c r="AQ71" s="152" t="e">
        <f t="shared" si="9"/>
        <v>#N/A</v>
      </c>
      <c r="AR71" s="152" t="e">
        <f t="shared" si="10"/>
        <v>#N/A</v>
      </c>
      <c r="AS71" s="152" t="e">
        <f t="shared" si="11"/>
        <v>#N/A</v>
      </c>
    </row>
    <row r="72" spans="8:45" ht="15.75" customHeight="1">
      <c r="H72" s="212">
        <v>65</v>
      </c>
      <c r="I72" s="205">
        <v>18120.042150786303</v>
      </c>
      <c r="J72" s="231">
        <v>3167.3459893993631</v>
      </c>
      <c r="K72" s="185">
        <v>0.53854628039205543</v>
      </c>
      <c r="L72" s="185">
        <v>0.38858985905564797</v>
      </c>
      <c r="M72" s="201">
        <v>7.28638605522966E-2</v>
      </c>
      <c r="N72" s="185">
        <v>7.9721456319470002E-2</v>
      </c>
      <c r="O72" s="185">
        <v>0.53724831350981839</v>
      </c>
      <c r="P72" s="201">
        <v>0.38303023017071158</v>
      </c>
      <c r="Q72" s="205" t="e">
        <v>#N/A</v>
      </c>
      <c r="R72" s="231" t="e">
        <v>#N/A</v>
      </c>
      <c r="S72" s="185" t="e">
        <v>#N/A</v>
      </c>
      <c r="T72" s="185" t="e">
        <v>#N/A</v>
      </c>
      <c r="U72" s="201" t="e">
        <v>#N/A</v>
      </c>
      <c r="V72" s="185" t="e">
        <v>#N/A</v>
      </c>
      <c r="W72" s="185" t="e">
        <v>#N/A</v>
      </c>
      <c r="X72" s="201" t="e">
        <v>#N/A</v>
      </c>
      <c r="Y72" s="205" t="e">
        <v>#N/A</v>
      </c>
      <c r="Z72" s="231" t="e">
        <v>#N/A</v>
      </c>
      <c r="AA72" s="185" t="e">
        <v>#N/A</v>
      </c>
      <c r="AB72" s="185" t="e">
        <v>#N/A</v>
      </c>
      <c r="AC72" s="201" t="e">
        <v>#N/A</v>
      </c>
      <c r="AD72" s="185" t="e">
        <v>#N/A</v>
      </c>
      <c r="AE72" s="185" t="e">
        <v>#N/A</v>
      </c>
      <c r="AF72" s="201" t="e">
        <v>#N/A</v>
      </c>
      <c r="AH72" s="152">
        <f t="shared" si="0"/>
        <v>0.73284120991987944</v>
      </c>
      <c r="AI72" s="152">
        <f t="shared" si="1"/>
        <v>0.3365286895952056</v>
      </c>
      <c r="AJ72" s="152">
        <f t="shared" si="2"/>
        <v>0.34834561307437917</v>
      </c>
      <c r="AK72" s="152">
        <f t="shared" si="3"/>
        <v>0.46527068763984913</v>
      </c>
      <c r="AL72" s="152" t="e">
        <f t="shared" si="4"/>
        <v>#N/A</v>
      </c>
      <c r="AM72" s="152" t="e">
        <f t="shared" si="5"/>
        <v>#N/A</v>
      </c>
      <c r="AN72" s="152" t="e">
        <f t="shared" si="6"/>
        <v>#N/A</v>
      </c>
      <c r="AO72" s="152" t="e">
        <f t="shared" si="7"/>
        <v>#N/A</v>
      </c>
      <c r="AP72" s="152" t="e">
        <f t="shared" si="8"/>
        <v>#N/A</v>
      </c>
      <c r="AQ72" s="152" t="e">
        <f t="shared" si="9"/>
        <v>#N/A</v>
      </c>
      <c r="AR72" s="152" t="e">
        <f t="shared" si="10"/>
        <v>#N/A</v>
      </c>
      <c r="AS72" s="152" t="e">
        <f t="shared" si="11"/>
        <v>#N/A</v>
      </c>
    </row>
    <row r="73" spans="8:45" ht="15.75" customHeight="1">
      <c r="H73" s="212">
        <v>66</v>
      </c>
      <c r="I73" s="205">
        <v>18120.096504091751</v>
      </c>
      <c r="J73" s="231">
        <v>3159.8476128578723</v>
      </c>
      <c r="K73" s="185">
        <v>0.54328349228243089</v>
      </c>
      <c r="L73" s="185">
        <v>0.38308277884665498</v>
      </c>
      <c r="M73" s="201">
        <v>7.3633728870914128E-2</v>
      </c>
      <c r="N73" s="185">
        <v>8.0008617724928857E-2</v>
      </c>
      <c r="O73" s="185">
        <v>0.53057144282918745</v>
      </c>
      <c r="P73" s="201">
        <v>0.38941993944588371</v>
      </c>
      <c r="Q73" s="205" t="e">
        <v>#N/A</v>
      </c>
      <c r="R73" s="231" t="e">
        <v>#N/A</v>
      </c>
      <c r="S73" s="185" t="e">
        <v>#N/A</v>
      </c>
      <c r="T73" s="185" t="e">
        <v>#N/A</v>
      </c>
      <c r="U73" s="201" t="e">
        <v>#N/A</v>
      </c>
      <c r="V73" s="185" t="e">
        <v>#N/A</v>
      </c>
      <c r="W73" s="185" t="e">
        <v>#N/A</v>
      </c>
      <c r="X73" s="201" t="e">
        <v>#N/A</v>
      </c>
      <c r="Y73" s="205" t="e">
        <v>#N/A</v>
      </c>
      <c r="Z73" s="231" t="e">
        <v>#N/A</v>
      </c>
      <c r="AA73" s="185" t="e">
        <v>#N/A</v>
      </c>
      <c r="AB73" s="185" t="e">
        <v>#N/A</v>
      </c>
      <c r="AC73" s="201" t="e">
        <v>#N/A</v>
      </c>
      <c r="AD73" s="185" t="e">
        <v>#N/A</v>
      </c>
      <c r="AE73" s="185" t="e">
        <v>#N/A</v>
      </c>
      <c r="AF73" s="201" t="e">
        <v>#N/A</v>
      </c>
      <c r="AH73" s="152">
        <f t="shared" ref="AH73:AH136" si="12">IFERROR(SUM(K73,L73*$AH$5),NA())</f>
        <v>0.73482488170575833</v>
      </c>
      <c r="AI73" s="152">
        <f t="shared" ref="AI73:AI136" si="13">IFERROR(L73*$AI$5,NA())</f>
        <v>0.33175941823353916</v>
      </c>
      <c r="AJ73" s="152">
        <f t="shared" ref="AJ73:AJ136" si="14">IFERROR(SUM(N73,O73*$AH$5),NA())</f>
        <v>0.34529433913952257</v>
      </c>
      <c r="AK73" s="152">
        <f t="shared" ref="AK73:AK136" si="15">IFERROR(O73*$AI$5,NA())</f>
        <v>0.45948834801263921</v>
      </c>
      <c r="AL73" s="152" t="e">
        <f t="shared" ref="AL73:AL136" si="16">IFERROR(SUM(S73,T73*$AH$5),NA())</f>
        <v>#N/A</v>
      </c>
      <c r="AM73" s="152" t="e">
        <f t="shared" ref="AM73:AM136" si="17">IFERROR(T73*$AI$5,NA())</f>
        <v>#N/A</v>
      </c>
      <c r="AN73" s="152" t="e">
        <f t="shared" ref="AN73:AN136" si="18">IFERROR(SUM(V73,W73*$AH$5),NA())</f>
        <v>#N/A</v>
      </c>
      <c r="AO73" s="152" t="e">
        <f t="shared" ref="AO73:AO136" si="19">IFERROR(W73*$AI$5,NA())</f>
        <v>#N/A</v>
      </c>
      <c r="AP73" s="152" t="e">
        <f t="shared" ref="AP73:AP136" si="20">IFERROR(SUM(AA73,AB73*$AH$5),NA())</f>
        <v>#N/A</v>
      </c>
      <c r="AQ73" s="152" t="e">
        <f t="shared" ref="AQ73:AQ136" si="21">IFERROR(AB73*$AI$5,NA())</f>
        <v>#N/A</v>
      </c>
      <c r="AR73" s="152" t="e">
        <f t="shared" ref="AR73:AR136" si="22">IFERROR(SUM(AD73,AE73*$AH$5),NA())</f>
        <v>#N/A</v>
      </c>
      <c r="AS73" s="152" t="e">
        <f t="shared" ref="AS73:AS136" si="23">IFERROR(AE73*$AI$5,NA())</f>
        <v>#N/A</v>
      </c>
    </row>
    <row r="74" spans="8:45" ht="15.75" customHeight="1">
      <c r="H74" s="212">
        <v>67</v>
      </c>
      <c r="I74" s="205">
        <v>18119.896491434458</v>
      </c>
      <c r="J74" s="231">
        <v>3152.4283604194279</v>
      </c>
      <c r="K74" s="185">
        <v>0.54801742058396341</v>
      </c>
      <c r="L74" s="185">
        <v>0.37758629640732033</v>
      </c>
      <c r="M74" s="201">
        <v>7.4396283008716257E-2</v>
      </c>
      <c r="N74" s="185">
        <v>8.0293598834316901E-2</v>
      </c>
      <c r="O74" s="185">
        <v>0.52388456392821103</v>
      </c>
      <c r="P74" s="201">
        <v>0.39582183723747211</v>
      </c>
      <c r="Q74" s="205" t="e">
        <v>#N/A</v>
      </c>
      <c r="R74" s="231" t="e">
        <v>#N/A</v>
      </c>
      <c r="S74" s="185" t="e">
        <v>#N/A</v>
      </c>
      <c r="T74" s="185" t="e">
        <v>#N/A</v>
      </c>
      <c r="U74" s="201" t="e">
        <v>#N/A</v>
      </c>
      <c r="V74" s="185" t="e">
        <v>#N/A</v>
      </c>
      <c r="W74" s="185" t="e">
        <v>#N/A</v>
      </c>
      <c r="X74" s="201" t="e">
        <v>#N/A</v>
      </c>
      <c r="Y74" s="205" t="e">
        <v>#N/A</v>
      </c>
      <c r="Z74" s="231" t="e">
        <v>#N/A</v>
      </c>
      <c r="AA74" s="185" t="e">
        <v>#N/A</v>
      </c>
      <c r="AB74" s="185" t="e">
        <v>#N/A</v>
      </c>
      <c r="AC74" s="201" t="e">
        <v>#N/A</v>
      </c>
      <c r="AD74" s="185" t="e">
        <v>#N/A</v>
      </c>
      <c r="AE74" s="185" t="e">
        <v>#N/A</v>
      </c>
      <c r="AF74" s="201" t="e">
        <v>#N/A</v>
      </c>
      <c r="AH74" s="152">
        <f t="shared" si="12"/>
        <v>0.73681056878762363</v>
      </c>
      <c r="AI74" s="152">
        <f t="shared" si="13"/>
        <v>0.3269993248096203</v>
      </c>
      <c r="AJ74" s="152">
        <f t="shared" si="14"/>
        <v>0.34223588079842243</v>
      </c>
      <c r="AK74" s="152">
        <f t="shared" si="15"/>
        <v>0.45369734101236348</v>
      </c>
      <c r="AL74" s="152" t="e">
        <f t="shared" si="16"/>
        <v>#N/A</v>
      </c>
      <c r="AM74" s="152" t="e">
        <f t="shared" si="17"/>
        <v>#N/A</v>
      </c>
      <c r="AN74" s="152" t="e">
        <f t="shared" si="18"/>
        <v>#N/A</v>
      </c>
      <c r="AO74" s="152" t="e">
        <f t="shared" si="19"/>
        <v>#N/A</v>
      </c>
      <c r="AP74" s="152" t="e">
        <f t="shared" si="20"/>
        <v>#N/A</v>
      </c>
      <c r="AQ74" s="152" t="e">
        <f t="shared" si="21"/>
        <v>#N/A</v>
      </c>
      <c r="AR74" s="152" t="e">
        <f t="shared" si="22"/>
        <v>#N/A</v>
      </c>
      <c r="AS74" s="152" t="e">
        <f t="shared" si="23"/>
        <v>#N/A</v>
      </c>
    </row>
    <row r="75" spans="8:45" ht="15.75" customHeight="1">
      <c r="H75" s="212">
        <v>68</v>
      </c>
      <c r="I75" s="205">
        <v>18119.446960717301</v>
      </c>
      <c r="J75" s="231">
        <v>3145.0870173894591</v>
      </c>
      <c r="K75" s="185">
        <v>0.55274792709394849</v>
      </c>
      <c r="L75" s="185">
        <v>0.3721004175742732</v>
      </c>
      <c r="M75" s="201">
        <v>7.5151655331778311E-2</v>
      </c>
      <c r="N75" s="185">
        <v>8.0576430058154916E-2</v>
      </c>
      <c r="O75" s="185">
        <v>0.51718768464173415</v>
      </c>
      <c r="P75" s="201">
        <v>0.4022358853001109</v>
      </c>
      <c r="Q75" s="205" t="e">
        <v>#N/A</v>
      </c>
      <c r="R75" s="231" t="e">
        <v>#N/A</v>
      </c>
      <c r="S75" s="185" t="e">
        <v>#N/A</v>
      </c>
      <c r="T75" s="185" t="e">
        <v>#N/A</v>
      </c>
      <c r="U75" s="201" t="e">
        <v>#N/A</v>
      </c>
      <c r="V75" s="185" t="e">
        <v>#N/A</v>
      </c>
      <c r="W75" s="185" t="e">
        <v>#N/A</v>
      </c>
      <c r="X75" s="201" t="e">
        <v>#N/A</v>
      </c>
      <c r="Y75" s="205" t="e">
        <v>#N/A</v>
      </c>
      <c r="Z75" s="231" t="e">
        <v>#N/A</v>
      </c>
      <c r="AA75" s="185" t="e">
        <v>#N/A</v>
      </c>
      <c r="AB75" s="185" t="e">
        <v>#N/A</v>
      </c>
      <c r="AC75" s="201" t="e">
        <v>#N/A</v>
      </c>
      <c r="AD75" s="185" t="e">
        <v>#N/A</v>
      </c>
      <c r="AE75" s="185" t="e">
        <v>#N/A</v>
      </c>
      <c r="AF75" s="201" t="e">
        <v>#N/A</v>
      </c>
      <c r="AH75" s="152">
        <f t="shared" si="12"/>
        <v>0.73879813588108512</v>
      </c>
      <c r="AI75" s="152">
        <f t="shared" si="13"/>
        <v>0.32224841437811819</v>
      </c>
      <c r="AJ75" s="152">
        <f t="shared" si="14"/>
        <v>0.33917027237902198</v>
      </c>
      <c r="AK75" s="152">
        <f t="shared" si="15"/>
        <v>0.44789767342419673</v>
      </c>
      <c r="AL75" s="152" t="e">
        <f t="shared" si="16"/>
        <v>#N/A</v>
      </c>
      <c r="AM75" s="152" t="e">
        <f t="shared" si="17"/>
        <v>#N/A</v>
      </c>
      <c r="AN75" s="152" t="e">
        <f t="shared" si="18"/>
        <v>#N/A</v>
      </c>
      <c r="AO75" s="152" t="e">
        <f t="shared" si="19"/>
        <v>#N/A</v>
      </c>
      <c r="AP75" s="152" t="e">
        <f t="shared" si="20"/>
        <v>#N/A</v>
      </c>
      <c r="AQ75" s="152" t="e">
        <f t="shared" si="21"/>
        <v>#N/A</v>
      </c>
      <c r="AR75" s="152" t="e">
        <f t="shared" si="22"/>
        <v>#N/A</v>
      </c>
      <c r="AS75" s="152" t="e">
        <f t="shared" si="23"/>
        <v>#N/A</v>
      </c>
    </row>
    <row r="76" spans="8:45" ht="15.75" customHeight="1">
      <c r="H76" s="212">
        <v>69</v>
      </c>
      <c r="I76" s="205">
        <v>18118.752677289009</v>
      </c>
      <c r="J76" s="231">
        <v>3137.8223959296638</v>
      </c>
      <c r="K76" s="185">
        <v>0.55747487480424385</v>
      </c>
      <c r="L76" s="185">
        <v>0.36662514854620065</v>
      </c>
      <c r="M76" s="201">
        <v>7.5899976649555501E-2</v>
      </c>
      <c r="N76" s="185">
        <v>8.0857141152079398E-2</v>
      </c>
      <c r="O76" s="185">
        <v>0.51048081257834721</v>
      </c>
      <c r="P76" s="201">
        <v>0.40866204626957336</v>
      </c>
      <c r="Q76" s="205" t="e">
        <v>#N/A</v>
      </c>
      <c r="R76" s="231" t="e">
        <v>#N/A</v>
      </c>
      <c r="S76" s="185" t="e">
        <v>#N/A</v>
      </c>
      <c r="T76" s="185" t="e">
        <v>#N/A</v>
      </c>
      <c r="U76" s="201" t="e">
        <v>#N/A</v>
      </c>
      <c r="V76" s="185" t="e">
        <v>#N/A</v>
      </c>
      <c r="W76" s="185" t="e">
        <v>#N/A</v>
      </c>
      <c r="X76" s="201" t="e">
        <v>#N/A</v>
      </c>
      <c r="Y76" s="205" t="e">
        <v>#N/A</v>
      </c>
      <c r="Z76" s="231" t="e">
        <v>#N/A</v>
      </c>
      <c r="AA76" s="185" t="e">
        <v>#N/A</v>
      </c>
      <c r="AB76" s="185" t="e">
        <v>#N/A</v>
      </c>
      <c r="AC76" s="201" t="e">
        <v>#N/A</v>
      </c>
      <c r="AD76" s="185" t="e">
        <v>#N/A</v>
      </c>
      <c r="AE76" s="185" t="e">
        <v>#N/A</v>
      </c>
      <c r="AF76" s="201" t="e">
        <v>#N/A</v>
      </c>
      <c r="AH76" s="152">
        <f t="shared" si="12"/>
        <v>0.74078744907734417</v>
      </c>
      <c r="AI76" s="152">
        <f t="shared" si="13"/>
        <v>0.3175066923072532</v>
      </c>
      <c r="AJ76" s="152">
        <f t="shared" si="14"/>
        <v>0.33609754744125298</v>
      </c>
      <c r="AK76" s="152">
        <f t="shared" si="15"/>
        <v>0.44208935183737147</v>
      </c>
      <c r="AL76" s="152" t="e">
        <f t="shared" si="16"/>
        <v>#N/A</v>
      </c>
      <c r="AM76" s="152" t="e">
        <f t="shared" si="17"/>
        <v>#N/A</v>
      </c>
      <c r="AN76" s="152" t="e">
        <f t="shared" si="18"/>
        <v>#N/A</v>
      </c>
      <c r="AO76" s="152" t="e">
        <f t="shared" si="19"/>
        <v>#N/A</v>
      </c>
      <c r="AP76" s="152" t="e">
        <f t="shared" si="20"/>
        <v>#N/A</v>
      </c>
      <c r="AQ76" s="152" t="e">
        <f t="shared" si="21"/>
        <v>#N/A</v>
      </c>
      <c r="AR76" s="152" t="e">
        <f t="shared" si="22"/>
        <v>#N/A</v>
      </c>
      <c r="AS76" s="152" t="e">
        <f t="shared" si="23"/>
        <v>#N/A</v>
      </c>
    </row>
    <row r="77" spans="8:45" ht="15.75" customHeight="1">
      <c r="H77" s="212">
        <v>70</v>
      </c>
      <c r="I77" s="205">
        <v>18117.818325565309</v>
      </c>
      <c r="J77" s="231">
        <v>3130.6333343522365</v>
      </c>
      <c r="K77" s="185">
        <v>0.56219812787218382</v>
      </c>
      <c r="L77" s="185">
        <v>0.36116049587872689</v>
      </c>
      <c r="M77" s="201">
        <v>7.6641376249089288E-2</v>
      </c>
      <c r="N77" s="185">
        <v>8.1135761233840226E-2</v>
      </c>
      <c r="O77" s="185">
        <v>0.50376395512705174</v>
      </c>
      <c r="P77" s="201">
        <v>0.415100283639108</v>
      </c>
      <c r="Q77" s="205" t="e">
        <v>#N/A</v>
      </c>
      <c r="R77" s="231" t="e">
        <v>#N/A</v>
      </c>
      <c r="S77" s="185" t="e">
        <v>#N/A</v>
      </c>
      <c r="T77" s="185" t="e">
        <v>#N/A</v>
      </c>
      <c r="U77" s="201" t="e">
        <v>#N/A</v>
      </c>
      <c r="V77" s="185" t="e">
        <v>#N/A</v>
      </c>
      <c r="W77" s="185" t="e">
        <v>#N/A</v>
      </c>
      <c r="X77" s="201" t="e">
        <v>#N/A</v>
      </c>
      <c r="Y77" s="205" t="e">
        <v>#N/A</v>
      </c>
      <c r="Z77" s="231" t="e">
        <v>#N/A</v>
      </c>
      <c r="AA77" s="185" t="e">
        <v>#N/A</v>
      </c>
      <c r="AB77" s="185" t="e">
        <v>#N/A</v>
      </c>
      <c r="AC77" s="201" t="e">
        <v>#N/A</v>
      </c>
      <c r="AD77" s="185" t="e">
        <v>#N/A</v>
      </c>
      <c r="AE77" s="185" t="e">
        <v>#N/A</v>
      </c>
      <c r="AF77" s="201" t="e">
        <v>#N/A</v>
      </c>
      <c r="AH77" s="152">
        <f t="shared" si="12"/>
        <v>0.74277837581154726</v>
      </c>
      <c r="AI77" s="152">
        <f t="shared" si="13"/>
        <v>0.31277416427436255</v>
      </c>
      <c r="AJ77" s="152">
        <f t="shared" si="14"/>
        <v>0.33301773879736607</v>
      </c>
      <c r="AK77" s="152">
        <f t="shared" si="15"/>
        <v>0.43627238265095081</v>
      </c>
      <c r="AL77" s="152" t="e">
        <f t="shared" si="16"/>
        <v>#N/A</v>
      </c>
      <c r="AM77" s="152" t="e">
        <f t="shared" si="17"/>
        <v>#N/A</v>
      </c>
      <c r="AN77" s="152" t="e">
        <f t="shared" si="18"/>
        <v>#N/A</v>
      </c>
      <c r="AO77" s="152" t="e">
        <f t="shared" si="19"/>
        <v>#N/A</v>
      </c>
      <c r="AP77" s="152" t="e">
        <f t="shared" si="20"/>
        <v>#N/A</v>
      </c>
      <c r="AQ77" s="152" t="e">
        <f t="shared" si="21"/>
        <v>#N/A</v>
      </c>
      <c r="AR77" s="152" t="e">
        <f t="shared" si="22"/>
        <v>#N/A</v>
      </c>
      <c r="AS77" s="152" t="e">
        <f t="shared" si="23"/>
        <v>#N/A</v>
      </c>
    </row>
    <row r="78" spans="8:45" ht="15.75" customHeight="1">
      <c r="H78" s="212">
        <v>71</v>
      </c>
      <c r="I78" s="205">
        <v>18116.648510616753</v>
      </c>
      <c r="J78" s="231">
        <v>3123.5186964392792</v>
      </c>
      <c r="K78" s="185">
        <v>0.56691755159267931</v>
      </c>
      <c r="L78" s="185">
        <v>0.3557064664787683</v>
      </c>
      <c r="M78" s="201">
        <v>7.7375981928552384E-2</v>
      </c>
      <c r="N78" s="185">
        <v>8.1412318800132721E-2</v>
      </c>
      <c r="O78" s="185">
        <v>0.49703711946443857</v>
      </c>
      <c r="P78" s="201">
        <v>0.42155056173542865</v>
      </c>
      <c r="Q78" s="205" t="e">
        <v>#N/A</v>
      </c>
      <c r="R78" s="231" t="e">
        <v>#N/A</v>
      </c>
      <c r="S78" s="185" t="e">
        <v>#N/A</v>
      </c>
      <c r="T78" s="185" t="e">
        <v>#N/A</v>
      </c>
      <c r="U78" s="201" t="e">
        <v>#N/A</v>
      </c>
      <c r="V78" s="185" t="e">
        <v>#N/A</v>
      </c>
      <c r="W78" s="185" t="e">
        <v>#N/A</v>
      </c>
      <c r="X78" s="201" t="e">
        <v>#N/A</v>
      </c>
      <c r="Y78" s="205" t="e">
        <v>#N/A</v>
      </c>
      <c r="Z78" s="231" t="e">
        <v>#N/A</v>
      </c>
      <c r="AA78" s="185" t="e">
        <v>#N/A</v>
      </c>
      <c r="AB78" s="185" t="e">
        <v>#N/A</v>
      </c>
      <c r="AC78" s="201" t="e">
        <v>#N/A</v>
      </c>
      <c r="AD78" s="185" t="e">
        <v>#N/A</v>
      </c>
      <c r="AE78" s="185" t="e">
        <v>#N/A</v>
      </c>
      <c r="AF78" s="201" t="e">
        <v>#N/A</v>
      </c>
      <c r="AH78" s="152">
        <f t="shared" si="12"/>
        <v>0.74477078483206349</v>
      </c>
      <c r="AI78" s="152">
        <f t="shared" si="13"/>
        <v>0.30805083626101121</v>
      </c>
      <c r="AJ78" s="152">
        <f t="shared" si="14"/>
        <v>0.32993087853235203</v>
      </c>
      <c r="AK78" s="152">
        <f t="shared" si="15"/>
        <v>0.43044677208004467</v>
      </c>
      <c r="AL78" s="152" t="e">
        <f t="shared" si="16"/>
        <v>#N/A</v>
      </c>
      <c r="AM78" s="152" t="e">
        <f t="shared" si="17"/>
        <v>#N/A</v>
      </c>
      <c r="AN78" s="152" t="e">
        <f t="shared" si="18"/>
        <v>#N/A</v>
      </c>
      <c r="AO78" s="152" t="e">
        <f t="shared" si="19"/>
        <v>#N/A</v>
      </c>
      <c r="AP78" s="152" t="e">
        <f t="shared" si="20"/>
        <v>#N/A</v>
      </c>
      <c r="AQ78" s="152" t="e">
        <f t="shared" si="21"/>
        <v>#N/A</v>
      </c>
      <c r="AR78" s="152" t="e">
        <f t="shared" si="22"/>
        <v>#N/A</v>
      </c>
      <c r="AS78" s="152" t="e">
        <f t="shared" si="23"/>
        <v>#N/A</v>
      </c>
    </row>
    <row r="79" spans="8:45" ht="15.75" customHeight="1">
      <c r="H79" s="212">
        <v>72</v>
      </c>
      <c r="I79" s="205">
        <v>18115.247759722941</v>
      </c>
      <c r="J79" s="231">
        <v>3116.477370786356</v>
      </c>
      <c r="K79" s="185">
        <v>0.57163301237158071</v>
      </c>
      <c r="L79" s="185">
        <v>0.35026306759829823</v>
      </c>
      <c r="M79" s="201">
        <v>7.8103920030121066E-2</v>
      </c>
      <c r="N79" s="185">
        <v>8.1686841743306954E-2</v>
      </c>
      <c r="O79" s="185">
        <v>0.49030031256237749</v>
      </c>
      <c r="P79" s="201">
        <v>0.42801284569431552</v>
      </c>
      <c r="Q79" s="205" t="e">
        <v>#N/A</v>
      </c>
      <c r="R79" s="231" t="e">
        <v>#N/A</v>
      </c>
      <c r="S79" s="185" t="e">
        <v>#N/A</v>
      </c>
      <c r="T79" s="185" t="e">
        <v>#N/A</v>
      </c>
      <c r="U79" s="201" t="e">
        <v>#N/A</v>
      </c>
      <c r="V79" s="185" t="e">
        <v>#N/A</v>
      </c>
      <c r="W79" s="185" t="e">
        <v>#N/A</v>
      </c>
      <c r="X79" s="201" t="e">
        <v>#N/A</v>
      </c>
      <c r="Y79" s="205" t="e">
        <v>#N/A</v>
      </c>
      <c r="Z79" s="231" t="e">
        <v>#N/A</v>
      </c>
      <c r="AA79" s="185" t="e">
        <v>#N/A</v>
      </c>
      <c r="AB79" s="185" t="e">
        <v>#N/A</v>
      </c>
      <c r="AC79" s="201" t="e">
        <v>#N/A</v>
      </c>
      <c r="AD79" s="185" t="e">
        <v>#N/A</v>
      </c>
      <c r="AE79" s="185" t="e">
        <v>#N/A</v>
      </c>
      <c r="AF79" s="201" t="e">
        <v>#N/A</v>
      </c>
      <c r="AH79" s="152">
        <f t="shared" si="12"/>
        <v>0.74676454617072985</v>
      </c>
      <c r="AI79" s="152">
        <f t="shared" si="13"/>
        <v>0.30333671454759231</v>
      </c>
      <c r="AJ79" s="152">
        <f t="shared" si="14"/>
        <v>0.32683699802449573</v>
      </c>
      <c r="AK79" s="152">
        <f t="shared" si="15"/>
        <v>0.42461252616246942</v>
      </c>
      <c r="AL79" s="152" t="e">
        <f t="shared" si="16"/>
        <v>#N/A</v>
      </c>
      <c r="AM79" s="152" t="e">
        <f t="shared" si="17"/>
        <v>#N/A</v>
      </c>
      <c r="AN79" s="152" t="e">
        <f t="shared" si="18"/>
        <v>#N/A</v>
      </c>
      <c r="AO79" s="152" t="e">
        <f t="shared" si="19"/>
        <v>#N/A</v>
      </c>
      <c r="AP79" s="152" t="e">
        <f t="shared" si="20"/>
        <v>#N/A</v>
      </c>
      <c r="AQ79" s="152" t="e">
        <f t="shared" si="21"/>
        <v>#N/A</v>
      </c>
      <c r="AR79" s="152" t="e">
        <f t="shared" si="22"/>
        <v>#N/A</v>
      </c>
      <c r="AS79" s="152" t="e">
        <f t="shared" si="23"/>
        <v>#N/A</v>
      </c>
    </row>
    <row r="80" spans="8:45" ht="15.75" customHeight="1">
      <c r="H80" s="212">
        <v>73</v>
      </c>
      <c r="I80" s="205">
        <v>18113.620523893806</v>
      </c>
      <c r="J80" s="231">
        <v>3109.5082701683737</v>
      </c>
      <c r="K80" s="185">
        <v>0.57634437769984082</v>
      </c>
      <c r="L80" s="185">
        <v>0.34483030682782234</v>
      </c>
      <c r="M80" s="201">
        <v>7.8825315472336843E-2</v>
      </c>
      <c r="N80" s="185">
        <v>8.1959357367846569E-2</v>
      </c>
      <c r="O80" s="185">
        <v>0.48355354119609056</v>
      </c>
      <c r="P80" s="201">
        <v>0.43448710143606289</v>
      </c>
      <c r="Q80" s="205" t="e">
        <v>#N/A</v>
      </c>
      <c r="R80" s="231" t="e">
        <v>#N/A</v>
      </c>
      <c r="S80" s="185" t="e">
        <v>#N/A</v>
      </c>
      <c r="T80" s="185" t="e">
        <v>#N/A</v>
      </c>
      <c r="U80" s="201" t="e">
        <v>#N/A</v>
      </c>
      <c r="V80" s="185" t="e">
        <v>#N/A</v>
      </c>
      <c r="W80" s="185" t="e">
        <v>#N/A</v>
      </c>
      <c r="X80" s="201" t="e">
        <v>#N/A</v>
      </c>
      <c r="Y80" s="205" t="e">
        <v>#N/A</v>
      </c>
      <c r="Z80" s="231" t="e">
        <v>#N/A</v>
      </c>
      <c r="AA80" s="185" t="e">
        <v>#N/A</v>
      </c>
      <c r="AB80" s="185" t="e">
        <v>#N/A</v>
      </c>
      <c r="AC80" s="201" t="e">
        <v>#N/A</v>
      </c>
      <c r="AD80" s="185" t="e">
        <v>#N/A</v>
      </c>
      <c r="AE80" s="185" t="e">
        <v>#N/A</v>
      </c>
      <c r="AF80" s="201" t="e">
        <v>#N/A</v>
      </c>
      <c r="AH80" s="152">
        <f t="shared" si="12"/>
        <v>0.74875953111375204</v>
      </c>
      <c r="AI80" s="152">
        <f t="shared" si="13"/>
        <v>0.29863180570767672</v>
      </c>
      <c r="AJ80" s="152">
        <f t="shared" si="14"/>
        <v>0.32373612796589185</v>
      </c>
      <c r="AK80" s="152">
        <f t="shared" si="15"/>
        <v>0.41876965076573952</v>
      </c>
      <c r="AL80" s="152" t="e">
        <f t="shared" si="16"/>
        <v>#N/A</v>
      </c>
      <c r="AM80" s="152" t="e">
        <f t="shared" si="17"/>
        <v>#N/A</v>
      </c>
      <c r="AN80" s="152" t="e">
        <f t="shared" si="18"/>
        <v>#N/A</v>
      </c>
      <c r="AO80" s="152" t="e">
        <f t="shared" si="19"/>
        <v>#N/A</v>
      </c>
      <c r="AP80" s="152" t="e">
        <f t="shared" si="20"/>
        <v>#N/A</v>
      </c>
      <c r="AQ80" s="152" t="e">
        <f t="shared" si="21"/>
        <v>#N/A</v>
      </c>
      <c r="AR80" s="152" t="e">
        <f t="shared" si="22"/>
        <v>#N/A</v>
      </c>
      <c r="AS80" s="152" t="e">
        <f t="shared" si="23"/>
        <v>#N/A</v>
      </c>
    </row>
    <row r="81" spans="8:45" ht="15.75" customHeight="1">
      <c r="H81" s="212">
        <v>74</v>
      </c>
      <c r="I81" s="205">
        <v>18111.77117935854</v>
      </c>
      <c r="J81" s="231">
        <v>3102.6103309275063</v>
      </c>
      <c r="K81" s="185">
        <v>0.58105151612899109</v>
      </c>
      <c r="L81" s="185">
        <v>0.33940819208919787</v>
      </c>
      <c r="M81" s="201">
        <v>7.9540291781811046E-2</v>
      </c>
      <c r="N81" s="185">
        <v>8.2229892406775168E-2</v>
      </c>
      <c r="O81" s="185">
        <v>0.47679681195268236</v>
      </c>
      <c r="P81" s="201">
        <v>0.4409732956405425</v>
      </c>
      <c r="Q81" s="205" t="e">
        <v>#N/A</v>
      </c>
      <c r="R81" s="231" t="e">
        <v>#N/A</v>
      </c>
      <c r="S81" s="185" t="e">
        <v>#N/A</v>
      </c>
      <c r="T81" s="185" t="e">
        <v>#N/A</v>
      </c>
      <c r="U81" s="201" t="e">
        <v>#N/A</v>
      </c>
      <c r="V81" s="185" t="e">
        <v>#N/A</v>
      </c>
      <c r="W81" s="185" t="e">
        <v>#N/A</v>
      </c>
      <c r="X81" s="201" t="e">
        <v>#N/A</v>
      </c>
      <c r="Y81" s="205" t="e">
        <v>#N/A</v>
      </c>
      <c r="Z81" s="231" t="e">
        <v>#N/A</v>
      </c>
      <c r="AA81" s="185" t="e">
        <v>#N/A</v>
      </c>
      <c r="AB81" s="185" t="e">
        <v>#N/A</v>
      </c>
      <c r="AC81" s="201" t="e">
        <v>#N/A</v>
      </c>
      <c r="AD81" s="185" t="e">
        <v>#N/A</v>
      </c>
      <c r="AE81" s="185" t="e">
        <v>#N/A</v>
      </c>
      <c r="AF81" s="201" t="e">
        <v>#N/A</v>
      </c>
      <c r="AH81" s="152">
        <f t="shared" si="12"/>
        <v>0.75075561217358999</v>
      </c>
      <c r="AI81" s="152">
        <f t="shared" si="13"/>
        <v>0.29393611660179386</v>
      </c>
      <c r="AJ81" s="152">
        <f t="shared" si="14"/>
        <v>0.32062829838311635</v>
      </c>
      <c r="AK81" s="152">
        <f t="shared" si="15"/>
        <v>0.41291815159445477</v>
      </c>
      <c r="AL81" s="152" t="e">
        <f t="shared" si="16"/>
        <v>#N/A</v>
      </c>
      <c r="AM81" s="152" t="e">
        <f t="shared" si="17"/>
        <v>#N/A</v>
      </c>
      <c r="AN81" s="152" t="e">
        <f t="shared" si="18"/>
        <v>#N/A</v>
      </c>
      <c r="AO81" s="152" t="e">
        <f t="shared" si="19"/>
        <v>#N/A</v>
      </c>
      <c r="AP81" s="152" t="e">
        <f t="shared" si="20"/>
        <v>#N/A</v>
      </c>
      <c r="AQ81" s="152" t="e">
        <f t="shared" si="21"/>
        <v>#N/A</v>
      </c>
      <c r="AR81" s="152" t="e">
        <f t="shared" si="22"/>
        <v>#N/A</v>
      </c>
      <c r="AS81" s="152" t="e">
        <f t="shared" si="23"/>
        <v>#N/A</v>
      </c>
    </row>
    <row r="82" spans="8:45" ht="15.75" customHeight="1">
      <c r="H82" s="212">
        <v>75</v>
      </c>
      <c r="I82" s="205">
        <v>18109.70402902217</v>
      </c>
      <c r="J82" s="231">
        <v>3095.7825123814073</v>
      </c>
      <c r="K82" s="185">
        <v>0.58575429724733674</v>
      </c>
      <c r="L82" s="185">
        <v>0.33399673162820004</v>
      </c>
      <c r="M82" s="201">
        <v>8.024897112446322E-2</v>
      </c>
      <c r="N82" s="185">
        <v>8.2498473037869502E-2</v>
      </c>
      <c r="O82" s="185">
        <v>0.47003013124002241</v>
      </c>
      <c r="P82" s="201">
        <v>0.44747139572210809</v>
      </c>
      <c r="Q82" s="205" t="e">
        <v>#N/A</v>
      </c>
      <c r="R82" s="231" t="e">
        <v>#N/A</v>
      </c>
      <c r="S82" s="185" t="e">
        <v>#N/A</v>
      </c>
      <c r="T82" s="185" t="e">
        <v>#N/A</v>
      </c>
      <c r="U82" s="201" t="e">
        <v>#N/A</v>
      </c>
      <c r="V82" s="185" t="e">
        <v>#N/A</v>
      </c>
      <c r="W82" s="185" t="e">
        <v>#N/A</v>
      </c>
      <c r="X82" s="201" t="e">
        <v>#N/A</v>
      </c>
      <c r="Y82" s="205" t="e">
        <v>#N/A</v>
      </c>
      <c r="Z82" s="231" t="e">
        <v>#N/A</v>
      </c>
      <c r="AA82" s="185" t="e">
        <v>#N/A</v>
      </c>
      <c r="AB82" s="185" t="e">
        <v>#N/A</v>
      </c>
      <c r="AC82" s="201" t="e">
        <v>#N/A</v>
      </c>
      <c r="AD82" s="185" t="e">
        <v>#N/A</v>
      </c>
      <c r="AE82" s="185" t="e">
        <v>#N/A</v>
      </c>
      <c r="AF82" s="201" t="e">
        <v>#N/A</v>
      </c>
      <c r="AH82" s="152">
        <f t="shared" si="12"/>
        <v>0.75275266306143673</v>
      </c>
      <c r="AI82" s="152">
        <f t="shared" si="13"/>
        <v>0.2892496543709947</v>
      </c>
      <c r="AJ82" s="152">
        <f t="shared" si="14"/>
        <v>0.31751353865788068</v>
      </c>
      <c r="AK82" s="152">
        <f t="shared" si="15"/>
        <v>0.40705803419799308</v>
      </c>
      <c r="AL82" s="152" t="e">
        <f t="shared" si="16"/>
        <v>#N/A</v>
      </c>
      <c r="AM82" s="152" t="e">
        <f t="shared" si="17"/>
        <v>#N/A</v>
      </c>
      <c r="AN82" s="152" t="e">
        <f t="shared" si="18"/>
        <v>#N/A</v>
      </c>
      <c r="AO82" s="152" t="e">
        <f t="shared" si="19"/>
        <v>#N/A</v>
      </c>
      <c r="AP82" s="152" t="e">
        <f t="shared" si="20"/>
        <v>#N/A</v>
      </c>
      <c r="AQ82" s="152" t="e">
        <f t="shared" si="21"/>
        <v>#N/A</v>
      </c>
      <c r="AR82" s="152" t="e">
        <f t="shared" si="22"/>
        <v>#N/A</v>
      </c>
      <c r="AS82" s="152" t="e">
        <f t="shared" si="23"/>
        <v>#N/A</v>
      </c>
    </row>
    <row r="83" spans="8:45" ht="15.75" customHeight="1">
      <c r="H83" s="212">
        <v>76</v>
      </c>
      <c r="I83" s="205">
        <v>18107.423303890657</v>
      </c>
      <c r="J83" s="231">
        <v>3089.0237962510641</v>
      </c>
      <c r="K83" s="185">
        <v>0.59045259165704056</v>
      </c>
      <c r="L83" s="185">
        <v>0.32859593400670067</v>
      </c>
      <c r="M83" s="201">
        <v>8.0951474336258766E-2</v>
      </c>
      <c r="N83" s="185">
        <v>8.276512489972955E-2</v>
      </c>
      <c r="O83" s="185">
        <v>0.46325350529593656</v>
      </c>
      <c r="P83" s="201">
        <v>0.4539813698043339</v>
      </c>
      <c r="Q83" s="205" t="e">
        <v>#N/A</v>
      </c>
      <c r="R83" s="231" t="e">
        <v>#N/A</v>
      </c>
      <c r="S83" s="185" t="e">
        <v>#N/A</v>
      </c>
      <c r="T83" s="185" t="e">
        <v>#N/A</v>
      </c>
      <c r="U83" s="201" t="e">
        <v>#N/A</v>
      </c>
      <c r="V83" s="185" t="e">
        <v>#N/A</v>
      </c>
      <c r="W83" s="185" t="e">
        <v>#N/A</v>
      </c>
      <c r="X83" s="201" t="e">
        <v>#N/A</v>
      </c>
      <c r="Y83" s="205" t="e">
        <v>#N/A</v>
      </c>
      <c r="Z83" s="231" t="e">
        <v>#N/A</v>
      </c>
      <c r="AA83" s="185" t="e">
        <v>#N/A</v>
      </c>
      <c r="AB83" s="185" t="e">
        <v>#N/A</v>
      </c>
      <c r="AC83" s="201" t="e">
        <v>#N/A</v>
      </c>
      <c r="AD83" s="185" t="e">
        <v>#N/A</v>
      </c>
      <c r="AE83" s="185" t="e">
        <v>#N/A</v>
      </c>
      <c r="AF83" s="201" t="e">
        <v>#N/A</v>
      </c>
      <c r="AH83" s="152">
        <f t="shared" si="12"/>
        <v>0.75475055866039087</v>
      </c>
      <c r="AI83" s="152">
        <f t="shared" si="13"/>
        <v>0.28457242643007769</v>
      </c>
      <c r="AJ83" s="152">
        <f t="shared" si="14"/>
        <v>0.31439187754769782</v>
      </c>
      <c r="AK83" s="152">
        <f t="shared" si="15"/>
        <v>0.40118930397847002</v>
      </c>
      <c r="AL83" s="152" t="e">
        <f t="shared" si="16"/>
        <v>#N/A</v>
      </c>
      <c r="AM83" s="152" t="e">
        <f t="shared" si="17"/>
        <v>#N/A</v>
      </c>
      <c r="AN83" s="152" t="e">
        <f t="shared" si="18"/>
        <v>#N/A</v>
      </c>
      <c r="AO83" s="152" t="e">
        <f t="shared" si="19"/>
        <v>#N/A</v>
      </c>
      <c r="AP83" s="152" t="e">
        <f t="shared" si="20"/>
        <v>#N/A</v>
      </c>
      <c r="AQ83" s="152" t="e">
        <f t="shared" si="21"/>
        <v>#N/A</v>
      </c>
      <c r="AR83" s="152" t="e">
        <f t="shared" si="22"/>
        <v>#N/A</v>
      </c>
      <c r="AS83" s="152" t="e">
        <f t="shared" si="23"/>
        <v>#N/A</v>
      </c>
    </row>
    <row r="84" spans="8:45" ht="15.75" customHeight="1">
      <c r="H84" s="212">
        <v>77</v>
      </c>
      <c r="I84" s="205">
        <v>18104.933164464379</v>
      </c>
      <c r="J84" s="231">
        <v>3082.3331861070878</v>
      </c>
      <c r="K84" s="185">
        <v>0.59514627095181827</v>
      </c>
      <c r="L84" s="185">
        <v>0.3232058080946229</v>
      </c>
      <c r="M84" s="201">
        <v>8.1647920953558828E-2</v>
      </c>
      <c r="N84" s="185">
        <v>8.3029873107666241E-2</v>
      </c>
      <c r="O84" s="185">
        <v>0.45646694019764766</v>
      </c>
      <c r="P84" s="201">
        <v>0.46050318669468615</v>
      </c>
      <c r="Q84" s="205" t="e">
        <v>#N/A</v>
      </c>
      <c r="R84" s="231" t="e">
        <v>#N/A</v>
      </c>
      <c r="S84" s="185" t="e">
        <v>#N/A</v>
      </c>
      <c r="T84" s="185" t="e">
        <v>#N/A</v>
      </c>
      <c r="U84" s="201" t="e">
        <v>#N/A</v>
      </c>
      <c r="V84" s="185" t="e">
        <v>#N/A</v>
      </c>
      <c r="W84" s="185" t="e">
        <v>#N/A</v>
      </c>
      <c r="X84" s="201" t="e">
        <v>#N/A</v>
      </c>
      <c r="Y84" s="205" t="e">
        <v>#N/A</v>
      </c>
      <c r="Z84" s="231" t="e">
        <v>#N/A</v>
      </c>
      <c r="AA84" s="185" t="e">
        <v>#N/A</v>
      </c>
      <c r="AB84" s="185" t="e">
        <v>#N/A</v>
      </c>
      <c r="AC84" s="201" t="e">
        <v>#N/A</v>
      </c>
      <c r="AD84" s="185" t="e">
        <v>#N/A</v>
      </c>
      <c r="AE84" s="185" t="e">
        <v>#N/A</v>
      </c>
      <c r="AF84" s="201" t="e">
        <v>#N/A</v>
      </c>
      <c r="AH84" s="152">
        <f t="shared" si="12"/>
        <v>0.75674917499912975</v>
      </c>
      <c r="AI84" s="152">
        <f t="shared" si="13"/>
        <v>0.27990444046062157</v>
      </c>
      <c r="AJ84" s="152">
        <f t="shared" si="14"/>
        <v>0.31126334320649007</v>
      </c>
      <c r="AK84" s="152">
        <f t="shared" si="15"/>
        <v>0.39531196619891501</v>
      </c>
      <c r="AL84" s="152" t="e">
        <f t="shared" si="16"/>
        <v>#N/A</v>
      </c>
      <c r="AM84" s="152" t="e">
        <f t="shared" si="17"/>
        <v>#N/A</v>
      </c>
      <c r="AN84" s="152" t="e">
        <f t="shared" si="18"/>
        <v>#N/A</v>
      </c>
      <c r="AO84" s="152" t="e">
        <f t="shared" si="19"/>
        <v>#N/A</v>
      </c>
      <c r="AP84" s="152" t="e">
        <f t="shared" si="20"/>
        <v>#N/A</v>
      </c>
      <c r="AQ84" s="152" t="e">
        <f t="shared" si="21"/>
        <v>#N/A</v>
      </c>
      <c r="AR84" s="152" t="e">
        <f t="shared" si="22"/>
        <v>#N/A</v>
      </c>
      <c r="AS84" s="152" t="e">
        <f t="shared" si="23"/>
        <v>#N/A</v>
      </c>
    </row>
    <row r="85" spans="8:45" ht="15.75" customHeight="1">
      <c r="H85" s="212">
        <v>78</v>
      </c>
      <c r="I85" s="205">
        <v>18102.23770210172</v>
      </c>
      <c r="J85" s="231">
        <v>3075.7097068342259</v>
      </c>
      <c r="K85" s="185">
        <v>0.59983520769563003</v>
      </c>
      <c r="L85" s="185">
        <v>0.31782636306143325</v>
      </c>
      <c r="M85" s="201">
        <v>8.2338429242936717E-2</v>
      </c>
      <c r="N85" s="185">
        <v>8.3292742269542183E-2</v>
      </c>
      <c r="O85" s="185">
        <v>0.44967044187152022</v>
      </c>
      <c r="P85" s="201">
        <v>0.46703681585893758</v>
      </c>
      <c r="Q85" s="205" t="e">
        <v>#N/A</v>
      </c>
      <c r="R85" s="231" t="e">
        <v>#N/A</v>
      </c>
      <c r="S85" s="185" t="e">
        <v>#N/A</v>
      </c>
      <c r="T85" s="185" t="e">
        <v>#N/A</v>
      </c>
      <c r="U85" s="201" t="e">
        <v>#N/A</v>
      </c>
      <c r="V85" s="185" t="e">
        <v>#N/A</v>
      </c>
      <c r="W85" s="185" t="e">
        <v>#N/A</v>
      </c>
      <c r="X85" s="201" t="e">
        <v>#N/A</v>
      </c>
      <c r="Y85" s="205" t="e">
        <v>#N/A</v>
      </c>
      <c r="Z85" s="231" t="e">
        <v>#N/A</v>
      </c>
      <c r="AA85" s="185" t="e">
        <v>#N/A</v>
      </c>
      <c r="AB85" s="185" t="e">
        <v>#N/A</v>
      </c>
      <c r="AC85" s="201" t="e">
        <v>#N/A</v>
      </c>
      <c r="AD85" s="185" t="e">
        <v>#N/A</v>
      </c>
      <c r="AE85" s="185" t="e">
        <v>#N/A</v>
      </c>
      <c r="AF85" s="201" t="e">
        <v>#N/A</v>
      </c>
      <c r="AH85" s="152">
        <f t="shared" si="12"/>
        <v>0.75874838922634669</v>
      </c>
      <c r="AI85" s="152">
        <f t="shared" si="13"/>
        <v>0.27524570440361729</v>
      </c>
      <c r="AJ85" s="152">
        <f t="shared" si="14"/>
        <v>0.30812796320530228</v>
      </c>
      <c r="AK85" s="152">
        <f t="shared" si="15"/>
        <v>0.38942602599171022</v>
      </c>
      <c r="AL85" s="152" t="e">
        <f t="shared" si="16"/>
        <v>#N/A</v>
      </c>
      <c r="AM85" s="152" t="e">
        <f t="shared" si="17"/>
        <v>#N/A</v>
      </c>
      <c r="AN85" s="152" t="e">
        <f t="shared" si="18"/>
        <v>#N/A</v>
      </c>
      <c r="AO85" s="152" t="e">
        <f t="shared" si="19"/>
        <v>#N/A</v>
      </c>
      <c r="AP85" s="152" t="e">
        <f t="shared" si="20"/>
        <v>#N/A</v>
      </c>
      <c r="AQ85" s="152" t="e">
        <f t="shared" si="21"/>
        <v>#N/A</v>
      </c>
      <c r="AR85" s="152" t="e">
        <f t="shared" si="22"/>
        <v>#N/A</v>
      </c>
      <c r="AS85" s="152" t="e">
        <f t="shared" si="23"/>
        <v>#N/A</v>
      </c>
    </row>
    <row r="86" spans="8:45" ht="15.75" customHeight="1">
      <c r="H86" s="212">
        <v>79</v>
      </c>
      <c r="I86" s="205">
        <v>18099.340940351929</v>
      </c>
      <c r="J86" s="231">
        <v>3069.1524041125081</v>
      </c>
      <c r="K86" s="185">
        <v>0.60451927540167993</v>
      </c>
      <c r="L86" s="185">
        <v>0.31245760836760239</v>
      </c>
      <c r="M86" s="201">
        <v>8.3023116230717675E-2</v>
      </c>
      <c r="N86" s="185">
        <v>8.3553756501406243E-2</v>
      </c>
      <c r="O86" s="185">
        <v>0.44286401610296167</v>
      </c>
      <c r="P86" s="201">
        <v>0.47358222739563205</v>
      </c>
      <c r="Q86" s="205" t="e">
        <v>#N/A</v>
      </c>
      <c r="R86" s="231" t="e">
        <v>#N/A</v>
      </c>
      <c r="S86" s="185" t="e">
        <v>#N/A</v>
      </c>
      <c r="T86" s="185" t="e">
        <v>#N/A</v>
      </c>
      <c r="U86" s="201" t="e">
        <v>#N/A</v>
      </c>
      <c r="V86" s="185" t="e">
        <v>#N/A</v>
      </c>
      <c r="W86" s="185" t="e">
        <v>#N/A</v>
      </c>
      <c r="X86" s="201" t="e">
        <v>#N/A</v>
      </c>
      <c r="Y86" s="205" t="e">
        <v>#N/A</v>
      </c>
      <c r="Z86" s="231" t="e">
        <v>#N/A</v>
      </c>
      <c r="AA86" s="185" t="e">
        <v>#N/A</v>
      </c>
      <c r="AB86" s="185" t="e">
        <v>#N/A</v>
      </c>
      <c r="AC86" s="201" t="e">
        <v>#N/A</v>
      </c>
      <c r="AD86" s="185" t="e">
        <v>#N/A</v>
      </c>
      <c r="AE86" s="185" t="e">
        <v>#N/A</v>
      </c>
      <c r="AF86" s="201" t="e">
        <v>#N/A</v>
      </c>
      <c r="AH86" s="152">
        <f t="shared" si="12"/>
        <v>0.76074807958548107</v>
      </c>
      <c r="AI86" s="152">
        <f t="shared" si="13"/>
        <v>0.27059622645207282</v>
      </c>
      <c r="AJ86" s="152">
        <f t="shared" si="14"/>
        <v>0.30498576455288706</v>
      </c>
      <c r="AK86" s="152">
        <f t="shared" si="15"/>
        <v>0.3835314883671655</v>
      </c>
      <c r="AL86" s="152" t="e">
        <f t="shared" si="16"/>
        <v>#N/A</v>
      </c>
      <c r="AM86" s="152" t="e">
        <f t="shared" si="17"/>
        <v>#N/A</v>
      </c>
      <c r="AN86" s="152" t="e">
        <f t="shared" si="18"/>
        <v>#N/A</v>
      </c>
      <c r="AO86" s="152" t="e">
        <f t="shared" si="19"/>
        <v>#N/A</v>
      </c>
      <c r="AP86" s="152" t="e">
        <f t="shared" si="20"/>
        <v>#N/A</v>
      </c>
      <c r="AQ86" s="152" t="e">
        <f t="shared" si="21"/>
        <v>#N/A</v>
      </c>
      <c r="AR86" s="152" t="e">
        <f t="shared" si="22"/>
        <v>#N/A</v>
      </c>
      <c r="AS86" s="152" t="e">
        <f t="shared" si="23"/>
        <v>#N/A</v>
      </c>
    </row>
    <row r="87" spans="8:45" ht="15.75" customHeight="1">
      <c r="H87" s="212">
        <v>80</v>
      </c>
      <c r="I87" s="205">
        <v>18096.24683625859</v>
      </c>
      <c r="J87" s="231">
        <v>3062.6603439146302</v>
      </c>
      <c r="K87" s="185">
        <v>0.60919834851192156</v>
      </c>
      <c r="L87" s="185">
        <v>0.30709955375588466</v>
      </c>
      <c r="M87" s="201">
        <v>8.3702097732193781E-2</v>
      </c>
      <c r="N87" s="185">
        <v>8.3812939442991674E-2</v>
      </c>
      <c r="O87" s="185">
        <v>0.43604766854643884</v>
      </c>
      <c r="P87" s="201">
        <v>0.48013939201056954</v>
      </c>
      <c r="Q87" s="205" t="e">
        <v>#N/A</v>
      </c>
      <c r="R87" s="231" t="e">
        <v>#N/A</v>
      </c>
      <c r="S87" s="185" t="e">
        <v>#N/A</v>
      </c>
      <c r="T87" s="185" t="e">
        <v>#N/A</v>
      </c>
      <c r="U87" s="201" t="e">
        <v>#N/A</v>
      </c>
      <c r="V87" s="185" t="e">
        <v>#N/A</v>
      </c>
      <c r="W87" s="185" t="e">
        <v>#N/A</v>
      </c>
      <c r="X87" s="201" t="e">
        <v>#N/A</v>
      </c>
      <c r="Y87" s="205" t="e">
        <v>#N/A</v>
      </c>
      <c r="Z87" s="231" t="e">
        <v>#N/A</v>
      </c>
      <c r="AA87" s="185" t="e">
        <v>#N/A</v>
      </c>
      <c r="AB87" s="185" t="e">
        <v>#N/A</v>
      </c>
      <c r="AC87" s="201" t="e">
        <v>#N/A</v>
      </c>
      <c r="AD87" s="185" t="e">
        <v>#N/A</v>
      </c>
      <c r="AE87" s="185" t="e">
        <v>#N/A</v>
      </c>
      <c r="AF87" s="201" t="e">
        <v>#N/A</v>
      </c>
      <c r="AH87" s="152">
        <f t="shared" si="12"/>
        <v>0.76274812538986392</v>
      </c>
      <c r="AI87" s="152">
        <f t="shared" si="13"/>
        <v>0.26595601504346089</v>
      </c>
      <c r="AJ87" s="152">
        <f t="shared" si="14"/>
        <v>0.30183677371621109</v>
      </c>
      <c r="AK87" s="152">
        <f t="shared" si="15"/>
        <v>0.37762835822219276</v>
      </c>
      <c r="AL87" s="152" t="e">
        <f t="shared" si="16"/>
        <v>#N/A</v>
      </c>
      <c r="AM87" s="152" t="e">
        <f t="shared" si="17"/>
        <v>#N/A</v>
      </c>
      <c r="AN87" s="152" t="e">
        <f t="shared" si="18"/>
        <v>#N/A</v>
      </c>
      <c r="AO87" s="152" t="e">
        <f t="shared" si="19"/>
        <v>#N/A</v>
      </c>
      <c r="AP87" s="152" t="e">
        <f t="shared" si="20"/>
        <v>#N/A</v>
      </c>
      <c r="AQ87" s="152" t="e">
        <f t="shared" si="21"/>
        <v>#N/A</v>
      </c>
      <c r="AR87" s="152" t="e">
        <f t="shared" si="22"/>
        <v>#N/A</v>
      </c>
      <c r="AS87" s="152" t="e">
        <f t="shared" si="23"/>
        <v>#N/A</v>
      </c>
    </row>
    <row r="88" spans="8:45" ht="15.75" customHeight="1">
      <c r="H88" s="212">
        <v>81</v>
      </c>
      <c r="I88" s="205">
        <v>18092.959281634332</v>
      </c>
      <c r="J88" s="231">
        <v>3056.2326120191287</v>
      </c>
      <c r="K88" s="185">
        <v>0.61387230237717771</v>
      </c>
      <c r="L88" s="185">
        <v>0.30175220924235813</v>
      </c>
      <c r="M88" s="201">
        <v>8.4375488380464159E-2</v>
      </c>
      <c r="N88" s="185">
        <v>8.4070314273164234E-2</v>
      </c>
      <c r="O88" s="185">
        <v>0.4292214047356499</v>
      </c>
      <c r="P88" s="201">
        <v>0.48670828099118585</v>
      </c>
      <c r="Q88" s="205" t="e">
        <v>#N/A</v>
      </c>
      <c r="R88" s="231" t="e">
        <v>#N/A</v>
      </c>
      <c r="S88" s="185" t="e">
        <v>#N/A</v>
      </c>
      <c r="T88" s="185" t="e">
        <v>#N/A</v>
      </c>
      <c r="U88" s="201" t="e">
        <v>#N/A</v>
      </c>
      <c r="V88" s="185" t="e">
        <v>#N/A</v>
      </c>
      <c r="W88" s="185" t="e">
        <v>#N/A</v>
      </c>
      <c r="X88" s="201" t="e">
        <v>#N/A</v>
      </c>
      <c r="Y88" s="205" t="e">
        <v>#N/A</v>
      </c>
      <c r="Z88" s="231" t="e">
        <v>#N/A</v>
      </c>
      <c r="AA88" s="185" t="e">
        <v>#N/A</v>
      </c>
      <c r="AB88" s="185" t="e">
        <v>#N/A</v>
      </c>
      <c r="AC88" s="201" t="e">
        <v>#N/A</v>
      </c>
      <c r="AD88" s="185" t="e">
        <v>#N/A</v>
      </c>
      <c r="AE88" s="185" t="e">
        <v>#N/A</v>
      </c>
      <c r="AF88" s="201" t="e">
        <v>#N/A</v>
      </c>
      <c r="AH88" s="152">
        <f t="shared" si="12"/>
        <v>0.76474840699835678</v>
      </c>
      <c r="AI88" s="152">
        <f t="shared" si="13"/>
        <v>0.2613250788519596</v>
      </c>
      <c r="AJ88" s="152">
        <f t="shared" si="14"/>
        <v>0.29868101664098917</v>
      </c>
      <c r="AK88" s="152">
        <f t="shared" si="15"/>
        <v>0.37171664034911517</v>
      </c>
      <c r="AL88" s="152" t="e">
        <f t="shared" si="16"/>
        <v>#N/A</v>
      </c>
      <c r="AM88" s="152" t="e">
        <f t="shared" si="17"/>
        <v>#N/A</v>
      </c>
      <c r="AN88" s="152" t="e">
        <f t="shared" si="18"/>
        <v>#N/A</v>
      </c>
      <c r="AO88" s="152" t="e">
        <f t="shared" si="19"/>
        <v>#N/A</v>
      </c>
      <c r="AP88" s="152" t="e">
        <f t="shared" si="20"/>
        <v>#N/A</v>
      </c>
      <c r="AQ88" s="152" t="e">
        <f t="shared" si="21"/>
        <v>#N/A</v>
      </c>
      <c r="AR88" s="152" t="e">
        <f t="shared" si="22"/>
        <v>#N/A</v>
      </c>
      <c r="AS88" s="152" t="e">
        <f t="shared" si="23"/>
        <v>#N/A</v>
      </c>
    </row>
    <row r="89" spans="8:45" ht="15.75" customHeight="1">
      <c r="H89" s="212">
        <v>82</v>
      </c>
      <c r="I89" s="205">
        <v>18089.482104307113</v>
      </c>
      <c r="J89" s="231">
        <v>3049.8683135381834</v>
      </c>
      <c r="K89" s="185">
        <v>0.61854101323737076</v>
      </c>
      <c r="L89" s="185">
        <v>0.29641558510753496</v>
      </c>
      <c r="M89" s="201">
        <v>8.5043401655094275E-2</v>
      </c>
      <c r="N89" s="185">
        <v>8.432590372518968E-2</v>
      </c>
      <c r="O89" s="185">
        <v>0.42238523009371648</v>
      </c>
      <c r="P89" s="201">
        <v>0.49328886618109385</v>
      </c>
      <c r="Q89" s="205" t="e">
        <v>#N/A</v>
      </c>
      <c r="R89" s="231" t="e">
        <v>#N/A</v>
      </c>
      <c r="S89" s="185" t="e">
        <v>#N/A</v>
      </c>
      <c r="T89" s="185" t="e">
        <v>#N/A</v>
      </c>
      <c r="U89" s="201" t="e">
        <v>#N/A</v>
      </c>
      <c r="V89" s="185" t="e">
        <v>#N/A</v>
      </c>
      <c r="W89" s="185" t="e">
        <v>#N/A</v>
      </c>
      <c r="X89" s="201" t="e">
        <v>#N/A</v>
      </c>
      <c r="Y89" s="205" t="e">
        <v>#N/A</v>
      </c>
      <c r="Z89" s="231" t="e">
        <v>#N/A</v>
      </c>
      <c r="AA89" s="185" t="e">
        <v>#N/A</v>
      </c>
      <c r="AB89" s="185" t="e">
        <v>#N/A</v>
      </c>
      <c r="AC89" s="201" t="e">
        <v>#N/A</v>
      </c>
      <c r="AD89" s="185" t="e">
        <v>#N/A</v>
      </c>
      <c r="AE89" s="185" t="e">
        <v>#N/A</v>
      </c>
      <c r="AF89" s="201" t="e">
        <v>#N/A</v>
      </c>
      <c r="AH89" s="152">
        <f t="shared" si="12"/>
        <v>0.76674880579113824</v>
      </c>
      <c r="AI89" s="152">
        <f t="shared" si="13"/>
        <v>0.25670342678075359</v>
      </c>
      <c r="AJ89" s="152">
        <f t="shared" si="14"/>
        <v>0.29551851877204793</v>
      </c>
      <c r="AK89" s="152">
        <f t="shared" si="15"/>
        <v>0.3657963394444938</v>
      </c>
      <c r="AL89" s="152" t="e">
        <f t="shared" si="16"/>
        <v>#N/A</v>
      </c>
      <c r="AM89" s="152" t="e">
        <f t="shared" si="17"/>
        <v>#N/A</v>
      </c>
      <c r="AN89" s="152" t="e">
        <f t="shared" si="18"/>
        <v>#N/A</v>
      </c>
      <c r="AO89" s="152" t="e">
        <f t="shared" si="19"/>
        <v>#N/A</v>
      </c>
      <c r="AP89" s="152" t="e">
        <f t="shared" si="20"/>
        <v>#N/A</v>
      </c>
      <c r="AQ89" s="152" t="e">
        <f t="shared" si="21"/>
        <v>#N/A</v>
      </c>
      <c r="AR89" s="152" t="e">
        <f t="shared" si="22"/>
        <v>#N/A</v>
      </c>
      <c r="AS89" s="152" t="e">
        <f t="shared" si="23"/>
        <v>#N/A</v>
      </c>
    </row>
    <row r="90" spans="8:45" ht="15.75" customHeight="1">
      <c r="H90" s="212">
        <v>83</v>
      </c>
      <c r="I90" s="205">
        <v>18085.819069338457</v>
      </c>
      <c r="J90" s="231">
        <v>3043.5665724598066</v>
      </c>
      <c r="K90" s="185">
        <v>0.62320435820206999</v>
      </c>
      <c r="L90" s="185">
        <v>0.29108969188740041</v>
      </c>
      <c r="M90" s="201">
        <v>8.57059499105296E-2</v>
      </c>
      <c r="N90" s="185">
        <v>8.4579730101931413E-2</v>
      </c>
      <c r="O90" s="185">
        <v>0.41553914994337926</v>
      </c>
      <c r="P90" s="201">
        <v>0.49988111995468931</v>
      </c>
      <c r="Q90" s="205" t="e">
        <v>#N/A</v>
      </c>
      <c r="R90" s="231" t="e">
        <v>#N/A</v>
      </c>
      <c r="S90" s="185" t="e">
        <v>#N/A</v>
      </c>
      <c r="T90" s="185" t="e">
        <v>#N/A</v>
      </c>
      <c r="U90" s="201" t="e">
        <v>#N/A</v>
      </c>
      <c r="V90" s="185" t="e">
        <v>#N/A</v>
      </c>
      <c r="W90" s="185" t="e">
        <v>#N/A</v>
      </c>
      <c r="X90" s="201" t="e">
        <v>#N/A</v>
      </c>
      <c r="Y90" s="205" t="e">
        <v>#N/A</v>
      </c>
      <c r="Z90" s="231" t="e">
        <v>#N/A</v>
      </c>
      <c r="AA90" s="185" t="e">
        <v>#N/A</v>
      </c>
      <c r="AB90" s="185" t="e">
        <v>#N/A</v>
      </c>
      <c r="AC90" s="201" t="e">
        <v>#N/A</v>
      </c>
      <c r="AD90" s="185" t="e">
        <v>#N/A</v>
      </c>
      <c r="AE90" s="185" t="e">
        <v>#N/A</v>
      </c>
      <c r="AF90" s="201" t="e">
        <v>#N/A</v>
      </c>
      <c r="AH90" s="152">
        <f t="shared" si="12"/>
        <v>0.76874920414577019</v>
      </c>
      <c r="AI90" s="152">
        <f t="shared" si="13"/>
        <v>0.25209106795427377</v>
      </c>
      <c r="AJ90" s="152">
        <f t="shared" si="14"/>
        <v>0.29234930507362106</v>
      </c>
      <c r="AK90" s="152">
        <f t="shared" si="15"/>
        <v>0.35986746011795739</v>
      </c>
      <c r="AL90" s="152" t="e">
        <f t="shared" si="16"/>
        <v>#N/A</v>
      </c>
      <c r="AM90" s="152" t="e">
        <f t="shared" si="17"/>
        <v>#N/A</v>
      </c>
      <c r="AN90" s="152" t="e">
        <f t="shared" si="18"/>
        <v>#N/A</v>
      </c>
      <c r="AO90" s="152" t="e">
        <f t="shared" si="19"/>
        <v>#N/A</v>
      </c>
      <c r="AP90" s="152" t="e">
        <f t="shared" si="20"/>
        <v>#N/A</v>
      </c>
      <c r="AQ90" s="152" t="e">
        <f t="shared" si="21"/>
        <v>#N/A</v>
      </c>
      <c r="AR90" s="152" t="e">
        <f t="shared" si="22"/>
        <v>#N/A</v>
      </c>
      <c r="AS90" s="152" t="e">
        <f t="shared" si="23"/>
        <v>#N/A</v>
      </c>
    </row>
    <row r="91" spans="8:45" ht="15.75" customHeight="1">
      <c r="H91" s="212">
        <v>84</v>
      </c>
      <c r="I91" s="205">
        <v>18081.973880215264</v>
      </c>
      <c r="J91" s="231">
        <v>3037.3265312039416</v>
      </c>
      <c r="K91" s="185">
        <v>0.62786221523132935</v>
      </c>
      <c r="L91" s="185">
        <v>0.28577454036439898</v>
      </c>
      <c r="M91" s="201">
        <v>8.6363244404271677E-2</v>
      </c>
      <c r="N91" s="185">
        <v>8.4831815291000326E-2</v>
      </c>
      <c r="O91" s="185">
        <v>0.40868316951721412</v>
      </c>
      <c r="P91" s="201">
        <v>0.50648501519178546</v>
      </c>
      <c r="Q91" s="205" t="e">
        <v>#N/A</v>
      </c>
      <c r="R91" s="231" t="e">
        <v>#N/A</v>
      </c>
      <c r="S91" s="185" t="e">
        <v>#N/A</v>
      </c>
      <c r="T91" s="185" t="e">
        <v>#N/A</v>
      </c>
      <c r="U91" s="201" t="e">
        <v>#N/A</v>
      </c>
      <c r="V91" s="185" t="e">
        <v>#N/A</v>
      </c>
      <c r="W91" s="185" t="e">
        <v>#N/A</v>
      </c>
      <c r="X91" s="201" t="e">
        <v>#N/A</v>
      </c>
      <c r="Y91" s="205" t="e">
        <v>#N/A</v>
      </c>
      <c r="Z91" s="231" t="e">
        <v>#N/A</v>
      </c>
      <c r="AA91" s="185" t="e">
        <v>#N/A</v>
      </c>
      <c r="AB91" s="185" t="e">
        <v>#N/A</v>
      </c>
      <c r="AC91" s="201" t="e">
        <v>#N/A</v>
      </c>
      <c r="AD91" s="185" t="e">
        <v>#N/A</v>
      </c>
      <c r="AE91" s="185" t="e">
        <v>#N/A</v>
      </c>
      <c r="AF91" s="201" t="e">
        <v>#N/A</v>
      </c>
      <c r="AH91" s="152">
        <f t="shared" si="12"/>
        <v>0.77074948541352883</v>
      </c>
      <c r="AI91" s="152">
        <f t="shared" si="13"/>
        <v>0.24748801171039098</v>
      </c>
      <c r="AJ91" s="152">
        <f t="shared" si="14"/>
        <v>0.2891734000496074</v>
      </c>
      <c r="AK91" s="152">
        <f t="shared" si="15"/>
        <v>0.35393000690104953</v>
      </c>
      <c r="AL91" s="152" t="e">
        <f t="shared" si="16"/>
        <v>#N/A</v>
      </c>
      <c r="AM91" s="152" t="e">
        <f t="shared" si="17"/>
        <v>#N/A</v>
      </c>
      <c r="AN91" s="152" t="e">
        <f t="shared" si="18"/>
        <v>#N/A</v>
      </c>
      <c r="AO91" s="152" t="e">
        <f t="shared" si="19"/>
        <v>#N/A</v>
      </c>
      <c r="AP91" s="152" t="e">
        <f t="shared" si="20"/>
        <v>#N/A</v>
      </c>
      <c r="AQ91" s="152" t="e">
        <f t="shared" si="21"/>
        <v>#N/A</v>
      </c>
      <c r="AR91" s="152" t="e">
        <f t="shared" si="22"/>
        <v>#N/A</v>
      </c>
      <c r="AS91" s="152" t="e">
        <f t="shared" si="23"/>
        <v>#N/A</v>
      </c>
    </row>
    <row r="92" spans="8:45" ht="15.75" customHeight="1">
      <c r="H92" s="212">
        <v>85</v>
      </c>
      <c r="I92" s="205">
        <v>18077.950180014723</v>
      </c>
      <c r="J92" s="231">
        <v>3031.1473501914425</v>
      </c>
      <c r="K92" s="185">
        <v>0.63251446311629955</v>
      </c>
      <c r="L92" s="185">
        <v>0.28047014155868999</v>
      </c>
      <c r="M92" s="201">
        <v>8.7015395325010458E-2</v>
      </c>
      <c r="N92" s="185">
        <v>8.5082180779750272E-2</v>
      </c>
      <c r="O92" s="185">
        <v>0.40181729396768523</v>
      </c>
      <c r="P92" s="201">
        <v>0.51310052525256444</v>
      </c>
      <c r="Q92" s="205" t="e">
        <v>#N/A</v>
      </c>
      <c r="R92" s="231" t="e">
        <v>#N/A</v>
      </c>
      <c r="S92" s="185" t="e">
        <v>#N/A</v>
      </c>
      <c r="T92" s="185" t="e">
        <v>#N/A</v>
      </c>
      <c r="U92" s="201" t="e">
        <v>#N/A</v>
      </c>
      <c r="V92" s="185" t="e">
        <v>#N/A</v>
      </c>
      <c r="W92" s="185" t="e">
        <v>#N/A</v>
      </c>
      <c r="X92" s="201" t="e">
        <v>#N/A</v>
      </c>
      <c r="Y92" s="205" t="e">
        <v>#N/A</v>
      </c>
      <c r="Z92" s="231" t="e">
        <v>#N/A</v>
      </c>
      <c r="AA92" s="185" t="e">
        <v>#N/A</v>
      </c>
      <c r="AB92" s="185" t="e">
        <v>#N/A</v>
      </c>
      <c r="AC92" s="201" t="e">
        <v>#N/A</v>
      </c>
      <c r="AD92" s="185" t="e">
        <v>#N/A</v>
      </c>
      <c r="AE92" s="185" t="e">
        <v>#N/A</v>
      </c>
      <c r="AF92" s="201" t="e">
        <v>#N/A</v>
      </c>
      <c r="AH92" s="152">
        <f t="shared" si="12"/>
        <v>0.77274953389564449</v>
      </c>
      <c r="AI92" s="152">
        <f t="shared" si="13"/>
        <v>0.24289426759284316</v>
      </c>
      <c r="AJ92" s="152">
        <f t="shared" si="14"/>
        <v>0.28599082776359286</v>
      </c>
      <c r="AK92" s="152">
        <f t="shared" si="15"/>
        <v>0.34798398425593507</v>
      </c>
      <c r="AL92" s="152" t="e">
        <f t="shared" si="16"/>
        <v>#N/A</v>
      </c>
      <c r="AM92" s="152" t="e">
        <f t="shared" si="17"/>
        <v>#N/A</v>
      </c>
      <c r="AN92" s="152" t="e">
        <f t="shared" si="18"/>
        <v>#N/A</v>
      </c>
      <c r="AO92" s="152" t="e">
        <f t="shared" si="19"/>
        <v>#N/A</v>
      </c>
      <c r="AP92" s="152" t="e">
        <f t="shared" si="20"/>
        <v>#N/A</v>
      </c>
      <c r="AQ92" s="152" t="e">
        <f t="shared" si="21"/>
        <v>#N/A</v>
      </c>
      <c r="AR92" s="152" t="e">
        <f t="shared" si="22"/>
        <v>#N/A</v>
      </c>
      <c r="AS92" s="152" t="e">
        <f t="shared" si="23"/>
        <v>#N/A</v>
      </c>
    </row>
    <row r="93" spans="8:45" ht="15.75" customHeight="1">
      <c r="H93" s="212">
        <v>86</v>
      </c>
      <c r="I93" s="205">
        <v>18073.751552543548</v>
      </c>
      <c r="J93" s="231">
        <v>3025.0282074260103</v>
      </c>
      <c r="K93" s="185">
        <v>0.63716098146004807</v>
      </c>
      <c r="L93" s="185">
        <v>0.27517650671938393</v>
      </c>
      <c r="M93" s="201">
        <v>8.7662511820568001E-2</v>
      </c>
      <c r="N93" s="185">
        <v>8.5330847670285787E-2</v>
      </c>
      <c r="O93" s="185">
        <v>0.39494152837711599</v>
      </c>
      <c r="P93" s="201">
        <v>0.51972762395259831</v>
      </c>
      <c r="Q93" s="205" t="e">
        <v>#N/A</v>
      </c>
      <c r="R93" s="231" t="e">
        <v>#N/A</v>
      </c>
      <c r="S93" s="185" t="e">
        <v>#N/A</v>
      </c>
      <c r="T93" s="185" t="e">
        <v>#N/A</v>
      </c>
      <c r="U93" s="201" t="e">
        <v>#N/A</v>
      </c>
      <c r="V93" s="185" t="e">
        <v>#N/A</v>
      </c>
      <c r="W93" s="185" t="e">
        <v>#N/A</v>
      </c>
      <c r="X93" s="201" t="e">
        <v>#N/A</v>
      </c>
      <c r="Y93" s="205" t="e">
        <v>#N/A</v>
      </c>
      <c r="Z93" s="231" t="e">
        <v>#N/A</v>
      </c>
      <c r="AA93" s="185" t="e">
        <v>#N/A</v>
      </c>
      <c r="AB93" s="185" t="e">
        <v>#N/A</v>
      </c>
      <c r="AC93" s="201" t="e">
        <v>#N/A</v>
      </c>
      <c r="AD93" s="185" t="e">
        <v>#N/A</v>
      </c>
      <c r="AE93" s="185" t="e">
        <v>#N/A</v>
      </c>
      <c r="AF93" s="201" t="e">
        <v>#N/A</v>
      </c>
      <c r="AH93" s="152">
        <f t="shared" si="12"/>
        <v>0.77474923481974001</v>
      </c>
      <c r="AI93" s="152">
        <f t="shared" si="13"/>
        <v>0.23830984534364574</v>
      </c>
      <c r="AJ93" s="152">
        <f t="shared" si="14"/>
        <v>0.28280161185884378</v>
      </c>
      <c r="AK93" s="152">
        <f t="shared" si="15"/>
        <v>0.34202939658403519</v>
      </c>
      <c r="AL93" s="152" t="e">
        <f t="shared" si="16"/>
        <v>#N/A</v>
      </c>
      <c r="AM93" s="152" t="e">
        <f t="shared" si="17"/>
        <v>#N/A</v>
      </c>
      <c r="AN93" s="152" t="e">
        <f t="shared" si="18"/>
        <v>#N/A</v>
      </c>
      <c r="AO93" s="152" t="e">
        <f t="shared" si="19"/>
        <v>#N/A</v>
      </c>
      <c r="AP93" s="152" t="e">
        <f t="shared" si="20"/>
        <v>#N/A</v>
      </c>
      <c r="AQ93" s="152" t="e">
        <f t="shared" si="21"/>
        <v>#N/A</v>
      </c>
      <c r="AR93" s="152" t="e">
        <f t="shared" si="22"/>
        <v>#N/A</v>
      </c>
      <c r="AS93" s="152" t="e">
        <f t="shared" si="23"/>
        <v>#N/A</v>
      </c>
    </row>
    <row r="94" spans="8:45" ht="15.75" customHeight="1">
      <c r="H94" s="212">
        <v>87</v>
      </c>
      <c r="I94" s="205">
        <v>18069.38152345219</v>
      </c>
      <c r="J94" s="231">
        <v>3018.9682980882958</v>
      </c>
      <c r="K94" s="185">
        <v>0.6418016506580787</v>
      </c>
      <c r="L94" s="185">
        <v>0.26989364731609194</v>
      </c>
      <c r="M94" s="201">
        <v>8.8304702025829351E-2</v>
      </c>
      <c r="N94" s="185">
        <v>8.5577836694382181E-2</v>
      </c>
      <c r="O94" s="185">
        <v>0.38805587776744177</v>
      </c>
      <c r="P94" s="201">
        <v>0.52636628553817599</v>
      </c>
      <c r="Q94" s="205" t="e">
        <v>#N/A</v>
      </c>
      <c r="R94" s="231" t="e">
        <v>#N/A</v>
      </c>
      <c r="S94" s="185" t="e">
        <v>#N/A</v>
      </c>
      <c r="T94" s="185" t="e">
        <v>#N/A</v>
      </c>
      <c r="U94" s="201" t="e">
        <v>#N/A</v>
      </c>
      <c r="V94" s="185" t="e">
        <v>#N/A</v>
      </c>
      <c r="W94" s="185" t="e">
        <v>#N/A</v>
      </c>
      <c r="X94" s="201" t="e">
        <v>#N/A</v>
      </c>
      <c r="Y94" s="205" t="e">
        <v>#N/A</v>
      </c>
      <c r="Z94" s="231" t="e">
        <v>#N/A</v>
      </c>
      <c r="AA94" s="185" t="e">
        <v>#N/A</v>
      </c>
      <c r="AB94" s="185" t="e">
        <v>#N/A</v>
      </c>
      <c r="AC94" s="201" t="e">
        <v>#N/A</v>
      </c>
      <c r="AD94" s="185" t="e">
        <v>#N/A</v>
      </c>
      <c r="AE94" s="185" t="e">
        <v>#N/A</v>
      </c>
      <c r="AF94" s="201" t="e">
        <v>#N/A</v>
      </c>
      <c r="AH94" s="152">
        <f t="shared" si="12"/>
        <v>0.7767484743161247</v>
      </c>
      <c r="AI94" s="152">
        <f t="shared" si="13"/>
        <v>0.23373475489577339</v>
      </c>
      <c r="AJ94" s="152">
        <f t="shared" si="14"/>
        <v>0.27960577557810307</v>
      </c>
      <c r="AK94" s="152">
        <f t="shared" si="15"/>
        <v>0.33606624823447351</v>
      </c>
      <c r="AL94" s="152" t="e">
        <f t="shared" si="16"/>
        <v>#N/A</v>
      </c>
      <c r="AM94" s="152" t="e">
        <f t="shared" si="17"/>
        <v>#N/A</v>
      </c>
      <c r="AN94" s="152" t="e">
        <f t="shared" si="18"/>
        <v>#N/A</v>
      </c>
      <c r="AO94" s="152" t="e">
        <f t="shared" si="19"/>
        <v>#N/A</v>
      </c>
      <c r="AP94" s="152" t="e">
        <f t="shared" si="20"/>
        <v>#N/A</v>
      </c>
      <c r="AQ94" s="152" t="e">
        <f t="shared" si="21"/>
        <v>#N/A</v>
      </c>
      <c r="AR94" s="152" t="e">
        <f t="shared" si="22"/>
        <v>#N/A</v>
      </c>
      <c r="AS94" s="152" t="e">
        <f t="shared" si="23"/>
        <v>#N/A</v>
      </c>
    </row>
    <row r="95" spans="8:45" ht="15.75" customHeight="1">
      <c r="H95" s="212">
        <v>88</v>
      </c>
      <c r="I95" s="205">
        <v>18064.843561324702</v>
      </c>
      <c r="J95" s="231">
        <v>3012.9668341420374</v>
      </c>
      <c r="K95" s="185">
        <v>0.64643635187881587</v>
      </c>
      <c r="L95" s="185">
        <v>0.26462157503061318</v>
      </c>
      <c r="M95" s="201">
        <v>8.894207309057095E-2</v>
      </c>
      <c r="N95" s="185">
        <v>8.582316822844191E-2</v>
      </c>
      <c r="O95" s="185">
        <v>0.38116034710977542</v>
      </c>
      <c r="P95" s="201">
        <v>0.53301648466178264</v>
      </c>
      <c r="Q95" s="205" t="e">
        <v>#N/A</v>
      </c>
      <c r="R95" s="231" t="e">
        <v>#N/A</v>
      </c>
      <c r="S95" s="185" t="e">
        <v>#N/A</v>
      </c>
      <c r="T95" s="185" t="e">
        <v>#N/A</v>
      </c>
      <c r="U95" s="201" t="e">
        <v>#N/A</v>
      </c>
      <c r="V95" s="185" t="e">
        <v>#N/A</v>
      </c>
      <c r="W95" s="185" t="e">
        <v>#N/A</v>
      </c>
      <c r="X95" s="201" t="e">
        <v>#N/A</v>
      </c>
      <c r="Y95" s="205" t="e">
        <v>#N/A</v>
      </c>
      <c r="Z95" s="231" t="e">
        <v>#N/A</v>
      </c>
      <c r="AA95" s="185" t="e">
        <v>#N/A</v>
      </c>
      <c r="AB95" s="185" t="e">
        <v>#N/A</v>
      </c>
      <c r="AC95" s="201" t="e">
        <v>#N/A</v>
      </c>
      <c r="AD95" s="185" t="e">
        <v>#N/A</v>
      </c>
      <c r="AE95" s="185" t="e">
        <v>#N/A</v>
      </c>
      <c r="AF95" s="201" t="e">
        <v>#N/A</v>
      </c>
      <c r="AH95" s="152">
        <f t="shared" si="12"/>
        <v>0.77874713939412243</v>
      </c>
      <c r="AI95" s="152">
        <f t="shared" si="13"/>
        <v>0.22916900636596088</v>
      </c>
      <c r="AJ95" s="152">
        <f t="shared" si="14"/>
        <v>0.27640334178332959</v>
      </c>
      <c r="AK95" s="152">
        <f t="shared" si="15"/>
        <v>0.33009454351236001</v>
      </c>
      <c r="AL95" s="152" t="e">
        <f t="shared" si="16"/>
        <v>#N/A</v>
      </c>
      <c r="AM95" s="152" t="e">
        <f t="shared" si="17"/>
        <v>#N/A</v>
      </c>
      <c r="AN95" s="152" t="e">
        <f t="shared" si="18"/>
        <v>#N/A</v>
      </c>
      <c r="AO95" s="152" t="e">
        <f t="shared" si="19"/>
        <v>#N/A</v>
      </c>
      <c r="AP95" s="152" t="e">
        <f t="shared" si="20"/>
        <v>#N/A</v>
      </c>
      <c r="AQ95" s="152" t="e">
        <f t="shared" si="21"/>
        <v>#N/A</v>
      </c>
      <c r="AR95" s="152" t="e">
        <f t="shared" si="22"/>
        <v>#N/A</v>
      </c>
      <c r="AS95" s="152" t="e">
        <f t="shared" si="23"/>
        <v>#N/A</v>
      </c>
    </row>
    <row r="96" spans="8:45" ht="15.75" customHeight="1">
      <c r="H96" s="212">
        <v>89</v>
      </c>
      <c r="I96" s="205">
        <v>18060.141078744771</v>
      </c>
      <c r="J96" s="231">
        <v>3007.0230439513416</v>
      </c>
      <c r="K96" s="185">
        <v>0.65106496704344896</v>
      </c>
      <c r="L96" s="185">
        <v>0.25936030174913161</v>
      </c>
      <c r="M96" s="201">
        <v>8.9574731207419434E-2</v>
      </c>
      <c r="N96" s="185">
        <v>8.6066862308352976E-2</v>
      </c>
      <c r="O96" s="185">
        <v>0.37425494133360043</v>
      </c>
      <c r="P96" s="201">
        <v>0.53967819635804659</v>
      </c>
      <c r="Q96" s="205" t="e">
        <v>#N/A</v>
      </c>
      <c r="R96" s="231" t="e">
        <v>#N/A</v>
      </c>
      <c r="S96" s="185" t="e">
        <v>#N/A</v>
      </c>
      <c r="T96" s="185" t="e">
        <v>#N/A</v>
      </c>
      <c r="U96" s="201" t="e">
        <v>#N/A</v>
      </c>
      <c r="V96" s="185" t="e">
        <v>#N/A</v>
      </c>
      <c r="W96" s="185" t="e">
        <v>#N/A</v>
      </c>
      <c r="X96" s="201" t="e">
        <v>#N/A</v>
      </c>
      <c r="Y96" s="205" t="e">
        <v>#N/A</v>
      </c>
      <c r="Z96" s="231" t="e">
        <v>#N/A</v>
      </c>
      <c r="AA96" s="185" t="e">
        <v>#N/A</v>
      </c>
      <c r="AB96" s="185" t="e">
        <v>#N/A</v>
      </c>
      <c r="AC96" s="201" t="e">
        <v>#N/A</v>
      </c>
      <c r="AD96" s="185" t="e">
        <v>#N/A</v>
      </c>
      <c r="AE96" s="185" t="e">
        <v>#N/A</v>
      </c>
      <c r="AF96" s="201" t="e">
        <v>#N/A</v>
      </c>
      <c r="AH96" s="152">
        <f t="shared" si="12"/>
        <v>0.78074511791801471</v>
      </c>
      <c r="AI96" s="152">
        <f t="shared" si="13"/>
        <v>0.22461261004794553</v>
      </c>
      <c r="AJ96" s="152">
        <f t="shared" si="14"/>
        <v>0.27319433297515316</v>
      </c>
      <c r="AK96" s="152">
        <f t="shared" si="15"/>
        <v>0.32411428668675268</v>
      </c>
      <c r="AL96" s="152" t="e">
        <f t="shared" si="16"/>
        <v>#N/A</v>
      </c>
      <c r="AM96" s="152" t="e">
        <f t="shared" si="17"/>
        <v>#N/A</v>
      </c>
      <c r="AN96" s="152" t="e">
        <f t="shared" si="18"/>
        <v>#N/A</v>
      </c>
      <c r="AO96" s="152" t="e">
        <f t="shared" si="19"/>
        <v>#N/A</v>
      </c>
      <c r="AP96" s="152" t="e">
        <f t="shared" si="20"/>
        <v>#N/A</v>
      </c>
      <c r="AQ96" s="152" t="e">
        <f t="shared" si="21"/>
        <v>#N/A</v>
      </c>
      <c r="AR96" s="152" t="e">
        <f t="shared" si="22"/>
        <v>#N/A</v>
      </c>
      <c r="AS96" s="152" t="e">
        <f t="shared" si="23"/>
        <v>#N/A</v>
      </c>
    </row>
    <row r="97" spans="8:45" ht="15.75" customHeight="1">
      <c r="H97" s="212">
        <v>90</v>
      </c>
      <c r="I97" s="205">
        <v>18055.277433338913</v>
      </c>
      <c r="J97" s="231">
        <v>3001.1361719095103</v>
      </c>
      <c r="K97" s="185">
        <v>0.65568737880569228</v>
      </c>
      <c r="L97" s="185">
        <v>0.25410983955458905</v>
      </c>
      <c r="M97" s="201">
        <v>9.0202781639718677E-2</v>
      </c>
      <c r="N97" s="185">
        <v>8.6308938644484245E-2</v>
      </c>
      <c r="O97" s="185">
        <v>0.36733966533569828</v>
      </c>
      <c r="P97" s="201">
        <v>0.54635139601981753</v>
      </c>
      <c r="Q97" s="205" t="e">
        <v>#N/A</v>
      </c>
      <c r="R97" s="231" t="e">
        <v>#N/A</v>
      </c>
      <c r="S97" s="185" t="e">
        <v>#N/A</v>
      </c>
      <c r="T97" s="185" t="e">
        <v>#N/A</v>
      </c>
      <c r="U97" s="201" t="e">
        <v>#N/A</v>
      </c>
      <c r="V97" s="185" t="e">
        <v>#N/A</v>
      </c>
      <c r="W97" s="185" t="e">
        <v>#N/A</v>
      </c>
      <c r="X97" s="201" t="e">
        <v>#N/A</v>
      </c>
      <c r="Y97" s="205" t="e">
        <v>#N/A</v>
      </c>
      <c r="Z97" s="231" t="e">
        <v>#N/A</v>
      </c>
      <c r="AA97" s="185" t="e">
        <v>#N/A</v>
      </c>
      <c r="AB97" s="185" t="e">
        <v>#N/A</v>
      </c>
      <c r="AC97" s="201" t="e">
        <v>#N/A</v>
      </c>
      <c r="AD97" s="185" t="e">
        <v>#N/A</v>
      </c>
      <c r="AE97" s="185" t="e">
        <v>#N/A</v>
      </c>
      <c r="AF97" s="201" t="e">
        <v>#N/A</v>
      </c>
      <c r="AH97" s="152">
        <f t="shared" si="12"/>
        <v>0.78274229858298683</v>
      </c>
      <c r="AI97" s="152">
        <f t="shared" si="13"/>
        <v>0.22006557640586188</v>
      </c>
      <c r="AJ97" s="152">
        <f t="shared" si="14"/>
        <v>0.26997877131233339</v>
      </c>
      <c r="AK97" s="152">
        <f t="shared" si="15"/>
        <v>0.31812548199838864</v>
      </c>
      <c r="AL97" s="152" t="e">
        <f t="shared" si="16"/>
        <v>#N/A</v>
      </c>
      <c r="AM97" s="152" t="e">
        <f t="shared" si="17"/>
        <v>#N/A</v>
      </c>
      <c r="AN97" s="152" t="e">
        <f t="shared" si="18"/>
        <v>#N/A</v>
      </c>
      <c r="AO97" s="152" t="e">
        <f t="shared" si="19"/>
        <v>#N/A</v>
      </c>
      <c r="AP97" s="152" t="e">
        <f t="shared" si="20"/>
        <v>#N/A</v>
      </c>
      <c r="AQ97" s="152" t="e">
        <f t="shared" si="21"/>
        <v>#N/A</v>
      </c>
      <c r="AR97" s="152" t="e">
        <f t="shared" si="22"/>
        <v>#N/A</v>
      </c>
      <c r="AS97" s="152" t="e">
        <f t="shared" si="23"/>
        <v>#N/A</v>
      </c>
    </row>
    <row r="98" spans="8:45" ht="15.75" customHeight="1">
      <c r="H98" s="212">
        <v>91</v>
      </c>
      <c r="I98" s="205">
        <v>18050.255928797305</v>
      </c>
      <c r="J98" s="231">
        <v>2995.3054780783509</v>
      </c>
      <c r="K98" s="185">
        <v>0.66030347053072347</v>
      </c>
      <c r="L98" s="185">
        <v>0.2488702007196876</v>
      </c>
      <c r="M98" s="201">
        <v>9.082632874958893E-2</v>
      </c>
      <c r="N98" s="185">
        <v>8.6549416636635831E-2</v>
      </c>
      <c r="O98" s="185">
        <v>0.36041452398861135</v>
      </c>
      <c r="P98" s="201">
        <v>0.55303605937475275</v>
      </c>
      <c r="Q98" s="205" t="e">
        <v>#N/A</v>
      </c>
      <c r="R98" s="231" t="e">
        <v>#N/A</v>
      </c>
      <c r="S98" s="185" t="e">
        <v>#N/A</v>
      </c>
      <c r="T98" s="185" t="e">
        <v>#N/A</v>
      </c>
      <c r="U98" s="201" t="e">
        <v>#N/A</v>
      </c>
      <c r="V98" s="185" t="e">
        <v>#N/A</v>
      </c>
      <c r="W98" s="185" t="e">
        <v>#N/A</v>
      </c>
      <c r="X98" s="201" t="e">
        <v>#N/A</v>
      </c>
      <c r="Y98" s="205" t="e">
        <v>#N/A</v>
      </c>
      <c r="Z98" s="231" t="e">
        <v>#N/A</v>
      </c>
      <c r="AA98" s="185" t="e">
        <v>#N/A</v>
      </c>
      <c r="AB98" s="185" t="e">
        <v>#N/A</v>
      </c>
      <c r="AC98" s="201" t="e">
        <v>#N/A</v>
      </c>
      <c r="AD98" s="185" t="e">
        <v>#N/A</v>
      </c>
      <c r="AE98" s="185" t="e">
        <v>#N/A</v>
      </c>
      <c r="AF98" s="201" t="e">
        <v>#N/A</v>
      </c>
      <c r="AH98" s="152">
        <f t="shared" si="12"/>
        <v>0.78473857089056731</v>
      </c>
      <c r="AI98" s="152">
        <f t="shared" si="13"/>
        <v>0.21552791606818172</v>
      </c>
      <c r="AJ98" s="152">
        <f t="shared" si="14"/>
        <v>0.26675667863094149</v>
      </c>
      <c r="AK98" s="152">
        <f t="shared" si="15"/>
        <v>0.31212813366701336</v>
      </c>
      <c r="AL98" s="152" t="e">
        <f t="shared" si="16"/>
        <v>#N/A</v>
      </c>
      <c r="AM98" s="152" t="e">
        <f t="shared" si="17"/>
        <v>#N/A</v>
      </c>
      <c r="AN98" s="152" t="e">
        <f t="shared" si="18"/>
        <v>#N/A</v>
      </c>
      <c r="AO98" s="152" t="e">
        <f t="shared" si="19"/>
        <v>#N/A</v>
      </c>
      <c r="AP98" s="152" t="e">
        <f t="shared" si="20"/>
        <v>#N/A</v>
      </c>
      <c r="AQ98" s="152" t="e">
        <f t="shared" si="21"/>
        <v>#N/A</v>
      </c>
      <c r="AR98" s="152" t="e">
        <f t="shared" si="22"/>
        <v>#N/A</v>
      </c>
      <c r="AS98" s="152" t="e">
        <f t="shared" si="23"/>
        <v>#N/A</v>
      </c>
    </row>
    <row r="99" spans="8:45" ht="15.75" customHeight="1">
      <c r="H99" s="212">
        <v>92</v>
      </c>
      <c r="I99" s="205">
        <v>18045.079815872978</v>
      </c>
      <c r="J99" s="231">
        <v>2989.5302378382598</v>
      </c>
      <c r="K99" s="185">
        <v>0.6649131262736272</v>
      </c>
      <c r="L99" s="185">
        <v>0.2436413977003197</v>
      </c>
      <c r="M99" s="201">
        <v>9.1445476026053102E-2</v>
      </c>
      <c r="N99" s="185">
        <v>8.6788315389129386E-2</v>
      </c>
      <c r="O99" s="185">
        <v>0.35347952214866335</v>
      </c>
      <c r="P99" s="201">
        <v>0.55973216246220736</v>
      </c>
      <c r="Q99" s="205" t="e">
        <v>#N/A</v>
      </c>
      <c r="R99" s="231" t="e">
        <v>#N/A</v>
      </c>
      <c r="S99" s="185" t="e">
        <v>#N/A</v>
      </c>
      <c r="T99" s="185" t="e">
        <v>#N/A</v>
      </c>
      <c r="U99" s="201" t="e">
        <v>#N/A</v>
      </c>
      <c r="V99" s="185" t="e">
        <v>#N/A</v>
      </c>
      <c r="W99" s="185" t="e">
        <v>#N/A</v>
      </c>
      <c r="X99" s="201" t="e">
        <v>#N/A</v>
      </c>
      <c r="Y99" s="205" t="e">
        <v>#N/A</v>
      </c>
      <c r="Z99" s="231" t="e">
        <v>#N/A</v>
      </c>
      <c r="AA99" s="185" t="e">
        <v>#N/A</v>
      </c>
      <c r="AB99" s="185" t="e">
        <v>#N/A</v>
      </c>
      <c r="AC99" s="201" t="e">
        <v>#N/A</v>
      </c>
      <c r="AD99" s="185" t="e">
        <v>#N/A</v>
      </c>
      <c r="AE99" s="185" t="e">
        <v>#N/A</v>
      </c>
      <c r="AF99" s="201" t="e">
        <v>#N/A</v>
      </c>
      <c r="AH99" s="152">
        <f t="shared" si="12"/>
        <v>0.78673382512378709</v>
      </c>
      <c r="AI99" s="152">
        <f t="shared" si="13"/>
        <v>0.21099963982202435</v>
      </c>
      <c r="AJ99" s="152">
        <f t="shared" si="14"/>
        <v>0.26352807646346105</v>
      </c>
      <c r="AK99" s="152">
        <f t="shared" si="15"/>
        <v>0.30612224589832659</v>
      </c>
      <c r="AL99" s="152" t="e">
        <f t="shared" si="16"/>
        <v>#N/A</v>
      </c>
      <c r="AM99" s="152" t="e">
        <f t="shared" si="17"/>
        <v>#N/A</v>
      </c>
      <c r="AN99" s="152" t="e">
        <f t="shared" si="18"/>
        <v>#N/A</v>
      </c>
      <c r="AO99" s="152" t="e">
        <f t="shared" si="19"/>
        <v>#N/A</v>
      </c>
      <c r="AP99" s="152" t="e">
        <f t="shared" si="20"/>
        <v>#N/A</v>
      </c>
      <c r="AQ99" s="152" t="e">
        <f t="shared" si="21"/>
        <v>#N/A</v>
      </c>
      <c r="AR99" s="152" t="e">
        <f t="shared" si="22"/>
        <v>#N/A</v>
      </c>
      <c r="AS99" s="152" t="e">
        <f t="shared" si="23"/>
        <v>#N/A</v>
      </c>
    </row>
    <row r="100" spans="8:45" ht="15.75" customHeight="1">
      <c r="H100" s="212">
        <v>93</v>
      </c>
      <c r="I100" s="205">
        <v>18039.752293360343</v>
      </c>
      <c r="J100" s="231">
        <v>2983.809741548429</v>
      </c>
      <c r="K100" s="185">
        <v>0.6695162307569934</v>
      </c>
      <c r="L100" s="185">
        <v>0.2384234431296616</v>
      </c>
      <c r="M100" s="201">
        <v>9.2060326113344998E-2</v>
      </c>
      <c r="N100" s="185">
        <v>8.7025653725970833E-2</v>
      </c>
      <c r="O100" s="185">
        <v>0.34653466466342642</v>
      </c>
      <c r="P100" s="201">
        <v>0.56643968161060276</v>
      </c>
      <c r="Q100" s="205" t="e">
        <v>#N/A</v>
      </c>
      <c r="R100" s="231" t="e">
        <v>#N/A</v>
      </c>
      <c r="S100" s="185" t="e">
        <v>#N/A</v>
      </c>
      <c r="T100" s="185" t="e">
        <v>#N/A</v>
      </c>
      <c r="U100" s="201" t="e">
        <v>#N/A</v>
      </c>
      <c r="V100" s="185" t="e">
        <v>#N/A</v>
      </c>
      <c r="W100" s="185" t="e">
        <v>#N/A</v>
      </c>
      <c r="X100" s="201" t="e">
        <v>#N/A</v>
      </c>
      <c r="Y100" s="205" t="e">
        <v>#N/A</v>
      </c>
      <c r="Z100" s="231" t="e">
        <v>#N/A</v>
      </c>
      <c r="AA100" s="185" t="e">
        <v>#N/A</v>
      </c>
      <c r="AB100" s="185" t="e">
        <v>#N/A</v>
      </c>
      <c r="AC100" s="201" t="e">
        <v>#N/A</v>
      </c>
      <c r="AD100" s="185" t="e">
        <v>#N/A</v>
      </c>
      <c r="AE100" s="185" t="e">
        <v>#N/A</v>
      </c>
      <c r="AF100" s="201" t="e">
        <v>#N/A</v>
      </c>
      <c r="AH100" s="152">
        <f t="shared" si="12"/>
        <v>0.78872795232182424</v>
      </c>
      <c r="AI100" s="152">
        <f t="shared" si="13"/>
        <v>0.20648075860804133</v>
      </c>
      <c r="AJ100" s="152">
        <f t="shared" si="14"/>
        <v>0.26029298605768403</v>
      </c>
      <c r="AK100" s="152">
        <f t="shared" si="15"/>
        <v>0.30010782289044891</v>
      </c>
      <c r="AL100" s="152" t="e">
        <f t="shared" si="16"/>
        <v>#N/A</v>
      </c>
      <c r="AM100" s="152" t="e">
        <f t="shared" si="17"/>
        <v>#N/A</v>
      </c>
      <c r="AN100" s="152" t="e">
        <f t="shared" si="18"/>
        <v>#N/A</v>
      </c>
      <c r="AO100" s="152" t="e">
        <f t="shared" si="19"/>
        <v>#N/A</v>
      </c>
      <c r="AP100" s="152" t="e">
        <f t="shared" si="20"/>
        <v>#N/A</v>
      </c>
      <c r="AQ100" s="152" t="e">
        <f t="shared" si="21"/>
        <v>#N/A</v>
      </c>
      <c r="AR100" s="152" t="e">
        <f t="shared" si="22"/>
        <v>#N/A</v>
      </c>
      <c r="AS100" s="152" t="e">
        <f t="shared" si="23"/>
        <v>#N/A</v>
      </c>
    </row>
    <row r="101" spans="8:45" ht="15.75" customHeight="1">
      <c r="H101" s="212">
        <v>94</v>
      </c>
      <c r="I101" s="205">
        <v>18034.27650905367</v>
      </c>
      <c r="J101" s="231">
        <v>2978.1432942171614</v>
      </c>
      <c r="K101" s="185">
        <v>0.67411266934763736</v>
      </c>
      <c r="L101" s="185">
        <v>0.23321634981294678</v>
      </c>
      <c r="M101" s="201">
        <v>9.2670980839415856E-2</v>
      </c>
      <c r="N101" s="185">
        <v>8.7261450206171487E-2</v>
      </c>
      <c r="O101" s="185">
        <v>0.33957995637857907</v>
      </c>
      <c r="P101" s="201">
        <v>0.57315859341524944</v>
      </c>
      <c r="Q101" s="205" t="e">
        <v>#N/A</v>
      </c>
      <c r="R101" s="231" t="e">
        <v>#N/A</v>
      </c>
      <c r="S101" s="185" t="e">
        <v>#N/A</v>
      </c>
      <c r="T101" s="185" t="e">
        <v>#N/A</v>
      </c>
      <c r="U101" s="201" t="e">
        <v>#N/A</v>
      </c>
      <c r="V101" s="185" t="e">
        <v>#N/A</v>
      </c>
      <c r="W101" s="185" t="e">
        <v>#N/A</v>
      </c>
      <c r="X101" s="201" t="e">
        <v>#N/A</v>
      </c>
      <c r="Y101" s="205" t="e">
        <v>#N/A</v>
      </c>
      <c r="Z101" s="231" t="e">
        <v>#N/A</v>
      </c>
      <c r="AA101" s="185" t="e">
        <v>#N/A</v>
      </c>
      <c r="AB101" s="185" t="e">
        <v>#N/A</v>
      </c>
      <c r="AC101" s="201" t="e">
        <v>#N/A</v>
      </c>
      <c r="AD101" s="185" t="e">
        <v>#N/A</v>
      </c>
      <c r="AE101" s="185" t="e">
        <v>#N/A</v>
      </c>
      <c r="AF101" s="201" t="e">
        <v>#N/A</v>
      </c>
      <c r="AH101" s="152">
        <f t="shared" si="12"/>
        <v>0.79072084425411071</v>
      </c>
      <c r="AI101" s="152">
        <f t="shared" si="13"/>
        <v>0.20197128351589011</v>
      </c>
      <c r="AJ101" s="152">
        <f t="shared" si="14"/>
        <v>0.25705142839546102</v>
      </c>
      <c r="AK101" s="152">
        <f t="shared" si="15"/>
        <v>0.29408486883986101</v>
      </c>
      <c r="AL101" s="152" t="e">
        <f t="shared" si="16"/>
        <v>#N/A</v>
      </c>
      <c r="AM101" s="152" t="e">
        <f t="shared" si="17"/>
        <v>#N/A</v>
      </c>
      <c r="AN101" s="152" t="e">
        <f t="shared" si="18"/>
        <v>#N/A</v>
      </c>
      <c r="AO101" s="152" t="e">
        <f t="shared" si="19"/>
        <v>#N/A</v>
      </c>
      <c r="AP101" s="152" t="e">
        <f t="shared" si="20"/>
        <v>#N/A</v>
      </c>
      <c r="AQ101" s="152" t="e">
        <f t="shared" si="21"/>
        <v>#N/A</v>
      </c>
      <c r="AR101" s="152" t="e">
        <f t="shared" si="22"/>
        <v>#N/A</v>
      </c>
      <c r="AS101" s="152" t="e">
        <f t="shared" si="23"/>
        <v>#N/A</v>
      </c>
    </row>
    <row r="102" spans="8:45" ht="15.75" customHeight="1">
      <c r="H102" s="212">
        <v>95</v>
      </c>
      <c r="I102" s="205">
        <v>18028.6555606859</v>
      </c>
      <c r="J102" s="231">
        <v>2972.5302151821156</v>
      </c>
      <c r="K102" s="185">
        <v>0.67870232803235087</v>
      </c>
      <c r="L102" s="185">
        <v>0.22802013072300165</v>
      </c>
      <c r="M102" s="201">
        <v>9.3277541244647488E-2</v>
      </c>
      <c r="N102" s="185">
        <v>8.7495723139271578E-2</v>
      </c>
      <c r="O102" s="185">
        <v>0.33261540214408664</v>
      </c>
      <c r="P102" s="201">
        <v>0.57988887471664174</v>
      </c>
      <c r="Q102" s="205" t="e">
        <v>#N/A</v>
      </c>
      <c r="R102" s="231" t="e">
        <v>#N/A</v>
      </c>
      <c r="S102" s="185" t="e">
        <v>#N/A</v>
      </c>
      <c r="T102" s="185" t="e">
        <v>#N/A</v>
      </c>
      <c r="U102" s="201" t="e">
        <v>#N/A</v>
      </c>
      <c r="V102" s="185" t="e">
        <v>#N/A</v>
      </c>
      <c r="W102" s="185" t="e">
        <v>#N/A</v>
      </c>
      <c r="X102" s="201" t="e">
        <v>#N/A</v>
      </c>
      <c r="Y102" s="205" t="e">
        <v>#N/A</v>
      </c>
      <c r="Z102" s="231" t="e">
        <v>#N/A</v>
      </c>
      <c r="AA102" s="185" t="e">
        <v>#N/A</v>
      </c>
      <c r="AB102" s="185" t="e">
        <v>#N/A</v>
      </c>
      <c r="AC102" s="201" t="e">
        <v>#N/A</v>
      </c>
      <c r="AD102" s="185" t="e">
        <v>#N/A</v>
      </c>
      <c r="AE102" s="185" t="e">
        <v>#N/A</v>
      </c>
      <c r="AF102" s="201" t="e">
        <v>#N/A</v>
      </c>
      <c r="AH102" s="152">
        <f t="shared" si="12"/>
        <v>0.79271239339385169</v>
      </c>
      <c r="AI102" s="152">
        <f t="shared" si="13"/>
        <v>0.19747122578036796</v>
      </c>
      <c r="AJ102" s="152">
        <f t="shared" si="14"/>
        <v>0.25380342421131491</v>
      </c>
      <c r="AK102" s="152">
        <f t="shared" si="15"/>
        <v>0.28805338794675606</v>
      </c>
      <c r="AL102" s="152" t="e">
        <f t="shared" si="16"/>
        <v>#N/A</v>
      </c>
      <c r="AM102" s="152" t="e">
        <f t="shared" si="17"/>
        <v>#N/A</v>
      </c>
      <c r="AN102" s="152" t="e">
        <f t="shared" si="18"/>
        <v>#N/A</v>
      </c>
      <c r="AO102" s="152" t="e">
        <f t="shared" si="19"/>
        <v>#N/A</v>
      </c>
      <c r="AP102" s="152" t="e">
        <f t="shared" si="20"/>
        <v>#N/A</v>
      </c>
      <c r="AQ102" s="152" t="e">
        <f t="shared" si="21"/>
        <v>#N/A</v>
      </c>
      <c r="AR102" s="152" t="e">
        <f t="shared" si="22"/>
        <v>#N/A</v>
      </c>
      <c r="AS102" s="152" t="e">
        <f t="shared" si="23"/>
        <v>#N/A</v>
      </c>
    </row>
    <row r="103" spans="8:45" ht="15.75" customHeight="1">
      <c r="H103" s="212">
        <v>96</v>
      </c>
      <c r="I103" s="205">
        <v>18022.892496849399</v>
      </c>
      <c r="J103" s="231">
        <v>2966.9698378001826</v>
      </c>
      <c r="K103" s="185">
        <v>0.6832850933924608</v>
      </c>
      <c r="L103" s="185">
        <v>0.22283479899668601</v>
      </c>
      <c r="M103" s="201">
        <v>9.3880107610853192E-2</v>
      </c>
      <c r="N103" s="185">
        <v>8.7728490601078027E-2</v>
      </c>
      <c r="O103" s="185">
        <v>0.32564100681960045</v>
      </c>
      <c r="P103" s="201">
        <v>0.58663050257932148</v>
      </c>
      <c r="Q103" s="205" t="e">
        <v>#N/A</v>
      </c>
      <c r="R103" s="231" t="e">
        <v>#N/A</v>
      </c>
      <c r="S103" s="185" t="e">
        <v>#N/A</v>
      </c>
      <c r="T103" s="185" t="e">
        <v>#N/A</v>
      </c>
      <c r="U103" s="201" t="e">
        <v>#N/A</v>
      </c>
      <c r="V103" s="185" t="e">
        <v>#N/A</v>
      </c>
      <c r="W103" s="185" t="e">
        <v>#N/A</v>
      </c>
      <c r="X103" s="201" t="e">
        <v>#N/A</v>
      </c>
      <c r="Y103" s="205" t="e">
        <v>#N/A</v>
      </c>
      <c r="Z103" s="231" t="e">
        <v>#N/A</v>
      </c>
      <c r="AA103" s="185" t="e">
        <v>#N/A</v>
      </c>
      <c r="AB103" s="185" t="e">
        <v>#N/A</v>
      </c>
      <c r="AC103" s="201" t="e">
        <v>#N/A</v>
      </c>
      <c r="AD103" s="185" t="e">
        <v>#N/A</v>
      </c>
      <c r="AE103" s="185" t="e">
        <v>#N/A</v>
      </c>
      <c r="AF103" s="201" t="e">
        <v>#N/A</v>
      </c>
      <c r="AH103" s="152">
        <f t="shared" si="12"/>
        <v>0.79470249289080375</v>
      </c>
      <c r="AI103" s="152">
        <f t="shared" si="13"/>
        <v>0.19298059677832921</v>
      </c>
      <c r="AJ103" s="152">
        <f t="shared" si="14"/>
        <v>0.25054899401087827</v>
      </c>
      <c r="AK103" s="152">
        <f t="shared" si="15"/>
        <v>0.28201338441971563</v>
      </c>
      <c r="AL103" s="152" t="e">
        <f t="shared" si="16"/>
        <v>#N/A</v>
      </c>
      <c r="AM103" s="152" t="e">
        <f t="shared" si="17"/>
        <v>#N/A</v>
      </c>
      <c r="AN103" s="152" t="e">
        <f t="shared" si="18"/>
        <v>#N/A</v>
      </c>
      <c r="AO103" s="152" t="e">
        <f t="shared" si="19"/>
        <v>#N/A</v>
      </c>
      <c r="AP103" s="152" t="e">
        <f t="shared" si="20"/>
        <v>#N/A</v>
      </c>
      <c r="AQ103" s="152" t="e">
        <f t="shared" si="21"/>
        <v>#N/A</v>
      </c>
      <c r="AR103" s="152" t="e">
        <f t="shared" si="22"/>
        <v>#N/A</v>
      </c>
      <c r="AS103" s="152" t="e">
        <f t="shared" si="23"/>
        <v>#N/A</v>
      </c>
    </row>
    <row r="104" spans="8:45" ht="15.75" customHeight="1">
      <c r="H104" s="212">
        <v>97</v>
      </c>
      <c r="I104" s="205">
        <v>18016.990317898551</v>
      </c>
      <c r="J104" s="231">
        <v>2961.4615091470032</v>
      </c>
      <c r="K104" s="185">
        <v>0.68786085257716645</v>
      </c>
      <c r="L104" s="185">
        <v>0.21766036793229451</v>
      </c>
      <c r="M104" s="201">
        <v>9.4478779490539039E-2</v>
      </c>
      <c r="N104" s="185">
        <v>8.795977044970138E-2</v>
      </c>
      <c r="O104" s="185">
        <v>0.31865677527900094</v>
      </c>
      <c r="P104" s="201">
        <v>0.59338345427129768</v>
      </c>
      <c r="Q104" s="205" t="e">
        <v>#N/A</v>
      </c>
      <c r="R104" s="231" t="e">
        <v>#N/A</v>
      </c>
      <c r="S104" s="185" t="e">
        <v>#N/A</v>
      </c>
      <c r="T104" s="185" t="e">
        <v>#N/A</v>
      </c>
      <c r="U104" s="201" t="e">
        <v>#N/A</v>
      </c>
      <c r="V104" s="185" t="e">
        <v>#N/A</v>
      </c>
      <c r="W104" s="185" t="e">
        <v>#N/A</v>
      </c>
      <c r="X104" s="201" t="e">
        <v>#N/A</v>
      </c>
      <c r="Y104" s="205" t="e">
        <v>#N/A</v>
      </c>
      <c r="Z104" s="231" t="e">
        <v>#N/A</v>
      </c>
      <c r="AA104" s="185" t="e">
        <v>#N/A</v>
      </c>
      <c r="AB104" s="185" t="e">
        <v>#N/A</v>
      </c>
      <c r="AC104" s="201" t="e">
        <v>#N/A</v>
      </c>
      <c r="AD104" s="185" t="e">
        <v>#N/A</v>
      </c>
      <c r="AE104" s="185" t="e">
        <v>#N/A</v>
      </c>
      <c r="AF104" s="201" t="e">
        <v>#N/A</v>
      </c>
      <c r="AH104" s="152">
        <f t="shared" si="12"/>
        <v>0.79669103654331375</v>
      </c>
      <c r="AI104" s="152">
        <f t="shared" si="13"/>
        <v>0.18849940802643483</v>
      </c>
      <c r="AJ104" s="152">
        <f t="shared" si="14"/>
        <v>0.24728815808920185</v>
      </c>
      <c r="AK104" s="152">
        <f t="shared" si="15"/>
        <v>0.27596486247964391</v>
      </c>
      <c r="AL104" s="152" t="e">
        <f t="shared" si="16"/>
        <v>#N/A</v>
      </c>
      <c r="AM104" s="152" t="e">
        <f t="shared" si="17"/>
        <v>#N/A</v>
      </c>
      <c r="AN104" s="152" t="e">
        <f t="shared" si="18"/>
        <v>#N/A</v>
      </c>
      <c r="AO104" s="152" t="e">
        <f t="shared" si="19"/>
        <v>#N/A</v>
      </c>
      <c r="AP104" s="152" t="e">
        <f t="shared" si="20"/>
        <v>#N/A</v>
      </c>
      <c r="AQ104" s="152" t="e">
        <f t="shared" si="21"/>
        <v>#N/A</v>
      </c>
      <c r="AR104" s="152" t="e">
        <f t="shared" si="22"/>
        <v>#N/A</v>
      </c>
      <c r="AS104" s="152" t="e">
        <f t="shared" si="23"/>
        <v>#N/A</v>
      </c>
    </row>
    <row r="105" spans="8:45" ht="15.75" customHeight="1">
      <c r="H105" s="212">
        <v>98</v>
      </c>
      <c r="I105" s="205">
        <v>18010.951976835458</v>
      </c>
      <c r="J105" s="231">
        <v>2956.0045897259747</v>
      </c>
      <c r="K105" s="185">
        <v>0.69242949327541592</v>
      </c>
      <c r="L105" s="185">
        <v>0.21249685098807858</v>
      </c>
      <c r="M105" s="201">
        <v>9.5073655736505502E-2</v>
      </c>
      <c r="N105" s="185">
        <v>8.8189580341929266E-2</v>
      </c>
      <c r="O105" s="185">
        <v>0.31166271241396692</v>
      </c>
      <c r="P105" s="201">
        <v>0.60014770724410382</v>
      </c>
      <c r="Q105" s="205" t="e">
        <v>#N/A</v>
      </c>
      <c r="R105" s="231" t="e">
        <v>#N/A</v>
      </c>
      <c r="S105" s="185" t="e">
        <v>#N/A</v>
      </c>
      <c r="T105" s="185" t="e">
        <v>#N/A</v>
      </c>
      <c r="U105" s="201" t="e">
        <v>#N/A</v>
      </c>
      <c r="V105" s="185" t="e">
        <v>#N/A</v>
      </c>
      <c r="W105" s="185" t="e">
        <v>#N/A</v>
      </c>
      <c r="X105" s="201" t="e">
        <v>#N/A</v>
      </c>
      <c r="Y105" s="205" t="e">
        <v>#N/A</v>
      </c>
      <c r="Z105" s="231" t="e">
        <v>#N/A</v>
      </c>
      <c r="AA105" s="185" t="e">
        <v>#N/A</v>
      </c>
      <c r="AB105" s="185" t="e">
        <v>#N/A</v>
      </c>
      <c r="AC105" s="201" t="e">
        <v>#N/A</v>
      </c>
      <c r="AD105" s="185" t="e">
        <v>#N/A</v>
      </c>
      <c r="AE105" s="185" t="e">
        <v>#N/A</v>
      </c>
      <c r="AF105" s="201" t="e">
        <v>#N/A</v>
      </c>
      <c r="AH105" s="152">
        <f t="shared" si="12"/>
        <v>0.79867791876945526</v>
      </c>
      <c r="AI105" s="152">
        <f t="shared" si="13"/>
        <v>0.18402767117987243</v>
      </c>
      <c r="AJ105" s="152">
        <f t="shared" si="14"/>
        <v>0.24402093654891271</v>
      </c>
      <c r="AK105" s="152">
        <f t="shared" si="15"/>
        <v>0.26990782636285909</v>
      </c>
      <c r="AL105" s="152" t="e">
        <f t="shared" si="16"/>
        <v>#N/A</v>
      </c>
      <c r="AM105" s="152" t="e">
        <f t="shared" si="17"/>
        <v>#N/A</v>
      </c>
      <c r="AN105" s="152" t="e">
        <f t="shared" si="18"/>
        <v>#N/A</v>
      </c>
      <c r="AO105" s="152" t="e">
        <f t="shared" si="19"/>
        <v>#N/A</v>
      </c>
      <c r="AP105" s="152" t="e">
        <f t="shared" si="20"/>
        <v>#N/A</v>
      </c>
      <c r="AQ105" s="152" t="e">
        <f t="shared" si="21"/>
        <v>#N/A</v>
      </c>
      <c r="AR105" s="152" t="e">
        <f t="shared" si="22"/>
        <v>#N/A</v>
      </c>
      <c r="AS105" s="152" t="e">
        <f t="shared" si="23"/>
        <v>#N/A</v>
      </c>
    </row>
    <row r="106" spans="8:45" ht="15.75" customHeight="1">
      <c r="H106" s="212">
        <v>99</v>
      </c>
      <c r="I106" s="205">
        <v>18004.780380179694</v>
      </c>
      <c r="J106" s="231">
        <v>2950.5984531866497</v>
      </c>
      <c r="K106" s="185">
        <v>0.69699090368623162</v>
      </c>
      <c r="L106" s="185">
        <v>0.2073442617819912</v>
      </c>
      <c r="M106" s="201">
        <v>9.5664834531777182E-2</v>
      </c>
      <c r="N106" s="185">
        <v>8.8417937749994471E-2</v>
      </c>
      <c r="O106" s="185">
        <v>0.3046588231364683</v>
      </c>
      <c r="P106" s="201">
        <v>0.60692323911353718</v>
      </c>
      <c r="Q106" s="205" t="e">
        <v>#N/A</v>
      </c>
      <c r="R106" s="231" t="e">
        <v>#N/A</v>
      </c>
      <c r="S106" s="185" t="e">
        <v>#N/A</v>
      </c>
      <c r="T106" s="185" t="e">
        <v>#N/A</v>
      </c>
      <c r="U106" s="201" t="e">
        <v>#N/A</v>
      </c>
      <c r="V106" s="185" t="e">
        <v>#N/A</v>
      </c>
      <c r="W106" s="185" t="e">
        <v>#N/A</v>
      </c>
      <c r="X106" s="201" t="e">
        <v>#N/A</v>
      </c>
      <c r="Y106" s="205" t="e">
        <v>#N/A</v>
      </c>
      <c r="Z106" s="231" t="e">
        <v>#N/A</v>
      </c>
      <c r="AA106" s="185" t="e">
        <v>#N/A</v>
      </c>
      <c r="AB106" s="185" t="e">
        <v>#N/A</v>
      </c>
      <c r="AC106" s="201" t="e">
        <v>#N/A</v>
      </c>
      <c r="AD106" s="185" t="e">
        <v>#N/A</v>
      </c>
      <c r="AE106" s="185" t="e">
        <v>#N/A</v>
      </c>
      <c r="AF106" s="201" t="e">
        <v>#N/A</v>
      </c>
      <c r="AH106" s="152">
        <f t="shared" si="12"/>
        <v>0.80066303457722721</v>
      </c>
      <c r="AI106" s="152">
        <f t="shared" si="13"/>
        <v>0.17956539803213525</v>
      </c>
      <c r="AJ106" s="152">
        <f t="shared" si="14"/>
        <v>0.24074734931822861</v>
      </c>
      <c r="AK106" s="152">
        <f t="shared" si="15"/>
        <v>0.26384228032325185</v>
      </c>
      <c r="AL106" s="152" t="e">
        <f t="shared" si="16"/>
        <v>#N/A</v>
      </c>
      <c r="AM106" s="152" t="e">
        <f t="shared" si="17"/>
        <v>#N/A</v>
      </c>
      <c r="AN106" s="152" t="e">
        <f t="shared" si="18"/>
        <v>#N/A</v>
      </c>
      <c r="AO106" s="152" t="e">
        <f t="shared" si="19"/>
        <v>#N/A</v>
      </c>
      <c r="AP106" s="152" t="e">
        <f t="shared" si="20"/>
        <v>#N/A</v>
      </c>
      <c r="AQ106" s="152" t="e">
        <f t="shared" si="21"/>
        <v>#N/A</v>
      </c>
      <c r="AR106" s="152" t="e">
        <f t="shared" si="22"/>
        <v>#N/A</v>
      </c>
      <c r="AS106" s="152" t="e">
        <f t="shared" si="23"/>
        <v>#N/A</v>
      </c>
    </row>
    <row r="107" spans="8:45" ht="15.75" customHeight="1">
      <c r="H107" s="212">
        <v>100</v>
      </c>
      <c r="I107" s="205">
        <v>17998.478388822332</v>
      </c>
      <c r="J107" s="231">
        <v>2945.2424860526976</v>
      </c>
      <c r="K107" s="185">
        <v>0.7015449724873708</v>
      </c>
      <c r="L107" s="185">
        <v>0.20220261409277054</v>
      </c>
      <c r="M107" s="201">
        <v>9.6252413419858657E-2</v>
      </c>
      <c r="N107" s="185">
        <v>8.8644859978854282E-2</v>
      </c>
      <c r="O107" s="185">
        <v>0.29764511238007219</v>
      </c>
      <c r="P107" s="201">
        <v>0.61371002764107352</v>
      </c>
      <c r="Q107" s="205" t="e">
        <v>#N/A</v>
      </c>
      <c r="R107" s="231" t="e">
        <v>#N/A</v>
      </c>
      <c r="S107" s="185" t="e">
        <v>#N/A</v>
      </c>
      <c r="T107" s="185" t="e">
        <v>#N/A</v>
      </c>
      <c r="U107" s="201" t="e">
        <v>#N/A</v>
      </c>
      <c r="V107" s="185" t="e">
        <v>#N/A</v>
      </c>
      <c r="W107" s="185" t="e">
        <v>#N/A</v>
      </c>
      <c r="X107" s="201" t="e">
        <v>#N/A</v>
      </c>
      <c r="Y107" s="205" t="e">
        <v>#N/A</v>
      </c>
      <c r="Z107" s="231" t="e">
        <v>#N/A</v>
      </c>
      <c r="AA107" s="185" t="e">
        <v>#N/A</v>
      </c>
      <c r="AB107" s="185" t="e">
        <v>#N/A</v>
      </c>
      <c r="AC107" s="201" t="e">
        <v>#N/A</v>
      </c>
      <c r="AD107" s="185" t="e">
        <v>#N/A</v>
      </c>
      <c r="AE107" s="185" t="e">
        <v>#N/A</v>
      </c>
      <c r="AF107" s="201" t="e">
        <v>#N/A</v>
      </c>
      <c r="AH107" s="152">
        <f t="shared" si="12"/>
        <v>0.80264627953375611</v>
      </c>
      <c r="AI107" s="152">
        <f t="shared" si="13"/>
        <v>0.17511260051596061</v>
      </c>
      <c r="AJ107" s="152">
        <f t="shared" si="14"/>
        <v>0.23746741616889039</v>
      </c>
      <c r="AK107" s="152">
        <f t="shared" si="15"/>
        <v>0.25776822863341664</v>
      </c>
      <c r="AL107" s="152" t="e">
        <f t="shared" si="16"/>
        <v>#N/A</v>
      </c>
      <c r="AM107" s="152" t="e">
        <f t="shared" si="17"/>
        <v>#N/A</v>
      </c>
      <c r="AN107" s="152" t="e">
        <f t="shared" si="18"/>
        <v>#N/A</v>
      </c>
      <c r="AO107" s="152" t="e">
        <f t="shared" si="19"/>
        <v>#N/A</v>
      </c>
      <c r="AP107" s="152" t="e">
        <f t="shared" si="20"/>
        <v>#N/A</v>
      </c>
      <c r="AQ107" s="152" t="e">
        <f t="shared" si="21"/>
        <v>#N/A</v>
      </c>
      <c r="AR107" s="152" t="e">
        <f t="shared" si="22"/>
        <v>#N/A</v>
      </c>
      <c r="AS107" s="152" t="e">
        <f t="shared" si="23"/>
        <v>#N/A</v>
      </c>
    </row>
    <row r="108" spans="8:45" ht="15.75" customHeight="1">
      <c r="H108" s="212">
        <v>101</v>
      </c>
      <c r="I108" s="205">
        <v>17992.048818865922</v>
      </c>
      <c r="J108" s="231">
        <v>2939.936087459203</v>
      </c>
      <c r="K108" s="185">
        <v>0.70609158880202605</v>
      </c>
      <c r="L108" s="185">
        <v>0.19707192186258993</v>
      </c>
      <c r="M108" s="201">
        <v>9.6836489335384024E-2</v>
      </c>
      <c r="N108" s="185">
        <v>8.8870364183990747E-2</v>
      </c>
      <c r="O108" s="185">
        <v>0.29062158509988378</v>
      </c>
      <c r="P108" s="201">
        <v>0.62050805071612547</v>
      </c>
      <c r="Q108" s="205" t="e">
        <v>#N/A</v>
      </c>
      <c r="R108" s="231" t="e">
        <v>#N/A</v>
      </c>
      <c r="S108" s="185" t="e">
        <v>#N/A</v>
      </c>
      <c r="T108" s="185" t="e">
        <v>#N/A</v>
      </c>
      <c r="U108" s="201" t="e">
        <v>#N/A</v>
      </c>
      <c r="V108" s="185" t="e">
        <v>#N/A</v>
      </c>
      <c r="W108" s="185" t="e">
        <v>#N/A</v>
      </c>
      <c r="X108" s="201" t="e">
        <v>#N/A</v>
      </c>
      <c r="Y108" s="205" t="e">
        <v>#N/A</v>
      </c>
      <c r="Z108" s="231" t="e">
        <v>#N/A</v>
      </c>
      <c r="AA108" s="185" t="e">
        <v>#N/A</v>
      </c>
      <c r="AB108" s="185" t="e">
        <v>#N/A</v>
      </c>
      <c r="AC108" s="201" t="e">
        <v>#N/A</v>
      </c>
      <c r="AD108" s="185" t="e">
        <v>#N/A</v>
      </c>
      <c r="AE108" s="185" t="e">
        <v>#N/A</v>
      </c>
      <c r="AF108" s="201" t="e">
        <v>#N/A</v>
      </c>
      <c r="AH108" s="152">
        <f t="shared" si="12"/>
        <v>0.80462754973332107</v>
      </c>
      <c r="AI108" s="152">
        <f t="shared" si="13"/>
        <v>0.17066929070562478</v>
      </c>
      <c r="AJ108" s="152">
        <f t="shared" si="14"/>
        <v>0.23418115673393264</v>
      </c>
      <c r="AK108" s="152">
        <f t="shared" si="15"/>
        <v>0.25168567558460042</v>
      </c>
      <c r="AL108" s="152" t="e">
        <f t="shared" si="16"/>
        <v>#N/A</v>
      </c>
      <c r="AM108" s="152" t="e">
        <f t="shared" si="17"/>
        <v>#N/A</v>
      </c>
      <c r="AN108" s="152" t="e">
        <f t="shared" si="18"/>
        <v>#N/A</v>
      </c>
      <c r="AO108" s="152" t="e">
        <f t="shared" si="19"/>
        <v>#N/A</v>
      </c>
      <c r="AP108" s="152" t="e">
        <f t="shared" si="20"/>
        <v>#N/A</v>
      </c>
      <c r="AQ108" s="152" t="e">
        <f t="shared" si="21"/>
        <v>#N/A</v>
      </c>
      <c r="AR108" s="152" t="e">
        <f t="shared" si="22"/>
        <v>#N/A</v>
      </c>
      <c r="AS108" s="152" t="e">
        <f t="shared" si="23"/>
        <v>#N/A</v>
      </c>
    </row>
    <row r="109" spans="8:45" ht="15.75" customHeight="1">
      <c r="H109" s="212">
        <v>102</v>
      </c>
      <c r="I109" s="205">
        <v>17985.494442450516</v>
      </c>
      <c r="J109" s="231">
        <v>2934.6786688995985</v>
      </c>
      <c r="K109" s="185">
        <v>0.71063064216354321</v>
      </c>
      <c r="L109" s="185">
        <v>0.19195219920136394</v>
      </c>
      <c r="M109" s="201">
        <v>9.7417158635092843E-2</v>
      </c>
      <c r="N109" s="185">
        <v>8.9094467389884163E-2</v>
      </c>
      <c r="O109" s="185">
        <v>0.28358824627101104</v>
      </c>
      <c r="P109" s="201">
        <v>0.62731728633910477</v>
      </c>
      <c r="Q109" s="205" t="e">
        <v>#N/A</v>
      </c>
      <c r="R109" s="231" t="e">
        <v>#N/A</v>
      </c>
      <c r="S109" s="185" t="e">
        <v>#N/A</v>
      </c>
      <c r="T109" s="185" t="e">
        <v>#N/A</v>
      </c>
      <c r="U109" s="201" t="e">
        <v>#N/A</v>
      </c>
      <c r="V109" s="185" t="e">
        <v>#N/A</v>
      </c>
      <c r="W109" s="185" t="e">
        <v>#N/A</v>
      </c>
      <c r="X109" s="201" t="e">
        <v>#N/A</v>
      </c>
      <c r="Y109" s="205" t="e">
        <v>#N/A</v>
      </c>
      <c r="Z109" s="231" t="e">
        <v>#N/A</v>
      </c>
      <c r="AA109" s="185" t="e">
        <v>#N/A</v>
      </c>
      <c r="AB109" s="185" t="e">
        <v>#N/A</v>
      </c>
      <c r="AC109" s="201" t="e">
        <v>#N/A</v>
      </c>
      <c r="AD109" s="185" t="e">
        <v>#N/A</v>
      </c>
      <c r="AE109" s="185" t="e">
        <v>#N/A</v>
      </c>
      <c r="AF109" s="201" t="e">
        <v>#N/A</v>
      </c>
      <c r="AH109" s="152">
        <f t="shared" si="12"/>
        <v>0.8066067417642252</v>
      </c>
      <c r="AI109" s="152">
        <f t="shared" si="13"/>
        <v>0.16623548082067219</v>
      </c>
      <c r="AJ109" s="152">
        <f t="shared" si="14"/>
        <v>0.23088859052538968</v>
      </c>
      <c r="AK109" s="152">
        <f t="shared" si="15"/>
        <v>0.24559462548537314</v>
      </c>
      <c r="AL109" s="152" t="e">
        <f t="shared" si="16"/>
        <v>#N/A</v>
      </c>
      <c r="AM109" s="152" t="e">
        <f t="shared" si="17"/>
        <v>#N/A</v>
      </c>
      <c r="AN109" s="152" t="e">
        <f t="shared" si="18"/>
        <v>#N/A</v>
      </c>
      <c r="AO109" s="152" t="e">
        <f t="shared" si="19"/>
        <v>#N/A</v>
      </c>
      <c r="AP109" s="152" t="e">
        <f t="shared" si="20"/>
        <v>#N/A</v>
      </c>
      <c r="AQ109" s="152" t="e">
        <f t="shared" si="21"/>
        <v>#N/A</v>
      </c>
      <c r="AR109" s="152" t="e">
        <f t="shared" si="22"/>
        <v>#N/A</v>
      </c>
      <c r="AS109" s="152" t="e">
        <f t="shared" si="23"/>
        <v>#N/A</v>
      </c>
    </row>
    <row r="110" spans="8:45" ht="15.75" customHeight="1">
      <c r="H110" s="212">
        <v>103</v>
      </c>
      <c r="I110" s="205">
        <v>17978.817988567363</v>
      </c>
      <c r="J110" s="231">
        <v>2929.4696539822266</v>
      </c>
      <c r="K110" s="185">
        <v>0.71516202247786431</v>
      </c>
      <c r="L110" s="185">
        <v>0.18684346039297298</v>
      </c>
      <c r="M110" s="201">
        <v>9.7994517129162712E-2</v>
      </c>
      <c r="N110" s="185">
        <v>8.9317186509220492E-2</v>
      </c>
      <c r="O110" s="185">
        <v>0.27654510088533624</v>
      </c>
      <c r="P110" s="201">
        <v>0.63413771260544327</v>
      </c>
      <c r="Q110" s="205" t="e">
        <v>#N/A</v>
      </c>
      <c r="R110" s="231" t="e">
        <v>#N/A</v>
      </c>
      <c r="S110" s="185" t="e">
        <v>#N/A</v>
      </c>
      <c r="T110" s="185" t="e">
        <v>#N/A</v>
      </c>
      <c r="U110" s="201" t="e">
        <v>#N/A</v>
      </c>
      <c r="V110" s="185" t="e">
        <v>#N/A</v>
      </c>
      <c r="W110" s="185" t="e">
        <v>#N/A</v>
      </c>
      <c r="X110" s="201" t="e">
        <v>#N/A</v>
      </c>
      <c r="Y110" s="205" t="e">
        <v>#N/A</v>
      </c>
      <c r="Z110" s="231" t="e">
        <v>#N/A</v>
      </c>
      <c r="AA110" s="185" t="e">
        <v>#N/A</v>
      </c>
      <c r="AB110" s="185" t="e">
        <v>#N/A</v>
      </c>
      <c r="AC110" s="201" t="e">
        <v>#N/A</v>
      </c>
      <c r="AD110" s="185" t="e">
        <v>#N/A</v>
      </c>
      <c r="AE110" s="185" t="e">
        <v>#N/A</v>
      </c>
      <c r="AF110" s="201" t="e">
        <v>#N/A</v>
      </c>
      <c r="AH110" s="152">
        <f t="shared" si="12"/>
        <v>0.80858375267435079</v>
      </c>
      <c r="AI110" s="152">
        <f t="shared" si="13"/>
        <v>0.16181118323130619</v>
      </c>
      <c r="AJ110" s="152">
        <f t="shared" si="14"/>
        <v>0.22758973695188861</v>
      </c>
      <c r="AK110" s="152">
        <f t="shared" si="15"/>
        <v>0.23949508265883163</v>
      </c>
      <c r="AL110" s="152" t="e">
        <f t="shared" si="16"/>
        <v>#N/A</v>
      </c>
      <c r="AM110" s="152" t="e">
        <f t="shared" si="17"/>
        <v>#N/A</v>
      </c>
      <c r="AN110" s="152" t="e">
        <f t="shared" si="18"/>
        <v>#N/A</v>
      </c>
      <c r="AO110" s="152" t="e">
        <f t="shared" si="19"/>
        <v>#N/A</v>
      </c>
      <c r="AP110" s="152" t="e">
        <f t="shared" si="20"/>
        <v>#N/A</v>
      </c>
      <c r="AQ110" s="152" t="e">
        <f t="shared" si="21"/>
        <v>#N/A</v>
      </c>
      <c r="AR110" s="152" t="e">
        <f t="shared" si="22"/>
        <v>#N/A</v>
      </c>
      <c r="AS110" s="152" t="e">
        <f t="shared" si="23"/>
        <v>#N/A</v>
      </c>
    </row>
    <row r="111" spans="8:45" ht="15.75" customHeight="1">
      <c r="H111" s="212">
        <v>104</v>
      </c>
      <c r="I111" s="205">
        <v>17972.022143860715</v>
      </c>
      <c r="J111" s="231">
        <v>2924.3084781969283</v>
      </c>
      <c r="K111" s="185">
        <v>0.71968561998365588</v>
      </c>
      <c r="L111" s="185">
        <v>0.1817457199035338</v>
      </c>
      <c r="M111" s="201">
        <v>9.8568660112810319E-2</v>
      </c>
      <c r="N111" s="185">
        <v>8.9538538363010733E-2</v>
      </c>
      <c r="O111" s="185">
        <v>0.26949215394645015</v>
      </c>
      <c r="P111" s="201">
        <v>0.64096930769053917</v>
      </c>
      <c r="Q111" s="205" t="e">
        <v>#N/A</v>
      </c>
      <c r="R111" s="231" t="e">
        <v>#N/A</v>
      </c>
      <c r="S111" s="185" t="e">
        <v>#N/A</v>
      </c>
      <c r="T111" s="185" t="e">
        <v>#N/A</v>
      </c>
      <c r="U111" s="201" t="e">
        <v>#N/A</v>
      </c>
      <c r="V111" s="185" t="e">
        <v>#N/A</v>
      </c>
      <c r="W111" s="185" t="e">
        <v>#N/A</v>
      </c>
      <c r="X111" s="201" t="e">
        <v>#N/A</v>
      </c>
      <c r="Y111" s="205" t="e">
        <v>#N/A</v>
      </c>
      <c r="Z111" s="231" t="e">
        <v>#N/A</v>
      </c>
      <c r="AA111" s="185" t="e">
        <v>#N/A</v>
      </c>
      <c r="AB111" s="185" t="e">
        <v>#N/A</v>
      </c>
      <c r="AC111" s="201" t="e">
        <v>#N/A</v>
      </c>
      <c r="AD111" s="185" t="e">
        <v>#N/A</v>
      </c>
      <c r="AE111" s="185" t="e">
        <v>#N/A</v>
      </c>
      <c r="AF111" s="201" t="e">
        <v>#N/A</v>
      </c>
      <c r="AH111" s="152">
        <f t="shared" si="12"/>
        <v>0.81055847993542274</v>
      </c>
      <c r="AI111" s="152">
        <f t="shared" si="13"/>
        <v>0.15739641046555133</v>
      </c>
      <c r="AJ111" s="152">
        <f t="shared" si="14"/>
        <v>0.22428461533623581</v>
      </c>
      <c r="AK111" s="152">
        <f t="shared" si="15"/>
        <v>0.23338705143821259</v>
      </c>
      <c r="AL111" s="152" t="e">
        <f t="shared" si="16"/>
        <v>#N/A</v>
      </c>
      <c r="AM111" s="152" t="e">
        <f t="shared" si="17"/>
        <v>#N/A</v>
      </c>
      <c r="AN111" s="152" t="e">
        <f t="shared" si="18"/>
        <v>#N/A</v>
      </c>
      <c r="AO111" s="152" t="e">
        <f t="shared" si="19"/>
        <v>#N/A</v>
      </c>
      <c r="AP111" s="152" t="e">
        <f t="shared" si="20"/>
        <v>#N/A</v>
      </c>
      <c r="AQ111" s="152" t="e">
        <f t="shared" si="21"/>
        <v>#N/A</v>
      </c>
      <c r="AR111" s="152" t="e">
        <f t="shared" si="22"/>
        <v>#N/A</v>
      </c>
      <c r="AS111" s="152" t="e">
        <f t="shared" si="23"/>
        <v>#N/A</v>
      </c>
    </row>
    <row r="112" spans="8:45" ht="15.75" customHeight="1">
      <c r="H112" s="212">
        <v>105</v>
      </c>
      <c r="I112" s="205">
        <v>17965.109553419003</v>
      </c>
      <c r="J112" s="231">
        <v>2919.1945886915514</v>
      </c>
      <c r="K112" s="185">
        <v>0.72420132520968206</v>
      </c>
      <c r="L112" s="185">
        <v>0.17665899239209712</v>
      </c>
      <c r="M112" s="201">
        <v>9.9139682398220824E-2</v>
      </c>
      <c r="N112" s="185">
        <v>8.9758539701636372E-2</v>
      </c>
      <c r="O112" s="185">
        <v>0.26242941046243867</v>
      </c>
      <c r="P112" s="201">
        <v>0.647812049835925</v>
      </c>
      <c r="Q112" s="205" t="e">
        <v>#N/A</v>
      </c>
      <c r="R112" s="231" t="e">
        <v>#N/A</v>
      </c>
      <c r="S112" s="185" t="e">
        <v>#N/A</v>
      </c>
      <c r="T112" s="185" t="e">
        <v>#N/A</v>
      </c>
      <c r="U112" s="201" t="e">
        <v>#N/A</v>
      </c>
      <c r="V112" s="185" t="e">
        <v>#N/A</v>
      </c>
      <c r="W112" s="185" t="e">
        <v>#N/A</v>
      </c>
      <c r="X112" s="201" t="e">
        <v>#N/A</v>
      </c>
      <c r="Y112" s="205" t="e">
        <v>#N/A</v>
      </c>
      <c r="Z112" s="231" t="e">
        <v>#N/A</v>
      </c>
      <c r="AA112" s="185" t="e">
        <v>#N/A</v>
      </c>
      <c r="AB112" s="185" t="e">
        <v>#N/A</v>
      </c>
      <c r="AC112" s="201" t="e">
        <v>#N/A</v>
      </c>
      <c r="AD112" s="185" t="e">
        <v>#N/A</v>
      </c>
      <c r="AE112" s="185" t="e">
        <v>#N/A</v>
      </c>
      <c r="AF112" s="201" t="e">
        <v>#N/A</v>
      </c>
      <c r="AH112" s="152">
        <f t="shared" si="12"/>
        <v>0.81253082140573063</v>
      </c>
      <c r="AI112" s="152">
        <f t="shared" si="13"/>
        <v>0.15299117521851796</v>
      </c>
      <c r="AJ112" s="152">
        <f t="shared" si="14"/>
        <v>0.22097324493285569</v>
      </c>
      <c r="AK112" s="152">
        <f t="shared" si="15"/>
        <v>0.22727053616064563</v>
      </c>
      <c r="AL112" s="152" t="e">
        <f t="shared" si="16"/>
        <v>#N/A</v>
      </c>
      <c r="AM112" s="152" t="e">
        <f t="shared" si="17"/>
        <v>#N/A</v>
      </c>
      <c r="AN112" s="152" t="e">
        <f t="shared" si="18"/>
        <v>#N/A</v>
      </c>
      <c r="AO112" s="152" t="e">
        <f t="shared" si="19"/>
        <v>#N/A</v>
      </c>
      <c r="AP112" s="152" t="e">
        <f t="shared" si="20"/>
        <v>#N/A</v>
      </c>
      <c r="AQ112" s="152" t="e">
        <f t="shared" si="21"/>
        <v>#N/A</v>
      </c>
      <c r="AR112" s="152" t="e">
        <f t="shared" si="22"/>
        <v>#N/A</v>
      </c>
      <c r="AS112" s="152" t="e">
        <f t="shared" si="23"/>
        <v>#N/A</v>
      </c>
    </row>
    <row r="113" spans="8:45" ht="15.75" customHeight="1">
      <c r="H113" s="212">
        <v>106</v>
      </c>
      <c r="I113" s="205">
        <v>17958.08282155636</v>
      </c>
      <c r="J113" s="231">
        <v>2914.1274440591301</v>
      </c>
      <c r="K113" s="185">
        <v>0.72870902892947054</v>
      </c>
      <c r="L113" s="185">
        <v>0.17158329272390424</v>
      </c>
      <c r="M113" s="201">
        <v>9.9707678346625223E-2</v>
      </c>
      <c r="N113" s="185">
        <v>8.9977207227091391E-2</v>
      </c>
      <c r="O113" s="185">
        <v>0.25535687543634955</v>
      </c>
      <c r="P113" s="201">
        <v>0.6546659173365591</v>
      </c>
      <c r="Q113" s="205" t="e">
        <v>#N/A</v>
      </c>
      <c r="R113" s="231" t="e">
        <v>#N/A</v>
      </c>
      <c r="S113" s="185" t="e">
        <v>#N/A</v>
      </c>
      <c r="T113" s="185" t="e">
        <v>#N/A</v>
      </c>
      <c r="U113" s="201" t="e">
        <v>#N/A</v>
      </c>
      <c r="V113" s="185" t="e">
        <v>#N/A</v>
      </c>
      <c r="W113" s="185" t="e">
        <v>#N/A</v>
      </c>
      <c r="X113" s="201" t="e">
        <v>#N/A</v>
      </c>
      <c r="Y113" s="205" t="e">
        <v>#N/A</v>
      </c>
      <c r="Z113" s="231" t="e">
        <v>#N/A</v>
      </c>
      <c r="AA113" s="185" t="e">
        <v>#N/A</v>
      </c>
      <c r="AB113" s="185" t="e">
        <v>#N/A</v>
      </c>
      <c r="AC113" s="201" t="e">
        <v>#N/A</v>
      </c>
      <c r="AD113" s="185" t="e">
        <v>#N/A</v>
      </c>
      <c r="AE113" s="185" t="e">
        <v>#N/A</v>
      </c>
      <c r="AF113" s="201" t="e">
        <v>#N/A</v>
      </c>
      <c r="AH113" s="152">
        <f t="shared" si="12"/>
        <v>0.81450067529142267</v>
      </c>
      <c r="AI113" s="152">
        <f t="shared" si="13"/>
        <v>0.1485954903638827</v>
      </c>
      <c r="AJ113" s="152">
        <f t="shared" si="14"/>
        <v>0.21765564494526618</v>
      </c>
      <c r="AK113" s="152">
        <f t="shared" si="15"/>
        <v>0.2211455411588972</v>
      </c>
      <c r="AL113" s="152" t="e">
        <f t="shared" si="16"/>
        <v>#N/A</v>
      </c>
      <c r="AM113" s="152" t="e">
        <f t="shared" si="17"/>
        <v>#N/A</v>
      </c>
      <c r="AN113" s="152" t="e">
        <f t="shared" si="18"/>
        <v>#N/A</v>
      </c>
      <c r="AO113" s="152" t="e">
        <f t="shared" si="19"/>
        <v>#N/A</v>
      </c>
      <c r="AP113" s="152" t="e">
        <f t="shared" si="20"/>
        <v>#N/A</v>
      </c>
      <c r="AQ113" s="152" t="e">
        <f t="shared" si="21"/>
        <v>#N/A</v>
      </c>
      <c r="AR113" s="152" t="e">
        <f t="shared" si="22"/>
        <v>#N/A</v>
      </c>
      <c r="AS113" s="152" t="e">
        <f t="shared" si="23"/>
        <v>#N/A</v>
      </c>
    </row>
    <row r="114" spans="8:45" ht="15.75" customHeight="1">
      <c r="H114" s="212">
        <v>107</v>
      </c>
      <c r="I114" s="205">
        <v>17950.944512585833</v>
      </c>
      <c r="J114" s="231">
        <v>2909.1065141359391</v>
      </c>
      <c r="K114" s="185">
        <v>0.73320862211294202</v>
      </c>
      <c r="L114" s="185">
        <v>0.16651863598658978</v>
      </c>
      <c r="M114" s="201">
        <v>0.1002727419004682</v>
      </c>
      <c r="N114" s="185">
        <v>9.0194557616522786E-2</v>
      </c>
      <c r="O114" s="185">
        <v>0.24827455385399735</v>
      </c>
      <c r="P114" s="201">
        <v>0.66153088852947983</v>
      </c>
      <c r="Q114" s="205" t="e">
        <v>#N/A</v>
      </c>
      <c r="R114" s="231" t="e">
        <v>#N/A</v>
      </c>
      <c r="S114" s="185" t="e">
        <v>#N/A</v>
      </c>
      <c r="T114" s="185" t="e">
        <v>#N/A</v>
      </c>
      <c r="U114" s="201" t="e">
        <v>#N/A</v>
      </c>
      <c r="V114" s="185" t="e">
        <v>#N/A</v>
      </c>
      <c r="W114" s="185" t="e">
        <v>#N/A</v>
      </c>
      <c r="X114" s="201" t="e">
        <v>#N/A</v>
      </c>
      <c r="Y114" s="205" t="e">
        <v>#N/A</v>
      </c>
      <c r="Z114" s="231" t="e">
        <v>#N/A</v>
      </c>
      <c r="AA114" s="185" t="e">
        <v>#N/A</v>
      </c>
      <c r="AB114" s="185" t="e">
        <v>#N/A</v>
      </c>
      <c r="AC114" s="201" t="e">
        <v>#N/A</v>
      </c>
      <c r="AD114" s="185" t="e">
        <v>#N/A</v>
      </c>
      <c r="AE114" s="185" t="e">
        <v>#N/A</v>
      </c>
      <c r="AF114" s="201" t="e">
        <v>#N/A</v>
      </c>
      <c r="AH114" s="152">
        <f t="shared" si="12"/>
        <v>0.81646794010623691</v>
      </c>
      <c r="AI114" s="152">
        <f t="shared" si="13"/>
        <v>0.14420936896792036</v>
      </c>
      <c r="AJ114" s="152">
        <f t="shared" si="14"/>
        <v>0.21433183454352145</v>
      </c>
      <c r="AK114" s="152">
        <f t="shared" si="15"/>
        <v>0.21501207075080941</v>
      </c>
      <c r="AL114" s="152" t="e">
        <f t="shared" si="16"/>
        <v>#N/A</v>
      </c>
      <c r="AM114" s="152" t="e">
        <f t="shared" si="17"/>
        <v>#N/A</v>
      </c>
      <c r="AN114" s="152" t="e">
        <f t="shared" si="18"/>
        <v>#N/A</v>
      </c>
      <c r="AO114" s="152" t="e">
        <f t="shared" si="19"/>
        <v>#N/A</v>
      </c>
      <c r="AP114" s="152" t="e">
        <f t="shared" si="20"/>
        <v>#N/A</v>
      </c>
      <c r="AQ114" s="152" t="e">
        <f t="shared" si="21"/>
        <v>#N/A</v>
      </c>
      <c r="AR114" s="152" t="e">
        <f t="shared" si="22"/>
        <v>#N/A</v>
      </c>
      <c r="AS114" s="152" t="e">
        <f t="shared" si="23"/>
        <v>#N/A</v>
      </c>
    </row>
    <row r="115" spans="8:45" ht="15.75" customHeight="1">
      <c r="H115" s="212">
        <v>108</v>
      </c>
      <c r="I115" s="205">
        <v>17943.697151584976</v>
      </c>
      <c r="J115" s="231">
        <v>2904.1312798109602</v>
      </c>
      <c r="K115" s="185">
        <v>0.73769999587473989</v>
      </c>
      <c r="L115" s="185">
        <v>0.161465037509683</v>
      </c>
      <c r="M115" s="201">
        <v>0.10083496661557712</v>
      </c>
      <c r="N115" s="185">
        <v>9.0410607547241006E-2</v>
      </c>
      <c r="O115" s="185">
        <v>0.24118245066877389</v>
      </c>
      <c r="P115" s="201">
        <v>0.66840694178398508</v>
      </c>
      <c r="Q115" s="205" t="e">
        <v>#N/A</v>
      </c>
      <c r="R115" s="231" t="e">
        <v>#N/A</v>
      </c>
      <c r="S115" s="185" t="e">
        <v>#N/A</v>
      </c>
      <c r="T115" s="185" t="e">
        <v>#N/A</v>
      </c>
      <c r="U115" s="201" t="e">
        <v>#N/A</v>
      </c>
      <c r="V115" s="185" t="e">
        <v>#N/A</v>
      </c>
      <c r="W115" s="185" t="e">
        <v>#N/A</v>
      </c>
      <c r="X115" s="201" t="e">
        <v>#N/A</v>
      </c>
      <c r="Y115" s="205" t="e">
        <v>#N/A</v>
      </c>
      <c r="Z115" s="231" t="e">
        <v>#N/A</v>
      </c>
      <c r="AA115" s="185" t="e">
        <v>#N/A</v>
      </c>
      <c r="AB115" s="185" t="e">
        <v>#N/A</v>
      </c>
      <c r="AC115" s="201" t="e">
        <v>#N/A</v>
      </c>
      <c r="AD115" s="185" t="e">
        <v>#N/A</v>
      </c>
      <c r="AE115" s="185" t="e">
        <v>#N/A</v>
      </c>
      <c r="AF115" s="201" t="e">
        <v>#N/A</v>
      </c>
      <c r="AH115" s="152">
        <f t="shared" si="12"/>
        <v>0.81843251462958144</v>
      </c>
      <c r="AI115" s="152">
        <f t="shared" si="13"/>
        <v>0.13983282430639274</v>
      </c>
      <c r="AJ115" s="152">
        <f t="shared" si="14"/>
        <v>0.21100183288162794</v>
      </c>
      <c r="AK115" s="152">
        <f t="shared" si="15"/>
        <v>0.20887012922614534</v>
      </c>
      <c r="AL115" s="152" t="e">
        <f t="shared" si="16"/>
        <v>#N/A</v>
      </c>
      <c r="AM115" s="152" t="e">
        <f t="shared" si="17"/>
        <v>#N/A</v>
      </c>
      <c r="AN115" s="152" t="e">
        <f t="shared" si="18"/>
        <v>#N/A</v>
      </c>
      <c r="AO115" s="152" t="e">
        <f t="shared" si="19"/>
        <v>#N/A</v>
      </c>
      <c r="AP115" s="152" t="e">
        <f t="shared" si="20"/>
        <v>#N/A</v>
      </c>
      <c r="AQ115" s="152" t="e">
        <f t="shared" si="21"/>
        <v>#N/A</v>
      </c>
      <c r="AR115" s="152" t="e">
        <f t="shared" si="22"/>
        <v>#N/A</v>
      </c>
      <c r="AS115" s="152" t="e">
        <f t="shared" si="23"/>
        <v>#N/A</v>
      </c>
    </row>
    <row r="116" spans="8:45" ht="15.75" customHeight="1">
      <c r="H116" s="212">
        <v>109</v>
      </c>
      <c r="I116" s="205">
        <v>17936.34322515587</v>
      </c>
      <c r="J116" s="231">
        <v>2899.2012328474952</v>
      </c>
      <c r="K116" s="185">
        <v>0.74218304141914515</v>
      </c>
      <c r="L116" s="185">
        <v>0.15642251288777048</v>
      </c>
      <c r="M116" s="201">
        <v>0.10139444569308437</v>
      </c>
      <c r="N116" s="185">
        <v>9.0625373723460412E-2</v>
      </c>
      <c r="O116" s="185">
        <v>0.23408057078309677</v>
      </c>
      <c r="P116" s="201">
        <v>0.6752940554934429</v>
      </c>
      <c r="Q116" s="205" t="e">
        <v>#N/A</v>
      </c>
      <c r="R116" s="231" t="e">
        <v>#N/A</v>
      </c>
      <c r="S116" s="185" t="e">
        <v>#N/A</v>
      </c>
      <c r="T116" s="185" t="e">
        <v>#N/A</v>
      </c>
      <c r="U116" s="201" t="e">
        <v>#N/A</v>
      </c>
      <c r="V116" s="185" t="e">
        <v>#N/A</v>
      </c>
      <c r="W116" s="185" t="e">
        <v>#N/A</v>
      </c>
      <c r="X116" s="201" t="e">
        <v>#N/A</v>
      </c>
      <c r="Y116" s="205" t="e">
        <v>#N/A</v>
      </c>
      <c r="Z116" s="231" t="e">
        <v>#N/A</v>
      </c>
      <c r="AA116" s="185" t="e">
        <v>#N/A</v>
      </c>
      <c r="AB116" s="185" t="e">
        <v>#N/A</v>
      </c>
      <c r="AC116" s="201" t="e">
        <v>#N/A</v>
      </c>
      <c r="AD116" s="185" t="e">
        <v>#N/A</v>
      </c>
      <c r="AE116" s="185" t="e">
        <v>#N/A</v>
      </c>
      <c r="AF116" s="201" t="e">
        <v>#N/A</v>
      </c>
      <c r="AH116" s="152">
        <f t="shared" si="12"/>
        <v>0.82039429786303042</v>
      </c>
      <c r="AI116" s="152">
        <f t="shared" si="13"/>
        <v>0.13546586988460799</v>
      </c>
      <c r="AJ116" s="152">
        <f t="shared" si="14"/>
        <v>0.20766565911500878</v>
      </c>
      <c r="AK116" s="152">
        <f t="shared" si="15"/>
        <v>0.20271972083052325</v>
      </c>
      <c r="AL116" s="152" t="e">
        <f t="shared" si="16"/>
        <v>#N/A</v>
      </c>
      <c r="AM116" s="152" t="e">
        <f t="shared" si="17"/>
        <v>#N/A</v>
      </c>
      <c r="AN116" s="152" t="e">
        <f t="shared" si="18"/>
        <v>#N/A</v>
      </c>
      <c r="AO116" s="152" t="e">
        <f t="shared" si="19"/>
        <v>#N/A</v>
      </c>
      <c r="AP116" s="152" t="e">
        <f t="shared" si="20"/>
        <v>#N/A</v>
      </c>
      <c r="AQ116" s="152" t="e">
        <f t="shared" si="21"/>
        <v>#N/A</v>
      </c>
      <c r="AR116" s="152" t="e">
        <f t="shared" si="22"/>
        <v>#N/A</v>
      </c>
      <c r="AS116" s="152" t="e">
        <f t="shared" si="23"/>
        <v>#N/A</v>
      </c>
    </row>
    <row r="117" spans="8:45" ht="15.75" customHeight="1">
      <c r="H117" s="212">
        <v>110</v>
      </c>
      <c r="I117" s="205">
        <v>17928.885182179871</v>
      </c>
      <c r="J117" s="231">
        <v>2894.3158757176184</v>
      </c>
      <c r="K117" s="185">
        <v>0.74665764998120632</v>
      </c>
      <c r="L117" s="185">
        <v>0.15139107800783028</v>
      </c>
      <c r="M117" s="201">
        <v>0.10195127201096341</v>
      </c>
      <c r="N117" s="185">
        <v>9.0838872904944426E-2</v>
      </c>
      <c r="O117" s="185">
        <v>0.22696891902601901</v>
      </c>
      <c r="P117" s="201">
        <v>0.68219220806903658</v>
      </c>
      <c r="Q117" s="205" t="e">
        <v>#N/A</v>
      </c>
      <c r="R117" s="231" t="e">
        <v>#N/A</v>
      </c>
      <c r="S117" s="185" t="e">
        <v>#N/A</v>
      </c>
      <c r="T117" s="185" t="e">
        <v>#N/A</v>
      </c>
      <c r="U117" s="201" t="e">
        <v>#N/A</v>
      </c>
      <c r="V117" s="185" t="e">
        <v>#N/A</v>
      </c>
      <c r="W117" s="185" t="e">
        <v>#N/A</v>
      </c>
      <c r="X117" s="201" t="e">
        <v>#N/A</v>
      </c>
      <c r="Y117" s="205" t="e">
        <v>#N/A</v>
      </c>
      <c r="Z117" s="231" t="e">
        <v>#N/A</v>
      </c>
      <c r="AA117" s="185" t="e">
        <v>#N/A</v>
      </c>
      <c r="AB117" s="185" t="e">
        <v>#N/A</v>
      </c>
      <c r="AC117" s="201" t="e">
        <v>#N/A</v>
      </c>
      <c r="AD117" s="185" t="e">
        <v>#N/A</v>
      </c>
      <c r="AE117" s="185" t="e">
        <v>#N/A</v>
      </c>
      <c r="AF117" s="201" t="e">
        <v>#N/A</v>
      </c>
      <c r="AH117" s="152">
        <f t="shared" si="12"/>
        <v>0.82235318898512144</v>
      </c>
      <c r="AI117" s="152">
        <f t="shared" si="13"/>
        <v>0.13110851946109267</v>
      </c>
      <c r="AJ117" s="152">
        <f t="shared" si="14"/>
        <v>0.20432333241795392</v>
      </c>
      <c r="AK117" s="152">
        <f t="shared" si="15"/>
        <v>0.19656084974602567</v>
      </c>
      <c r="AL117" s="152" t="e">
        <f t="shared" si="16"/>
        <v>#N/A</v>
      </c>
      <c r="AM117" s="152" t="e">
        <f t="shared" si="17"/>
        <v>#N/A</v>
      </c>
      <c r="AN117" s="152" t="e">
        <f t="shared" si="18"/>
        <v>#N/A</v>
      </c>
      <c r="AO117" s="152" t="e">
        <f t="shared" si="19"/>
        <v>#N/A</v>
      </c>
      <c r="AP117" s="152" t="e">
        <f t="shared" si="20"/>
        <v>#N/A</v>
      </c>
      <c r="AQ117" s="152" t="e">
        <f t="shared" si="21"/>
        <v>#N/A</v>
      </c>
      <c r="AR117" s="152" t="e">
        <f t="shared" si="22"/>
        <v>#N/A</v>
      </c>
      <c r="AS117" s="152" t="e">
        <f t="shared" si="23"/>
        <v>#N/A</v>
      </c>
    </row>
    <row r="118" spans="8:45" ht="15.75" customHeight="1">
      <c r="H118" s="212">
        <v>111</v>
      </c>
      <c r="I118" s="205">
        <v>17921.325434569786</v>
      </c>
      <c r="J118" s="231">
        <v>2889.474721450666</v>
      </c>
      <c r="K118" s="185">
        <v>0.75112371276409629</v>
      </c>
      <c r="L118" s="185">
        <v>0.14637074908115244</v>
      </c>
      <c r="M118" s="201">
        <v>0.10250553815475127</v>
      </c>
      <c r="N118" s="185">
        <v>9.1051121937918408E-2</v>
      </c>
      <c r="O118" s="185">
        <v>0.21984750012655785</v>
      </c>
      <c r="P118" s="201">
        <v>0.68910137793552373</v>
      </c>
      <c r="Q118" s="205" t="e">
        <v>#N/A</v>
      </c>
      <c r="R118" s="231" t="e">
        <v>#N/A</v>
      </c>
      <c r="S118" s="185" t="e">
        <v>#N/A</v>
      </c>
      <c r="T118" s="185" t="e">
        <v>#N/A</v>
      </c>
      <c r="U118" s="201" t="e">
        <v>#N/A</v>
      </c>
      <c r="V118" s="185" t="e">
        <v>#N/A</v>
      </c>
      <c r="W118" s="185" t="e">
        <v>#N/A</v>
      </c>
      <c r="X118" s="201" t="e">
        <v>#N/A</v>
      </c>
      <c r="Y118" s="205" t="e">
        <v>#N/A</v>
      </c>
      <c r="Z118" s="231" t="e">
        <v>#N/A</v>
      </c>
      <c r="AA118" s="185" t="e">
        <v>#N/A</v>
      </c>
      <c r="AB118" s="185" t="e">
        <v>#N/A</v>
      </c>
      <c r="AC118" s="201" t="e">
        <v>#N/A</v>
      </c>
      <c r="AD118" s="185" t="e">
        <v>#N/A</v>
      </c>
      <c r="AE118" s="185" t="e">
        <v>#N/A</v>
      </c>
      <c r="AF118" s="201" t="e">
        <v>#N/A</v>
      </c>
      <c r="AH118" s="152">
        <f t="shared" si="12"/>
        <v>0.82430908730467256</v>
      </c>
      <c r="AI118" s="152">
        <f t="shared" si="13"/>
        <v>0.12676078707523578</v>
      </c>
      <c r="AJ118" s="152">
        <f t="shared" si="14"/>
        <v>0.20097487200119735</v>
      </c>
      <c r="AK118" s="152">
        <f t="shared" si="15"/>
        <v>0.19039352006810167</v>
      </c>
      <c r="AL118" s="152" t="e">
        <f t="shared" si="16"/>
        <v>#N/A</v>
      </c>
      <c r="AM118" s="152" t="e">
        <f t="shared" si="17"/>
        <v>#N/A</v>
      </c>
      <c r="AN118" s="152" t="e">
        <f t="shared" si="18"/>
        <v>#N/A</v>
      </c>
      <c r="AO118" s="152" t="e">
        <f t="shared" si="19"/>
        <v>#N/A</v>
      </c>
      <c r="AP118" s="152" t="e">
        <f t="shared" si="20"/>
        <v>#N/A</v>
      </c>
      <c r="AQ118" s="152" t="e">
        <f t="shared" si="21"/>
        <v>#N/A</v>
      </c>
      <c r="AR118" s="152" t="e">
        <f t="shared" si="22"/>
        <v>#N/A</v>
      </c>
      <c r="AS118" s="152" t="e">
        <f t="shared" si="23"/>
        <v>#N/A</v>
      </c>
    </row>
    <row r="119" spans="8:45" ht="15.75" customHeight="1">
      <c r="H119" s="212">
        <v>112</v>
      </c>
      <c r="I119" s="205">
        <v>17913.666358020197</v>
      </c>
      <c r="J119" s="231">
        <v>2884.6772934964683</v>
      </c>
      <c r="K119" s="185">
        <v>0.75558112087210361</v>
      </c>
      <c r="L119" s="185">
        <v>0.14136154268059428</v>
      </c>
      <c r="M119" s="201">
        <v>0.10305733644730211</v>
      </c>
      <c r="N119" s="185">
        <v>9.1262137788402697E-2</v>
      </c>
      <c r="O119" s="185">
        <v>0.21271631868205057</v>
      </c>
      <c r="P119" s="201">
        <v>0.69602154352954682</v>
      </c>
      <c r="Q119" s="205" t="e">
        <v>#N/A</v>
      </c>
      <c r="R119" s="231" t="e">
        <v>#N/A</v>
      </c>
      <c r="S119" s="185" t="e">
        <v>#N/A</v>
      </c>
      <c r="T119" s="185" t="e">
        <v>#N/A</v>
      </c>
      <c r="U119" s="201" t="e">
        <v>#N/A</v>
      </c>
      <c r="V119" s="185" t="e">
        <v>#N/A</v>
      </c>
      <c r="W119" s="185" t="e">
        <v>#N/A</v>
      </c>
      <c r="X119" s="201" t="e">
        <v>#N/A</v>
      </c>
      <c r="Y119" s="205" t="e">
        <v>#N/A</v>
      </c>
      <c r="Z119" s="231" t="e">
        <v>#N/A</v>
      </c>
      <c r="AA119" s="185" t="e">
        <v>#N/A</v>
      </c>
      <c r="AB119" s="185" t="e">
        <v>#N/A</v>
      </c>
      <c r="AC119" s="201" t="e">
        <v>#N/A</v>
      </c>
      <c r="AD119" s="185" t="e">
        <v>#N/A</v>
      </c>
      <c r="AE119" s="185" t="e">
        <v>#N/A</v>
      </c>
      <c r="AF119" s="201" t="e">
        <v>#N/A</v>
      </c>
      <c r="AH119" s="152">
        <f t="shared" si="12"/>
        <v>0.82626189221240076</v>
      </c>
      <c r="AI119" s="152">
        <f t="shared" si="13"/>
        <v>0.12242268707955281</v>
      </c>
      <c r="AJ119" s="152">
        <f t="shared" si="14"/>
        <v>0.19762029712942797</v>
      </c>
      <c r="AK119" s="152">
        <f t="shared" si="15"/>
        <v>0.18421773577816217</v>
      </c>
      <c r="AL119" s="152" t="e">
        <f t="shared" si="16"/>
        <v>#N/A</v>
      </c>
      <c r="AM119" s="152" t="e">
        <f t="shared" si="17"/>
        <v>#N/A</v>
      </c>
      <c r="AN119" s="152" t="e">
        <f t="shared" si="18"/>
        <v>#N/A</v>
      </c>
      <c r="AO119" s="152" t="e">
        <f t="shared" si="19"/>
        <v>#N/A</v>
      </c>
      <c r="AP119" s="152" t="e">
        <f t="shared" si="20"/>
        <v>#N/A</v>
      </c>
      <c r="AQ119" s="152" t="e">
        <f t="shared" si="21"/>
        <v>#N/A</v>
      </c>
      <c r="AR119" s="152" t="e">
        <f t="shared" si="22"/>
        <v>#N/A</v>
      </c>
      <c r="AS119" s="152" t="e">
        <f t="shared" si="23"/>
        <v>#N/A</v>
      </c>
    </row>
    <row r="120" spans="8:45" ht="15.75" customHeight="1">
      <c r="H120" s="212">
        <v>113</v>
      </c>
      <c r="I120" s="205">
        <v>17905.910292757908</v>
      </c>
      <c r="J120" s="231">
        <v>2879.9231256052853</v>
      </c>
      <c r="K120" s="185">
        <v>0.76002976523945576</v>
      </c>
      <c r="L120" s="185">
        <v>0.13636347578367666</v>
      </c>
      <c r="M120" s="201">
        <v>0.10360675897686758</v>
      </c>
      <c r="N120" s="185">
        <v>9.1471937578471579E-2</v>
      </c>
      <c r="O120" s="185">
        <v>0.20557537912097598</v>
      </c>
      <c r="P120" s="201">
        <v>0.70295268330055238</v>
      </c>
      <c r="Q120" s="205" t="e">
        <v>#N/A</v>
      </c>
      <c r="R120" s="231" t="e">
        <v>#N/A</v>
      </c>
      <c r="S120" s="185" t="e">
        <v>#N/A</v>
      </c>
      <c r="T120" s="185" t="e">
        <v>#N/A</v>
      </c>
      <c r="U120" s="201" t="e">
        <v>#N/A</v>
      </c>
      <c r="V120" s="185" t="e">
        <v>#N/A</v>
      </c>
      <c r="W120" s="185" t="e">
        <v>#N/A</v>
      </c>
      <c r="X120" s="201" t="e">
        <v>#N/A</v>
      </c>
      <c r="Y120" s="205" t="e">
        <v>#N/A</v>
      </c>
      <c r="Z120" s="231" t="e">
        <v>#N/A</v>
      </c>
      <c r="AA120" s="185" t="e">
        <v>#N/A</v>
      </c>
      <c r="AB120" s="185" t="e">
        <v>#N/A</v>
      </c>
      <c r="AC120" s="201" t="e">
        <v>#N/A</v>
      </c>
      <c r="AD120" s="185" t="e">
        <v>#N/A</v>
      </c>
      <c r="AE120" s="185" t="e">
        <v>#N/A</v>
      </c>
      <c r="AF120" s="201" t="e">
        <v>#N/A</v>
      </c>
      <c r="AH120" s="152">
        <f t="shared" si="12"/>
        <v>0.8282115031312941</v>
      </c>
      <c r="AI120" s="152">
        <f t="shared" si="13"/>
        <v>0.11809423417700809</v>
      </c>
      <c r="AJ120" s="152">
        <f t="shared" si="14"/>
        <v>0.19425962713895956</v>
      </c>
      <c r="AK120" s="152">
        <f t="shared" si="15"/>
        <v>0.17803350071138227</v>
      </c>
      <c r="AL120" s="152" t="e">
        <f t="shared" si="16"/>
        <v>#N/A</v>
      </c>
      <c r="AM120" s="152" t="e">
        <f t="shared" si="17"/>
        <v>#N/A</v>
      </c>
      <c r="AN120" s="152" t="e">
        <f t="shared" si="18"/>
        <v>#N/A</v>
      </c>
      <c r="AO120" s="152" t="e">
        <f t="shared" si="19"/>
        <v>#N/A</v>
      </c>
      <c r="AP120" s="152" t="e">
        <f t="shared" si="20"/>
        <v>#N/A</v>
      </c>
      <c r="AQ120" s="152" t="e">
        <f t="shared" si="21"/>
        <v>#N/A</v>
      </c>
      <c r="AR120" s="152" t="e">
        <f t="shared" si="22"/>
        <v>#N/A</v>
      </c>
      <c r="AS120" s="152" t="e">
        <f t="shared" si="23"/>
        <v>#N/A</v>
      </c>
    </row>
    <row r="121" spans="8:45" ht="15.75" customHeight="1">
      <c r="H121" s="212">
        <v>114</v>
      </c>
      <c r="I121" s="205">
        <v>17898.059544294414</v>
      </c>
      <c r="J121" s="231">
        <v>2875.2117617254403</v>
      </c>
      <c r="K121" s="185">
        <v>0.76446953655433658</v>
      </c>
      <c r="L121" s="185">
        <v>0.13137656582247195</v>
      </c>
      <c r="M121" s="201">
        <v>0.10415389762319147</v>
      </c>
      <c r="N121" s="185">
        <v>9.1680538625617397E-2</v>
      </c>
      <c r="O121" s="185">
        <v>0.19842468565933707</v>
      </c>
      <c r="P121" s="201">
        <v>0.70989477571504556</v>
      </c>
      <c r="Q121" s="205" t="e">
        <v>#N/A</v>
      </c>
      <c r="R121" s="231" t="e">
        <v>#N/A</v>
      </c>
      <c r="S121" s="185" t="e">
        <v>#N/A</v>
      </c>
      <c r="T121" s="185" t="e">
        <v>#N/A</v>
      </c>
      <c r="U121" s="201" t="e">
        <v>#N/A</v>
      </c>
      <c r="V121" s="185" t="e">
        <v>#N/A</v>
      </c>
      <c r="W121" s="185" t="e">
        <v>#N/A</v>
      </c>
      <c r="X121" s="201" t="e">
        <v>#N/A</v>
      </c>
      <c r="Y121" s="205" t="e">
        <v>#N/A</v>
      </c>
      <c r="Z121" s="231" t="e">
        <v>#N/A</v>
      </c>
      <c r="AA121" s="185" t="e">
        <v>#N/A</v>
      </c>
      <c r="AB121" s="185" t="e">
        <v>#N/A</v>
      </c>
      <c r="AC121" s="201" t="e">
        <v>#N/A</v>
      </c>
      <c r="AD121" s="185" t="e">
        <v>#N/A</v>
      </c>
      <c r="AE121" s="185" t="e">
        <v>#N/A</v>
      </c>
      <c r="AF121" s="201" t="e">
        <v>#N/A</v>
      </c>
      <c r="AH121" s="152">
        <f t="shared" si="12"/>
        <v>0.83015781946557254</v>
      </c>
      <c r="AI121" s="152">
        <f t="shared" si="13"/>
        <v>0.11377544346421915</v>
      </c>
      <c r="AJ121" s="152">
        <f t="shared" si="14"/>
        <v>0.19089288145528593</v>
      </c>
      <c r="AK121" s="152">
        <f t="shared" si="15"/>
        <v>0.17184081851892768</v>
      </c>
      <c r="AL121" s="152" t="e">
        <f t="shared" si="16"/>
        <v>#N/A</v>
      </c>
      <c r="AM121" s="152" t="e">
        <f t="shared" si="17"/>
        <v>#N/A</v>
      </c>
      <c r="AN121" s="152" t="e">
        <f t="shared" si="18"/>
        <v>#N/A</v>
      </c>
      <c r="AO121" s="152" t="e">
        <f t="shared" si="19"/>
        <v>#N/A</v>
      </c>
      <c r="AP121" s="152" t="e">
        <f t="shared" si="20"/>
        <v>#N/A</v>
      </c>
      <c r="AQ121" s="152" t="e">
        <f t="shared" si="21"/>
        <v>#N/A</v>
      </c>
      <c r="AR121" s="152" t="e">
        <f t="shared" si="22"/>
        <v>#N/A</v>
      </c>
      <c r="AS121" s="152" t="e">
        <f t="shared" si="23"/>
        <v>#N/A</v>
      </c>
    </row>
    <row r="122" spans="8:45" ht="15.75" customHeight="1">
      <c r="H122" s="212">
        <v>115</v>
      </c>
      <c r="I122" s="205">
        <v>17890.116384182729</v>
      </c>
      <c r="J122" s="231">
        <v>2870.5427559214495</v>
      </c>
      <c r="K122" s="185">
        <v>0.76890032517848927</v>
      </c>
      <c r="L122" s="185">
        <v>0.12640083074094172</v>
      </c>
      <c r="M122" s="201">
        <v>0.10469884408056901</v>
      </c>
      <c r="N122" s="185">
        <v>9.1887958485883714E-2</v>
      </c>
      <c r="O122" s="185">
        <v>0.19126424224986588</v>
      </c>
      <c r="P122" s="201">
        <v>0.71684779926425035</v>
      </c>
      <c r="Q122" s="205" t="e">
        <v>#N/A</v>
      </c>
      <c r="R122" s="231" t="e">
        <v>#N/A</v>
      </c>
      <c r="S122" s="185" t="e">
        <v>#N/A</v>
      </c>
      <c r="T122" s="185" t="e">
        <v>#N/A</v>
      </c>
      <c r="U122" s="201" t="e">
        <v>#N/A</v>
      </c>
      <c r="V122" s="185" t="e">
        <v>#N/A</v>
      </c>
      <c r="W122" s="185" t="e">
        <v>#N/A</v>
      </c>
      <c r="X122" s="201" t="e">
        <v>#N/A</v>
      </c>
      <c r="Y122" s="205" t="e">
        <v>#N/A</v>
      </c>
      <c r="Z122" s="231" t="e">
        <v>#N/A</v>
      </c>
      <c r="AA122" s="185" t="e">
        <v>#N/A</v>
      </c>
      <c r="AB122" s="185" t="e">
        <v>#N/A</v>
      </c>
      <c r="AC122" s="201" t="e">
        <v>#N/A</v>
      </c>
      <c r="AD122" s="185" t="e">
        <v>#N/A</v>
      </c>
      <c r="AE122" s="185" t="e">
        <v>#N/A</v>
      </c>
      <c r="AF122" s="201" t="e">
        <v>#N/A</v>
      </c>
      <c r="AH122" s="152">
        <f t="shared" si="12"/>
        <v>0.8321007405489601</v>
      </c>
      <c r="AI122" s="152">
        <f t="shared" si="13"/>
        <v>0.10946633048111253</v>
      </c>
      <c r="AJ122" s="152">
        <f t="shared" si="14"/>
        <v>0.18752007961081665</v>
      </c>
      <c r="AK122" s="152">
        <f t="shared" si="15"/>
        <v>0.16563969262396477</v>
      </c>
      <c r="AL122" s="152" t="e">
        <f t="shared" si="16"/>
        <v>#N/A</v>
      </c>
      <c r="AM122" s="152" t="e">
        <f t="shared" si="17"/>
        <v>#N/A</v>
      </c>
      <c r="AN122" s="152" t="e">
        <f t="shared" si="18"/>
        <v>#N/A</v>
      </c>
      <c r="AO122" s="152" t="e">
        <f t="shared" si="19"/>
        <v>#N/A</v>
      </c>
      <c r="AP122" s="152" t="e">
        <f t="shared" si="20"/>
        <v>#N/A</v>
      </c>
      <c r="AQ122" s="152" t="e">
        <f t="shared" si="21"/>
        <v>#N/A</v>
      </c>
      <c r="AR122" s="152" t="e">
        <f t="shared" si="22"/>
        <v>#N/A</v>
      </c>
      <c r="AS122" s="152" t="e">
        <f t="shared" si="23"/>
        <v>#N/A</v>
      </c>
    </row>
    <row r="123" spans="8:45" ht="15.75" customHeight="1">
      <c r="H123" s="212">
        <v>116</v>
      </c>
      <c r="I123" s="205">
        <v>17882.08305078018</v>
      </c>
      <c r="J123" s="231">
        <v>2865.9156723142514</v>
      </c>
      <c r="K123" s="185">
        <v>0.77332202106175418</v>
      </c>
      <c r="L123" s="185">
        <v>0.12143628906096066</v>
      </c>
      <c r="M123" s="201">
        <v>0.10524168987728516</v>
      </c>
      <c r="N123" s="185">
        <v>9.2094215000973229E-2</v>
      </c>
      <c r="O123" s="185">
        <v>0.18409405252283714</v>
      </c>
      <c r="P123" s="201">
        <v>0.72381173247618957</v>
      </c>
      <c r="Q123" s="205" t="e">
        <v>#N/A</v>
      </c>
      <c r="R123" s="231" t="e">
        <v>#N/A</v>
      </c>
      <c r="S123" s="185" t="e">
        <v>#N/A</v>
      </c>
      <c r="T123" s="185" t="e">
        <v>#N/A</v>
      </c>
      <c r="U123" s="201" t="e">
        <v>#N/A</v>
      </c>
      <c r="V123" s="185" t="e">
        <v>#N/A</v>
      </c>
      <c r="W123" s="185" t="e">
        <v>#N/A</v>
      </c>
      <c r="X123" s="201" t="e">
        <v>#N/A</v>
      </c>
      <c r="Y123" s="205" t="e">
        <v>#N/A</v>
      </c>
      <c r="Z123" s="231" t="e">
        <v>#N/A</v>
      </c>
      <c r="AA123" s="185" t="e">
        <v>#N/A</v>
      </c>
      <c r="AB123" s="185" t="e">
        <v>#N/A</v>
      </c>
      <c r="AC123" s="201" t="e">
        <v>#N/A</v>
      </c>
      <c r="AD123" s="185" t="e">
        <v>#N/A</v>
      </c>
      <c r="AE123" s="185" t="e">
        <v>#N/A</v>
      </c>
      <c r="AF123" s="201" t="e">
        <v>#N/A</v>
      </c>
      <c r="AH123" s="152">
        <f t="shared" si="12"/>
        <v>0.83404016559223448</v>
      </c>
      <c r="AI123" s="152">
        <f t="shared" si="13"/>
        <v>0.10516691126810225</v>
      </c>
      <c r="AJ123" s="152">
        <f t="shared" si="14"/>
        <v>0.18414124126239179</v>
      </c>
      <c r="AK123" s="152">
        <f t="shared" si="15"/>
        <v>0.1594301261704037</v>
      </c>
      <c r="AL123" s="152" t="e">
        <f t="shared" si="16"/>
        <v>#N/A</v>
      </c>
      <c r="AM123" s="152" t="e">
        <f t="shared" si="17"/>
        <v>#N/A</v>
      </c>
      <c r="AN123" s="152" t="e">
        <f t="shared" si="18"/>
        <v>#N/A</v>
      </c>
      <c r="AO123" s="152" t="e">
        <f t="shared" si="19"/>
        <v>#N/A</v>
      </c>
      <c r="AP123" s="152" t="e">
        <f t="shared" si="20"/>
        <v>#N/A</v>
      </c>
      <c r="AQ123" s="152" t="e">
        <f t="shared" si="21"/>
        <v>#N/A</v>
      </c>
      <c r="AR123" s="152" t="e">
        <f t="shared" si="22"/>
        <v>#N/A</v>
      </c>
      <c r="AS123" s="152" t="e">
        <f t="shared" si="23"/>
        <v>#N/A</v>
      </c>
    </row>
    <row r="124" spans="8:45" ht="15.75" customHeight="1">
      <c r="H124" s="212">
        <v>117</v>
      </c>
      <c r="I124" s="205">
        <v>17873.961750020426</v>
      </c>
      <c r="J124" s="231">
        <v>2861.3300850469936</v>
      </c>
      <c r="K124" s="185">
        <v>0.77773451365192714</v>
      </c>
      <c r="L124" s="185">
        <v>0.1164829599580044</v>
      </c>
      <c r="M124" s="201">
        <v>0.10578252639006847</v>
      </c>
      <c r="N124" s="185">
        <v>9.2299326350035418E-2</v>
      </c>
      <c r="O124" s="185">
        <v>0.17691411971743845</v>
      </c>
      <c r="P124" s="201">
        <v>0.73078655393252612</v>
      </c>
      <c r="Q124" s="205" t="e">
        <v>#N/A</v>
      </c>
      <c r="R124" s="231" t="e">
        <v>#N/A</v>
      </c>
      <c r="S124" s="185" t="e">
        <v>#N/A</v>
      </c>
      <c r="T124" s="185" t="e">
        <v>#N/A</v>
      </c>
      <c r="U124" s="201" t="e">
        <v>#N/A</v>
      </c>
      <c r="V124" s="185" t="e">
        <v>#N/A</v>
      </c>
      <c r="W124" s="185" t="e">
        <v>#N/A</v>
      </c>
      <c r="X124" s="201" t="e">
        <v>#N/A</v>
      </c>
      <c r="Y124" s="205" t="e">
        <v>#N/A</v>
      </c>
      <c r="Z124" s="231" t="e">
        <v>#N/A</v>
      </c>
      <c r="AA124" s="185" t="e">
        <v>#N/A</v>
      </c>
      <c r="AB124" s="185" t="e">
        <v>#N/A</v>
      </c>
      <c r="AC124" s="201" t="e">
        <v>#N/A</v>
      </c>
      <c r="AD124" s="185" t="e">
        <v>#N/A</v>
      </c>
      <c r="AE124" s="185" t="e">
        <v>#N/A</v>
      </c>
      <c r="AF124" s="201" t="e">
        <v>#N/A</v>
      </c>
      <c r="AH124" s="152">
        <f t="shared" si="12"/>
        <v>0.83597599363092934</v>
      </c>
      <c r="AI124" s="152">
        <f t="shared" si="13"/>
        <v>0.10087720243163735</v>
      </c>
      <c r="AJ124" s="152">
        <f t="shared" si="14"/>
        <v>0.18075638620875464</v>
      </c>
      <c r="AK124" s="152">
        <f t="shared" si="15"/>
        <v>0.15321212196346315</v>
      </c>
      <c r="AL124" s="152" t="e">
        <f t="shared" si="16"/>
        <v>#N/A</v>
      </c>
      <c r="AM124" s="152" t="e">
        <f t="shared" si="17"/>
        <v>#N/A</v>
      </c>
      <c r="AN124" s="152" t="e">
        <f t="shared" si="18"/>
        <v>#N/A</v>
      </c>
      <c r="AO124" s="152" t="e">
        <f t="shared" si="19"/>
        <v>#N/A</v>
      </c>
      <c r="AP124" s="152" t="e">
        <f t="shared" si="20"/>
        <v>#N/A</v>
      </c>
      <c r="AQ124" s="152" t="e">
        <f t="shared" si="21"/>
        <v>#N/A</v>
      </c>
      <c r="AR124" s="152" t="e">
        <f t="shared" si="22"/>
        <v>#N/A</v>
      </c>
      <c r="AS124" s="152" t="e">
        <f t="shared" si="23"/>
        <v>#N/A</v>
      </c>
    </row>
    <row r="125" spans="8:45" ht="15.75" customHeight="1">
      <c r="H125" s="212">
        <v>118</v>
      </c>
      <c r="I125" s="205">
        <v>17865.754656196583</v>
      </c>
      <c r="J125" s="231">
        <v>2856.7855782794063</v>
      </c>
      <c r="K125" s="185">
        <v>0.78213769179970138</v>
      </c>
      <c r="L125" s="185">
        <v>0.11154086334793606</v>
      </c>
      <c r="M125" s="201">
        <v>0.10632144485236256</v>
      </c>
      <c r="N125" s="185">
        <v>9.2503311106513261E-2</v>
      </c>
      <c r="O125" s="185">
        <v>0.16972444660221436</v>
      </c>
      <c r="P125" s="201">
        <v>0.73777224229127247</v>
      </c>
      <c r="Q125" s="205" t="e">
        <v>#N/A</v>
      </c>
      <c r="R125" s="231" t="e">
        <v>#N/A</v>
      </c>
      <c r="S125" s="185" t="e">
        <v>#N/A</v>
      </c>
      <c r="T125" s="185" t="e">
        <v>#N/A</v>
      </c>
      <c r="U125" s="201" t="e">
        <v>#N/A</v>
      </c>
      <c r="V125" s="185" t="e">
        <v>#N/A</v>
      </c>
      <c r="W125" s="185" t="e">
        <v>#N/A</v>
      </c>
      <c r="X125" s="201" t="e">
        <v>#N/A</v>
      </c>
      <c r="Y125" s="205" t="e">
        <v>#N/A</v>
      </c>
      <c r="Z125" s="231" t="e">
        <v>#N/A</v>
      </c>
      <c r="AA125" s="185" t="e">
        <v>#N/A</v>
      </c>
      <c r="AB125" s="185" t="e">
        <v>#N/A</v>
      </c>
      <c r="AC125" s="201" t="e">
        <v>#N/A</v>
      </c>
      <c r="AD125" s="185" t="e">
        <v>#N/A</v>
      </c>
      <c r="AE125" s="185" t="e">
        <v>#N/A</v>
      </c>
      <c r="AF125" s="201" t="e">
        <v>#N/A</v>
      </c>
      <c r="AH125" s="152">
        <f t="shared" si="12"/>
        <v>0.83790812347366939</v>
      </c>
      <c r="AI125" s="152">
        <f t="shared" si="13"/>
        <v>9.6597221219361207E-2</v>
      </c>
      <c r="AJ125" s="152">
        <f t="shared" si="14"/>
        <v>0.17736553440762043</v>
      </c>
      <c r="AK125" s="152">
        <f t="shared" si="15"/>
        <v>0.14698568240077309</v>
      </c>
      <c r="AL125" s="152" t="e">
        <f t="shared" si="16"/>
        <v>#N/A</v>
      </c>
      <c r="AM125" s="152" t="e">
        <f t="shared" si="17"/>
        <v>#N/A</v>
      </c>
      <c r="AN125" s="152" t="e">
        <f t="shared" si="18"/>
        <v>#N/A</v>
      </c>
      <c r="AO125" s="152" t="e">
        <f t="shared" si="19"/>
        <v>#N/A</v>
      </c>
      <c r="AP125" s="152" t="e">
        <f t="shared" si="20"/>
        <v>#N/A</v>
      </c>
      <c r="AQ125" s="152" t="e">
        <f t="shared" si="21"/>
        <v>#N/A</v>
      </c>
      <c r="AR125" s="152" t="e">
        <f t="shared" si="22"/>
        <v>#N/A</v>
      </c>
      <c r="AS125" s="152" t="e">
        <f t="shared" si="23"/>
        <v>#N/A</v>
      </c>
    </row>
    <row r="126" spans="8:45" ht="15.75" customHeight="1">
      <c r="H126" s="212">
        <v>119</v>
      </c>
      <c r="I126" s="205">
        <v>17857.463912759096</v>
      </c>
      <c r="J126" s="231">
        <v>2852.2817462153948</v>
      </c>
      <c r="K126" s="185">
        <v>0.78653144365934324</v>
      </c>
      <c r="L126" s="185">
        <v>0.10661001998623555</v>
      </c>
      <c r="M126" s="201">
        <v>0.1068585363544212</v>
      </c>
      <c r="N126" s="185">
        <v>9.2706188300811385E-2</v>
      </c>
      <c r="O126" s="185">
        <v>0.16252503538312452</v>
      </c>
      <c r="P126" s="201">
        <v>0.7447687763160642</v>
      </c>
      <c r="Q126" s="205" t="e">
        <v>#N/A</v>
      </c>
      <c r="R126" s="231" t="e">
        <v>#N/A</v>
      </c>
      <c r="S126" s="185" t="e">
        <v>#N/A</v>
      </c>
      <c r="T126" s="185" t="e">
        <v>#N/A</v>
      </c>
      <c r="U126" s="201" t="e">
        <v>#N/A</v>
      </c>
      <c r="V126" s="185" t="e">
        <v>#N/A</v>
      </c>
      <c r="W126" s="185" t="e">
        <v>#N/A</v>
      </c>
      <c r="X126" s="201" t="e">
        <v>#N/A</v>
      </c>
      <c r="Y126" s="205" t="e">
        <v>#N/A</v>
      </c>
      <c r="Z126" s="231" t="e">
        <v>#N/A</v>
      </c>
      <c r="AA126" s="185" t="e">
        <v>#N/A</v>
      </c>
      <c r="AB126" s="185" t="e">
        <v>#N/A</v>
      </c>
      <c r="AC126" s="201" t="e">
        <v>#N/A</v>
      </c>
      <c r="AD126" s="185" t="e">
        <v>#N/A</v>
      </c>
      <c r="AE126" s="185" t="e">
        <v>#N/A</v>
      </c>
      <c r="AF126" s="201" t="e">
        <v>#N/A</v>
      </c>
      <c r="AH126" s="152">
        <f t="shared" si="12"/>
        <v>0.83983645365246107</v>
      </c>
      <c r="AI126" s="152">
        <f t="shared" si="13"/>
        <v>9.2326985606046713E-2</v>
      </c>
      <c r="AJ126" s="152">
        <f t="shared" si="14"/>
        <v>0.17396870599237363</v>
      </c>
      <c r="AK126" s="152">
        <f t="shared" si="15"/>
        <v>0.14075080939275059</v>
      </c>
      <c r="AL126" s="152" t="e">
        <f t="shared" si="16"/>
        <v>#N/A</v>
      </c>
      <c r="AM126" s="152" t="e">
        <f t="shared" si="17"/>
        <v>#N/A</v>
      </c>
      <c r="AN126" s="152" t="e">
        <f t="shared" si="18"/>
        <v>#N/A</v>
      </c>
      <c r="AO126" s="152" t="e">
        <f t="shared" si="19"/>
        <v>#N/A</v>
      </c>
      <c r="AP126" s="152" t="e">
        <f t="shared" si="20"/>
        <v>#N/A</v>
      </c>
      <c r="AQ126" s="152" t="e">
        <f t="shared" si="21"/>
        <v>#N/A</v>
      </c>
      <c r="AR126" s="152" t="e">
        <f t="shared" si="22"/>
        <v>#N/A</v>
      </c>
      <c r="AS126" s="152" t="e">
        <f t="shared" si="23"/>
        <v>#N/A</v>
      </c>
    </row>
    <row r="127" spans="8:45" ht="15.75" customHeight="1">
      <c r="H127" s="212">
        <v>120</v>
      </c>
      <c r="I127" s="205">
        <v>17849.091633130949</v>
      </c>
      <c r="J127" s="231">
        <v>2847.8181931684198</v>
      </c>
      <c r="K127" s="185">
        <v>0.79091565658516017</v>
      </c>
      <c r="L127" s="185">
        <v>0.10169045158149165</v>
      </c>
      <c r="M127" s="201">
        <v>0.10739389183334819</v>
      </c>
      <c r="N127" s="185">
        <v>9.2907977489186264E-2</v>
      </c>
      <c r="O127" s="185">
        <v>0.15531588759728757</v>
      </c>
      <c r="P127" s="201">
        <v>0.75177613491352624</v>
      </c>
      <c r="Q127" s="205" t="e">
        <v>#N/A</v>
      </c>
      <c r="R127" s="231" t="e">
        <v>#N/A</v>
      </c>
      <c r="S127" s="185" t="e">
        <v>#N/A</v>
      </c>
      <c r="T127" s="185" t="e">
        <v>#N/A</v>
      </c>
      <c r="U127" s="201" t="e">
        <v>#N/A</v>
      </c>
      <c r="V127" s="185" t="e">
        <v>#N/A</v>
      </c>
      <c r="W127" s="185" t="e">
        <v>#N/A</v>
      </c>
      <c r="X127" s="201" t="e">
        <v>#N/A</v>
      </c>
      <c r="Y127" s="205" t="e">
        <v>#N/A</v>
      </c>
      <c r="Z127" s="231" t="e">
        <v>#N/A</v>
      </c>
      <c r="AA127" s="185" t="e">
        <v>#N/A</v>
      </c>
      <c r="AB127" s="185" t="e">
        <v>#N/A</v>
      </c>
      <c r="AC127" s="201" t="e">
        <v>#N/A</v>
      </c>
      <c r="AD127" s="185" t="e">
        <v>#N/A</v>
      </c>
      <c r="AE127" s="185" t="e">
        <v>#N/A</v>
      </c>
      <c r="AF127" s="201" t="e">
        <v>#N/A</v>
      </c>
      <c r="AH127" s="152">
        <f t="shared" si="12"/>
        <v>0.84176088237590596</v>
      </c>
      <c r="AI127" s="152">
        <f t="shared" si="13"/>
        <v>8.8066514391883205E-2</v>
      </c>
      <c r="AJ127" s="152">
        <f t="shared" si="14"/>
        <v>0.17056592128783005</v>
      </c>
      <c r="AK127" s="152">
        <f t="shared" si="15"/>
        <v>0.13450750427057945</v>
      </c>
      <c r="AL127" s="152" t="e">
        <f t="shared" si="16"/>
        <v>#N/A</v>
      </c>
      <c r="AM127" s="152" t="e">
        <f t="shared" si="17"/>
        <v>#N/A</v>
      </c>
      <c r="AN127" s="152" t="e">
        <f t="shared" si="18"/>
        <v>#N/A</v>
      </c>
      <c r="AO127" s="152" t="e">
        <f t="shared" si="19"/>
        <v>#N/A</v>
      </c>
      <c r="AP127" s="152" t="e">
        <f t="shared" si="20"/>
        <v>#N/A</v>
      </c>
      <c r="AQ127" s="152" t="e">
        <f t="shared" si="21"/>
        <v>#N/A</v>
      </c>
      <c r="AR127" s="152" t="e">
        <f t="shared" si="22"/>
        <v>#N/A</v>
      </c>
      <c r="AS127" s="152" t="e">
        <f t="shared" si="23"/>
        <v>#N/A</v>
      </c>
    </row>
    <row r="128" spans="8:45" ht="15.75" customHeight="1">
      <c r="H128" s="212">
        <v>121</v>
      </c>
      <c r="I128" s="205">
        <v>17840.639901543851</v>
      </c>
      <c r="J128" s="231">
        <v>2843.3945336711813</v>
      </c>
      <c r="K128" s="185">
        <v>0.79529021702491287</v>
      </c>
      <c r="L128" s="185">
        <v>9.6782180924927338E-2</v>
      </c>
      <c r="M128" s="201">
        <v>0.10792760205015979</v>
      </c>
      <c r="N128" s="185">
        <v>9.3108698829600933E-2</v>
      </c>
      <c r="O128" s="185">
        <v>0.14809700399047279</v>
      </c>
      <c r="P128" s="201">
        <v>0.7587942971799263</v>
      </c>
      <c r="Q128" s="205" t="e">
        <v>#N/A</v>
      </c>
      <c r="R128" s="231" t="e">
        <v>#N/A</v>
      </c>
      <c r="S128" s="185" t="e">
        <v>#N/A</v>
      </c>
      <c r="T128" s="185" t="e">
        <v>#N/A</v>
      </c>
      <c r="U128" s="201" t="e">
        <v>#N/A</v>
      </c>
      <c r="V128" s="185" t="e">
        <v>#N/A</v>
      </c>
      <c r="W128" s="185" t="e">
        <v>#N/A</v>
      </c>
      <c r="X128" s="201" t="e">
        <v>#N/A</v>
      </c>
      <c r="Y128" s="205" t="e">
        <v>#N/A</v>
      </c>
      <c r="Z128" s="231" t="e">
        <v>#N/A</v>
      </c>
      <c r="AA128" s="185" t="e">
        <v>#N/A</v>
      </c>
      <c r="AB128" s="185" t="e">
        <v>#N/A</v>
      </c>
      <c r="AC128" s="201" t="e">
        <v>#N/A</v>
      </c>
      <c r="AD128" s="185" t="e">
        <v>#N/A</v>
      </c>
      <c r="AE128" s="185" t="e">
        <v>#N/A</v>
      </c>
      <c r="AF128" s="201" t="e">
        <v>#N/A</v>
      </c>
      <c r="AH128" s="152">
        <f t="shared" si="12"/>
        <v>0.84368130748737657</v>
      </c>
      <c r="AI128" s="152">
        <f t="shared" si="13"/>
        <v>8.3815827314648789E-2</v>
      </c>
      <c r="AJ128" s="152">
        <f t="shared" si="14"/>
        <v>0.16715720082483732</v>
      </c>
      <c r="AK128" s="152">
        <f t="shared" si="15"/>
        <v>0.12825576768011482</v>
      </c>
      <c r="AL128" s="152" t="e">
        <f t="shared" si="16"/>
        <v>#N/A</v>
      </c>
      <c r="AM128" s="152" t="e">
        <f t="shared" si="17"/>
        <v>#N/A</v>
      </c>
      <c r="AN128" s="152" t="e">
        <f t="shared" si="18"/>
        <v>#N/A</v>
      </c>
      <c r="AO128" s="152" t="e">
        <f t="shared" si="19"/>
        <v>#N/A</v>
      </c>
      <c r="AP128" s="152" t="e">
        <f t="shared" si="20"/>
        <v>#N/A</v>
      </c>
      <c r="AQ128" s="152" t="e">
        <f t="shared" si="21"/>
        <v>#N/A</v>
      </c>
      <c r="AR128" s="152" t="e">
        <f t="shared" si="22"/>
        <v>#N/A</v>
      </c>
      <c r="AS128" s="152" t="e">
        <f t="shared" si="23"/>
        <v>#N/A</v>
      </c>
    </row>
    <row r="129" spans="8:45" ht="15.75" customHeight="1">
      <c r="H129" s="212">
        <v>122</v>
      </c>
      <c r="I129" s="205">
        <v>17832.110773879514</v>
      </c>
      <c r="J129" s="231">
        <v>2839.0103926595802</v>
      </c>
      <c r="K129" s="185">
        <v>0.79965501042977849</v>
      </c>
      <c r="L129" s="185">
        <v>9.1885232032475075E-2</v>
      </c>
      <c r="M129" s="201">
        <v>0.10845975753774643</v>
      </c>
      <c r="N129" s="185">
        <v>9.3308373174265061E-2</v>
      </c>
      <c r="O129" s="185">
        <v>0.14086838437965968</v>
      </c>
      <c r="P129" s="201">
        <v>0.76582324244607525</v>
      </c>
      <c r="Q129" s="205" t="e">
        <v>#N/A</v>
      </c>
      <c r="R129" s="231" t="e">
        <v>#N/A</v>
      </c>
      <c r="S129" s="185" t="e">
        <v>#N/A</v>
      </c>
      <c r="T129" s="185" t="e">
        <v>#N/A</v>
      </c>
      <c r="U129" s="201" t="e">
        <v>#N/A</v>
      </c>
      <c r="V129" s="185" t="e">
        <v>#N/A</v>
      </c>
      <c r="W129" s="185" t="e">
        <v>#N/A</v>
      </c>
      <c r="X129" s="201" t="e">
        <v>#N/A</v>
      </c>
      <c r="Y129" s="205" t="e">
        <v>#N/A</v>
      </c>
      <c r="Z129" s="231" t="e">
        <v>#N/A</v>
      </c>
      <c r="AA129" s="185" t="e">
        <v>#N/A</v>
      </c>
      <c r="AB129" s="185" t="e">
        <v>#N/A</v>
      </c>
      <c r="AC129" s="201" t="e">
        <v>#N/A</v>
      </c>
      <c r="AD129" s="185" t="e">
        <v>#N/A</v>
      </c>
      <c r="AE129" s="185" t="e">
        <v>#N/A</v>
      </c>
      <c r="AF129" s="201" t="e">
        <v>#N/A</v>
      </c>
      <c r="AH129" s="152">
        <f t="shared" si="12"/>
        <v>0.84559762644601599</v>
      </c>
      <c r="AI129" s="152">
        <f t="shared" si="13"/>
        <v>7.9574945172751058E-2</v>
      </c>
      <c r="AJ129" s="152">
        <f t="shared" si="14"/>
        <v>0.1637425653640949</v>
      </c>
      <c r="AK129" s="152">
        <f t="shared" si="15"/>
        <v>0.12199559946285628</v>
      </c>
      <c r="AL129" s="152" t="e">
        <f t="shared" si="16"/>
        <v>#N/A</v>
      </c>
      <c r="AM129" s="152" t="e">
        <f t="shared" si="17"/>
        <v>#N/A</v>
      </c>
      <c r="AN129" s="152" t="e">
        <f t="shared" si="18"/>
        <v>#N/A</v>
      </c>
      <c r="AO129" s="152" t="e">
        <f t="shared" si="19"/>
        <v>#N/A</v>
      </c>
      <c r="AP129" s="152" t="e">
        <f t="shared" si="20"/>
        <v>#N/A</v>
      </c>
      <c r="AQ129" s="152" t="e">
        <f t="shared" si="21"/>
        <v>#N/A</v>
      </c>
      <c r="AR129" s="152" t="e">
        <f t="shared" si="22"/>
        <v>#N/A</v>
      </c>
      <c r="AS129" s="152" t="e">
        <f t="shared" si="23"/>
        <v>#N/A</v>
      </c>
    </row>
    <row r="130" spans="8:45" ht="15.75" customHeight="1">
      <c r="H130" s="212">
        <v>123</v>
      </c>
      <c r="I130" s="205">
        <v>17823.506278634377</v>
      </c>
      <c r="J130" s="231">
        <v>2834.6654056009579</v>
      </c>
      <c r="K130" s="185">
        <v>0.80400992107119251</v>
      </c>
      <c r="L130" s="185">
        <v>8.6999630335021783E-2</v>
      </c>
      <c r="M130" s="201">
        <v>0.1089904485937857</v>
      </c>
      <c r="N130" s="185">
        <v>9.3507022123082831E-2</v>
      </c>
      <c r="O130" s="185">
        <v>0.13363002747391842</v>
      </c>
      <c r="P130" s="201">
        <v>0.77286295040299879</v>
      </c>
      <c r="Q130" s="205" t="e">
        <v>#N/A</v>
      </c>
      <c r="R130" s="231" t="e">
        <v>#N/A</v>
      </c>
      <c r="S130" s="185" t="e">
        <v>#N/A</v>
      </c>
      <c r="T130" s="185" t="e">
        <v>#N/A</v>
      </c>
      <c r="U130" s="201" t="e">
        <v>#N/A</v>
      </c>
      <c r="V130" s="185" t="e">
        <v>#N/A</v>
      </c>
      <c r="W130" s="185" t="e">
        <v>#N/A</v>
      </c>
      <c r="X130" s="201" t="e">
        <v>#N/A</v>
      </c>
      <c r="Y130" s="205" t="e">
        <v>#N/A</v>
      </c>
      <c r="Z130" s="231" t="e">
        <v>#N/A</v>
      </c>
      <c r="AA130" s="185" t="e">
        <v>#N/A</v>
      </c>
      <c r="AB130" s="185" t="e">
        <v>#N/A</v>
      </c>
      <c r="AC130" s="201" t="e">
        <v>#N/A</v>
      </c>
      <c r="AD130" s="185" t="e">
        <v>#N/A</v>
      </c>
      <c r="AE130" s="185" t="e">
        <v>#N/A</v>
      </c>
      <c r="AF130" s="201" t="e">
        <v>#N/A</v>
      </c>
      <c r="AH130" s="152">
        <f t="shared" si="12"/>
        <v>0.8475097362387034</v>
      </c>
      <c r="AI130" s="152">
        <f t="shared" si="13"/>
        <v>7.5343889989984134E-2</v>
      </c>
      <c r="AJ130" s="152">
        <f t="shared" si="14"/>
        <v>0.16032203586004204</v>
      </c>
      <c r="AK130" s="152">
        <f t="shared" si="15"/>
        <v>0.11572699850082582</v>
      </c>
      <c r="AL130" s="152" t="e">
        <f t="shared" si="16"/>
        <v>#N/A</v>
      </c>
      <c r="AM130" s="152" t="e">
        <f t="shared" si="17"/>
        <v>#N/A</v>
      </c>
      <c r="AN130" s="152" t="e">
        <f t="shared" si="18"/>
        <v>#N/A</v>
      </c>
      <c r="AO130" s="152" t="e">
        <f t="shared" si="19"/>
        <v>#N/A</v>
      </c>
      <c r="AP130" s="152" t="e">
        <f t="shared" si="20"/>
        <v>#N/A</v>
      </c>
      <c r="AQ130" s="152" t="e">
        <f t="shared" si="21"/>
        <v>#N/A</v>
      </c>
      <c r="AR130" s="152" t="e">
        <f t="shared" si="22"/>
        <v>#N/A</v>
      </c>
      <c r="AS130" s="152" t="e">
        <f t="shared" si="23"/>
        <v>#N/A</v>
      </c>
    </row>
    <row r="131" spans="8:45" ht="15.75" customHeight="1">
      <c r="H131" s="212">
        <v>124</v>
      </c>
      <c r="I131" s="205">
        <v>17814.828417729848</v>
      </c>
      <c r="J131" s="231">
        <v>2830.3592189310707</v>
      </c>
      <c r="K131" s="185">
        <v>0.8083548320446845</v>
      </c>
      <c r="L131" s="185">
        <v>8.2125402838640532E-2</v>
      </c>
      <c r="M131" s="201">
        <v>0.10951976511667497</v>
      </c>
      <c r="N131" s="185">
        <v>9.3704668179015405E-2</v>
      </c>
      <c r="O131" s="185">
        <v>0.12638193071750178</v>
      </c>
      <c r="P131" s="201">
        <v>0.77991340110348273</v>
      </c>
      <c r="Q131" s="205" t="e">
        <v>#N/A</v>
      </c>
      <c r="R131" s="231" t="e">
        <v>#N/A</v>
      </c>
      <c r="S131" s="185" t="e">
        <v>#N/A</v>
      </c>
      <c r="T131" s="185" t="e">
        <v>#N/A</v>
      </c>
      <c r="U131" s="201" t="e">
        <v>#N/A</v>
      </c>
      <c r="V131" s="185" t="e">
        <v>#N/A</v>
      </c>
      <c r="W131" s="185" t="e">
        <v>#N/A</v>
      </c>
      <c r="X131" s="201" t="e">
        <v>#N/A</v>
      </c>
      <c r="Y131" s="205" t="e">
        <v>#N/A</v>
      </c>
      <c r="Z131" s="231" t="e">
        <v>#N/A</v>
      </c>
      <c r="AA131" s="185" t="e">
        <v>#N/A</v>
      </c>
      <c r="AB131" s="185" t="e">
        <v>#N/A</v>
      </c>
      <c r="AC131" s="201" t="e">
        <v>#N/A</v>
      </c>
      <c r="AD131" s="185" t="e">
        <v>#N/A</v>
      </c>
      <c r="AE131" s="185" t="e">
        <v>#N/A</v>
      </c>
      <c r="AF131" s="201" t="e">
        <v>#N/A</v>
      </c>
      <c r="AH131" s="152">
        <f t="shared" si="12"/>
        <v>0.84941753346400473</v>
      </c>
      <c r="AI131" s="152">
        <f t="shared" si="13"/>
        <v>7.1122685154293347E-2</v>
      </c>
      <c r="AJ131" s="152">
        <f t="shared" si="14"/>
        <v>0.15689563353776631</v>
      </c>
      <c r="AK131" s="152">
        <f t="shared" si="15"/>
        <v>0.10944996258068143</v>
      </c>
      <c r="AL131" s="152" t="e">
        <f t="shared" si="16"/>
        <v>#N/A</v>
      </c>
      <c r="AM131" s="152" t="e">
        <f t="shared" si="17"/>
        <v>#N/A</v>
      </c>
      <c r="AN131" s="152" t="e">
        <f t="shared" si="18"/>
        <v>#N/A</v>
      </c>
      <c r="AO131" s="152" t="e">
        <f t="shared" si="19"/>
        <v>#N/A</v>
      </c>
      <c r="AP131" s="152" t="e">
        <f t="shared" si="20"/>
        <v>#N/A</v>
      </c>
      <c r="AQ131" s="152" t="e">
        <f t="shared" si="21"/>
        <v>#N/A</v>
      </c>
      <c r="AR131" s="152" t="e">
        <f t="shared" si="22"/>
        <v>#N/A</v>
      </c>
      <c r="AS131" s="152" t="e">
        <f t="shared" si="23"/>
        <v>#N/A</v>
      </c>
    </row>
    <row r="132" spans="8:45" ht="15.75" customHeight="1">
      <c r="H132" s="212">
        <v>125</v>
      </c>
      <c r="I132" s="205">
        <v>17806.079167534583</v>
      </c>
      <c r="J132" s="231">
        <v>2826.0914903323833</v>
      </c>
      <c r="K132" s="185">
        <v>0.81268962509889386</v>
      </c>
      <c r="L132" s="185">
        <v>7.7262578358936254E-2</v>
      </c>
      <c r="M132" s="201">
        <v>0.11004779654216988</v>
      </c>
      <c r="N132" s="185">
        <v>9.3901334816700766E-2</v>
      </c>
      <c r="O132" s="185">
        <v>0.11912409005105623</v>
      </c>
      <c r="P132" s="201">
        <v>0.786974575132243</v>
      </c>
      <c r="Q132" s="205" t="e">
        <v>#N/A</v>
      </c>
      <c r="R132" s="231" t="e">
        <v>#N/A</v>
      </c>
      <c r="S132" s="185" t="e">
        <v>#N/A</v>
      </c>
      <c r="T132" s="185" t="e">
        <v>#N/A</v>
      </c>
      <c r="U132" s="201" t="e">
        <v>#N/A</v>
      </c>
      <c r="V132" s="185" t="e">
        <v>#N/A</v>
      </c>
      <c r="W132" s="185" t="e">
        <v>#N/A</v>
      </c>
      <c r="X132" s="201" t="e">
        <v>#N/A</v>
      </c>
      <c r="Y132" s="205" t="e">
        <v>#N/A</v>
      </c>
      <c r="Z132" s="231" t="e">
        <v>#N/A</v>
      </c>
      <c r="AA132" s="185" t="e">
        <v>#N/A</v>
      </c>
      <c r="AB132" s="185" t="e">
        <v>#N/A</v>
      </c>
      <c r="AC132" s="201" t="e">
        <v>#N/A</v>
      </c>
      <c r="AD132" s="185" t="e">
        <v>#N/A</v>
      </c>
      <c r="AE132" s="185" t="e">
        <v>#N/A</v>
      </c>
      <c r="AF132" s="201" t="e">
        <v>#N/A</v>
      </c>
      <c r="AH132" s="152">
        <f t="shared" si="12"/>
        <v>0.85132091427836198</v>
      </c>
      <c r="AI132" s="152">
        <f t="shared" si="13"/>
        <v>6.6911355620724602E-2</v>
      </c>
      <c r="AJ132" s="152">
        <f t="shared" si="14"/>
        <v>0.15346337984222888</v>
      </c>
      <c r="AK132" s="152">
        <f t="shared" si="15"/>
        <v>0.1031644881869198</v>
      </c>
      <c r="AL132" s="152" t="e">
        <f t="shared" si="16"/>
        <v>#N/A</v>
      </c>
      <c r="AM132" s="152" t="e">
        <f t="shared" si="17"/>
        <v>#N/A</v>
      </c>
      <c r="AN132" s="152" t="e">
        <f t="shared" si="18"/>
        <v>#N/A</v>
      </c>
      <c r="AO132" s="152" t="e">
        <f t="shared" si="19"/>
        <v>#N/A</v>
      </c>
      <c r="AP132" s="152" t="e">
        <f t="shared" si="20"/>
        <v>#N/A</v>
      </c>
      <c r="AQ132" s="152" t="e">
        <f t="shared" si="21"/>
        <v>#N/A</v>
      </c>
      <c r="AR132" s="152" t="e">
        <f t="shared" si="22"/>
        <v>#N/A</v>
      </c>
      <c r="AS132" s="152" t="e">
        <f t="shared" si="23"/>
        <v>#N/A</v>
      </c>
    </row>
    <row r="133" spans="8:45" ht="15.75" customHeight="1">
      <c r="H133" s="212">
        <v>126</v>
      </c>
      <c r="I133" s="205">
        <v>17797.260479844346</v>
      </c>
      <c r="J133" s="231">
        <v>2821.8618892412555</v>
      </c>
      <c r="K133" s="185">
        <v>0.81701418056272102</v>
      </c>
      <c r="L133" s="185">
        <v>7.2411187764290535E-2</v>
      </c>
      <c r="M133" s="201">
        <v>0.11057463167298845</v>
      </c>
      <c r="N133" s="185">
        <v>9.4097046604491391E-2</v>
      </c>
      <c r="O133" s="185">
        <v>0.1118564996780536</v>
      </c>
      <c r="P133" s="201">
        <v>0.79404645371745508</v>
      </c>
      <c r="Q133" s="205" t="e">
        <v>#N/A</v>
      </c>
      <c r="R133" s="231" t="e">
        <v>#N/A</v>
      </c>
      <c r="S133" s="185" t="e">
        <v>#N/A</v>
      </c>
      <c r="T133" s="185" t="e">
        <v>#N/A</v>
      </c>
      <c r="U133" s="201" t="e">
        <v>#N/A</v>
      </c>
      <c r="V133" s="185" t="e">
        <v>#N/A</v>
      </c>
      <c r="W133" s="185" t="e">
        <v>#N/A</v>
      </c>
      <c r="X133" s="201" t="e">
        <v>#N/A</v>
      </c>
      <c r="Y133" s="205" t="e">
        <v>#N/A</v>
      </c>
      <c r="Z133" s="231" t="e">
        <v>#N/A</v>
      </c>
      <c r="AA133" s="185" t="e">
        <v>#N/A</v>
      </c>
      <c r="AB133" s="185" t="e">
        <v>#N/A</v>
      </c>
      <c r="AC133" s="201" t="e">
        <v>#N/A</v>
      </c>
      <c r="AD133" s="185" t="e">
        <v>#N/A</v>
      </c>
      <c r="AE133" s="185" t="e">
        <v>#N/A</v>
      </c>
      <c r="AF133" s="201" t="e">
        <v>#N/A</v>
      </c>
      <c r="AH133" s="152">
        <f t="shared" si="12"/>
        <v>0.8532197744448663</v>
      </c>
      <c r="AI133" s="152">
        <f t="shared" si="13"/>
        <v>6.270992812208051E-2</v>
      </c>
      <c r="AJ133" s="152">
        <f t="shared" si="14"/>
        <v>0.1500252964435182</v>
      </c>
      <c r="AK133" s="152">
        <f t="shared" si="15"/>
        <v>9.6870570299600292E-2</v>
      </c>
      <c r="AL133" s="152" t="e">
        <f t="shared" si="16"/>
        <v>#N/A</v>
      </c>
      <c r="AM133" s="152" t="e">
        <f t="shared" si="17"/>
        <v>#N/A</v>
      </c>
      <c r="AN133" s="152" t="e">
        <f t="shared" si="18"/>
        <v>#N/A</v>
      </c>
      <c r="AO133" s="152" t="e">
        <f t="shared" si="19"/>
        <v>#N/A</v>
      </c>
      <c r="AP133" s="152" t="e">
        <f t="shared" si="20"/>
        <v>#N/A</v>
      </c>
      <c r="AQ133" s="152" t="e">
        <f t="shared" si="21"/>
        <v>#N/A</v>
      </c>
      <c r="AR133" s="152" t="e">
        <f t="shared" si="22"/>
        <v>#N/A</v>
      </c>
      <c r="AS133" s="152" t="e">
        <f t="shared" si="23"/>
        <v>#N/A</v>
      </c>
    </row>
    <row r="134" spans="8:45" ht="15.75" customHeight="1">
      <c r="H134" s="212">
        <v>127</v>
      </c>
      <c r="I134" s="205">
        <v>17788.37428291003</v>
      </c>
      <c r="J134" s="231">
        <v>2817.6700974483188</v>
      </c>
      <c r="K134" s="185">
        <v>0.82132837727721364</v>
      </c>
      <c r="L134" s="185">
        <v>6.7571264250503346E-2</v>
      </c>
      <c r="M134" s="201">
        <v>0.11110035847228301</v>
      </c>
      <c r="N134" s="185">
        <v>9.4291829321076229E-2</v>
      </c>
      <c r="O134" s="185">
        <v>0.10457915178586043</v>
      </c>
      <c r="P134" s="201">
        <v>0.80112901889306332</v>
      </c>
      <c r="Q134" s="205" t="e">
        <v>#N/A</v>
      </c>
      <c r="R134" s="231" t="e">
        <v>#N/A</v>
      </c>
      <c r="S134" s="185" t="e">
        <v>#N/A</v>
      </c>
      <c r="T134" s="185" t="e">
        <v>#N/A</v>
      </c>
      <c r="U134" s="201" t="e">
        <v>#N/A</v>
      </c>
      <c r="V134" s="185" t="e">
        <v>#N/A</v>
      </c>
      <c r="W134" s="185" t="e">
        <v>#N/A</v>
      </c>
      <c r="X134" s="201" t="e">
        <v>#N/A</v>
      </c>
      <c r="Y134" s="205" t="e">
        <v>#N/A</v>
      </c>
      <c r="Z134" s="231" t="e">
        <v>#N/A</v>
      </c>
      <c r="AA134" s="185" t="e">
        <v>#N/A</v>
      </c>
      <c r="AB134" s="185" t="e">
        <v>#N/A</v>
      </c>
      <c r="AC134" s="201" t="e">
        <v>#N/A</v>
      </c>
      <c r="AD134" s="185" t="e">
        <v>#N/A</v>
      </c>
      <c r="AE134" s="185" t="e">
        <v>#N/A</v>
      </c>
      <c r="AF134" s="201" t="e">
        <v>#N/A</v>
      </c>
      <c r="AH134" s="152">
        <f t="shared" si="12"/>
        <v>0.85511400940246529</v>
      </c>
      <c r="AI134" s="152">
        <f t="shared" si="13"/>
        <v>5.8518431406767164E-2</v>
      </c>
      <c r="AJ134" s="152">
        <f t="shared" si="14"/>
        <v>0.14658140521400645</v>
      </c>
      <c r="AK134" s="152">
        <f t="shared" si="15"/>
        <v>9.0568202152783869E-2</v>
      </c>
      <c r="AL134" s="152" t="e">
        <f t="shared" si="16"/>
        <v>#N/A</v>
      </c>
      <c r="AM134" s="152" t="e">
        <f t="shared" si="17"/>
        <v>#N/A</v>
      </c>
      <c r="AN134" s="152" t="e">
        <f t="shared" si="18"/>
        <v>#N/A</v>
      </c>
      <c r="AO134" s="152" t="e">
        <f t="shared" si="19"/>
        <v>#N/A</v>
      </c>
      <c r="AP134" s="152" t="e">
        <f t="shared" si="20"/>
        <v>#N/A</v>
      </c>
      <c r="AQ134" s="152" t="e">
        <f t="shared" si="21"/>
        <v>#N/A</v>
      </c>
      <c r="AR134" s="152" t="e">
        <f t="shared" si="22"/>
        <v>#N/A</v>
      </c>
      <c r="AS134" s="152" t="e">
        <f t="shared" si="23"/>
        <v>#N/A</v>
      </c>
    </row>
    <row r="135" spans="8:45" ht="15.75" customHeight="1">
      <c r="H135" s="212">
        <v>128</v>
      </c>
      <c r="I135" s="205">
        <v>17779.422482504466</v>
      </c>
      <c r="J135" s="231">
        <v>2813.5158098460097</v>
      </c>
      <c r="K135" s="185">
        <v>0.82563209255624181</v>
      </c>
      <c r="L135" s="185">
        <v>6.2742843649066307E-2</v>
      </c>
      <c r="M135" s="201">
        <v>0.11162506379469188</v>
      </c>
      <c r="N135" s="185">
        <v>9.4485710071349135E-2</v>
      </c>
      <c r="O135" s="185">
        <v>9.7292036232144621E-2</v>
      </c>
      <c r="P135" s="201">
        <v>0.80822225369650624</v>
      </c>
      <c r="Q135" s="205" t="e">
        <v>#N/A</v>
      </c>
      <c r="R135" s="231" t="e">
        <v>#N/A</v>
      </c>
      <c r="S135" s="185" t="e">
        <v>#N/A</v>
      </c>
      <c r="T135" s="185" t="e">
        <v>#N/A</v>
      </c>
      <c r="U135" s="201" t="e">
        <v>#N/A</v>
      </c>
      <c r="V135" s="185" t="e">
        <v>#N/A</v>
      </c>
      <c r="W135" s="185" t="e">
        <v>#N/A</v>
      </c>
      <c r="X135" s="201" t="e">
        <v>#N/A</v>
      </c>
      <c r="Y135" s="205" t="e">
        <v>#N/A</v>
      </c>
      <c r="Z135" s="231" t="e">
        <v>#N/A</v>
      </c>
      <c r="AA135" s="185" t="e">
        <v>#N/A</v>
      </c>
      <c r="AB135" s="185" t="e">
        <v>#N/A</v>
      </c>
      <c r="AC135" s="201" t="e">
        <v>#N/A</v>
      </c>
      <c r="AD135" s="185" t="e">
        <v>#N/A</v>
      </c>
      <c r="AE135" s="185" t="e">
        <v>#N/A</v>
      </c>
      <c r="AF135" s="201" t="e">
        <v>#N/A</v>
      </c>
      <c r="AH135" s="152">
        <f t="shared" si="12"/>
        <v>0.85700351438077493</v>
      </c>
      <c r="AI135" s="152">
        <f t="shared" si="13"/>
        <v>5.4336896505766549E-2</v>
      </c>
      <c r="AJ135" s="152">
        <f t="shared" si="14"/>
        <v>0.14313172818742145</v>
      </c>
      <c r="AK135" s="152">
        <f t="shared" si="15"/>
        <v>8.4257374962953283E-2</v>
      </c>
      <c r="AL135" s="152" t="e">
        <f t="shared" si="16"/>
        <v>#N/A</v>
      </c>
      <c r="AM135" s="152" t="e">
        <f t="shared" si="17"/>
        <v>#N/A</v>
      </c>
      <c r="AN135" s="152" t="e">
        <f t="shared" si="18"/>
        <v>#N/A</v>
      </c>
      <c r="AO135" s="152" t="e">
        <f t="shared" si="19"/>
        <v>#N/A</v>
      </c>
      <c r="AP135" s="152" t="e">
        <f t="shared" si="20"/>
        <v>#N/A</v>
      </c>
      <c r="AQ135" s="152" t="e">
        <f t="shared" si="21"/>
        <v>#N/A</v>
      </c>
      <c r="AR135" s="152" t="e">
        <f t="shared" si="22"/>
        <v>#N/A</v>
      </c>
      <c r="AS135" s="152" t="e">
        <f t="shared" si="23"/>
        <v>#N/A</v>
      </c>
    </row>
    <row r="136" spans="8:45" ht="15.75" customHeight="1">
      <c r="H136" s="212">
        <v>129</v>
      </c>
      <c r="I136" s="205">
        <v>17770.406963019341</v>
      </c>
      <c r="J136" s="231">
        <v>2809.3987353532411</v>
      </c>
      <c r="K136" s="185">
        <v>0.82992520219248644</v>
      </c>
      <c r="L136" s="185">
        <v>5.7925964768582992E-2</v>
      </c>
      <c r="M136" s="201">
        <v>0.11214883303893056</v>
      </c>
      <c r="N136" s="185">
        <v>9.4678717394064527E-2</v>
      </c>
      <c r="O136" s="185">
        <v>8.9995140193402476E-2</v>
      </c>
      <c r="P136" s="201">
        <v>0.81532614241253298</v>
      </c>
      <c r="Q136" s="205" t="e">
        <v>#N/A</v>
      </c>
      <c r="R136" s="231" t="e">
        <v>#N/A</v>
      </c>
      <c r="S136" s="185" t="e">
        <v>#N/A</v>
      </c>
      <c r="T136" s="185" t="e">
        <v>#N/A</v>
      </c>
      <c r="U136" s="201" t="e">
        <v>#N/A</v>
      </c>
      <c r="V136" s="185" t="e">
        <v>#N/A</v>
      </c>
      <c r="W136" s="185" t="e">
        <v>#N/A</v>
      </c>
      <c r="X136" s="201" t="e">
        <v>#N/A</v>
      </c>
      <c r="Y136" s="205" t="e">
        <v>#N/A</v>
      </c>
      <c r="Z136" s="231" t="e">
        <v>#N/A</v>
      </c>
      <c r="AA136" s="185" t="e">
        <v>#N/A</v>
      </c>
      <c r="AB136" s="185" t="e">
        <v>#N/A</v>
      </c>
      <c r="AC136" s="201" t="e">
        <v>#N/A</v>
      </c>
      <c r="AD136" s="185" t="e">
        <v>#N/A</v>
      </c>
      <c r="AE136" s="185" t="e">
        <v>#N/A</v>
      </c>
      <c r="AF136" s="201" t="e">
        <v>#N/A</v>
      </c>
      <c r="AH136" s="152">
        <f t="shared" si="12"/>
        <v>0.85888818457677796</v>
      </c>
      <c r="AI136" s="152">
        <f t="shared" si="13"/>
        <v>5.0165357028315254E-2</v>
      </c>
      <c r="AJ136" s="152">
        <f t="shared" si="14"/>
        <v>0.13967628749076577</v>
      </c>
      <c r="AK136" s="152">
        <f t="shared" si="15"/>
        <v>7.7938077624628538E-2</v>
      </c>
      <c r="AL136" s="152" t="e">
        <f t="shared" si="16"/>
        <v>#N/A</v>
      </c>
      <c r="AM136" s="152" t="e">
        <f t="shared" si="17"/>
        <v>#N/A</v>
      </c>
      <c r="AN136" s="152" t="e">
        <f t="shared" si="18"/>
        <v>#N/A</v>
      </c>
      <c r="AO136" s="152" t="e">
        <f t="shared" si="19"/>
        <v>#N/A</v>
      </c>
      <c r="AP136" s="152" t="e">
        <f t="shared" si="20"/>
        <v>#N/A</v>
      </c>
      <c r="AQ136" s="152" t="e">
        <f t="shared" si="21"/>
        <v>#N/A</v>
      </c>
      <c r="AR136" s="152" t="e">
        <f t="shared" si="22"/>
        <v>#N/A</v>
      </c>
      <c r="AS136" s="152" t="e">
        <f t="shared" si="23"/>
        <v>#N/A</v>
      </c>
    </row>
    <row r="137" spans="8:45" ht="15.75" customHeight="1">
      <c r="H137" s="212">
        <v>130</v>
      </c>
      <c r="I137" s="205">
        <v>17761.329588580353</v>
      </c>
      <c r="J137" s="231">
        <v>2805.318598053796</v>
      </c>
      <c r="K137" s="185">
        <v>0.83420758052954735</v>
      </c>
      <c r="L137" s="185">
        <v>5.3120669767973278E-2</v>
      </c>
      <c r="M137" s="201">
        <v>0.11267174970247937</v>
      </c>
      <c r="N137" s="185">
        <v>9.4870881348131583E-2</v>
      </c>
      <c r="O137" s="185">
        <v>8.2688447775659368E-2</v>
      </c>
      <c r="P137" s="201">
        <v>0.82244067087620909</v>
      </c>
      <c r="Q137" s="205" t="e">
        <v>#N/A</v>
      </c>
      <c r="R137" s="231" t="e">
        <v>#N/A</v>
      </c>
      <c r="S137" s="185" t="e">
        <v>#N/A</v>
      </c>
      <c r="T137" s="185" t="e">
        <v>#N/A</v>
      </c>
      <c r="U137" s="201" t="e">
        <v>#N/A</v>
      </c>
      <c r="V137" s="185" t="e">
        <v>#N/A</v>
      </c>
      <c r="W137" s="185" t="e">
        <v>#N/A</v>
      </c>
      <c r="X137" s="201" t="e">
        <v>#N/A</v>
      </c>
      <c r="Y137" s="205" t="e">
        <v>#N/A</v>
      </c>
      <c r="Z137" s="231" t="e">
        <v>#N/A</v>
      </c>
      <c r="AA137" s="185" t="e">
        <v>#N/A</v>
      </c>
      <c r="AB137" s="185" t="e">
        <v>#N/A</v>
      </c>
      <c r="AC137" s="201" t="e">
        <v>#N/A</v>
      </c>
      <c r="AD137" s="185" t="e">
        <v>#N/A</v>
      </c>
      <c r="AE137" s="185" t="e">
        <v>#N/A</v>
      </c>
      <c r="AF137" s="201" t="e">
        <v>#N/A</v>
      </c>
      <c r="AH137" s="152">
        <f t="shared" ref="AH137:AH200" si="24">IFERROR(SUM(K137,L137*$AH$5),NA())</f>
        <v>0.86076791541353403</v>
      </c>
      <c r="AI137" s="152">
        <f t="shared" ref="AI137:AI200" si="25">IFERROR(L137*$AI$5,NA())</f>
        <v>4.6003849485108876E-2</v>
      </c>
      <c r="AJ137" s="152">
        <f t="shared" ref="AJ137:AJ200" si="26">IFERROR(SUM(N137,O137*$AH$5),NA())</f>
        <v>0.13621510523596125</v>
      </c>
      <c r="AK137" s="152">
        <f t="shared" ref="AK137:AK200" si="27">IFERROR(O137*$AI$5,NA())</f>
        <v>7.1610296373223872E-2</v>
      </c>
      <c r="AL137" s="152" t="e">
        <f t="shared" ref="AL137:AL200" si="28">IFERROR(SUM(S137,T137*$AH$5),NA())</f>
        <v>#N/A</v>
      </c>
      <c r="AM137" s="152" t="e">
        <f t="shared" ref="AM137:AM200" si="29">IFERROR(T137*$AI$5,NA())</f>
        <v>#N/A</v>
      </c>
      <c r="AN137" s="152" t="e">
        <f t="shared" ref="AN137:AN200" si="30">IFERROR(SUM(V137,W137*$AH$5),NA())</f>
        <v>#N/A</v>
      </c>
      <c r="AO137" s="152" t="e">
        <f t="shared" ref="AO137:AO200" si="31">IFERROR(W137*$AI$5,NA())</f>
        <v>#N/A</v>
      </c>
      <c r="AP137" s="152" t="e">
        <f t="shared" ref="AP137:AP200" si="32">IFERROR(SUM(AA137,AB137*$AH$5),NA())</f>
        <v>#N/A</v>
      </c>
      <c r="AQ137" s="152" t="e">
        <f t="shared" ref="AQ137:AQ200" si="33">IFERROR(AB137*$AI$5,NA())</f>
        <v>#N/A</v>
      </c>
      <c r="AR137" s="152" t="e">
        <f t="shared" ref="AR137:AR200" si="34">IFERROR(SUM(AD137,AE137*$AH$5),NA())</f>
        <v>#N/A</v>
      </c>
      <c r="AS137" s="152" t="e">
        <f t="shared" ref="AS137:AS200" si="35">IFERROR(AE137*$AI$5,NA())</f>
        <v>#N/A</v>
      </c>
    </row>
    <row r="138" spans="8:45" ht="15.75" customHeight="1">
      <c r="H138" s="212">
        <v>131</v>
      </c>
      <c r="I138" s="205">
        <v>17752.192204156403</v>
      </c>
      <c r="J138" s="231">
        <v>2801.2751385936504</v>
      </c>
      <c r="K138" s="185">
        <v>0.83847910063051512</v>
      </c>
      <c r="L138" s="185">
        <v>4.8327004556247347E-2</v>
      </c>
      <c r="M138" s="201">
        <v>0.11319389481323754</v>
      </c>
      <c r="N138" s="185">
        <v>9.506223355645084E-2</v>
      </c>
      <c r="O138" s="185">
        <v>7.5371939591177189E-2</v>
      </c>
      <c r="P138" s="201">
        <v>0.82956582685237201</v>
      </c>
      <c r="Q138" s="205" t="e">
        <v>#N/A</v>
      </c>
      <c r="R138" s="231" t="e">
        <v>#N/A</v>
      </c>
      <c r="S138" s="185" t="e">
        <v>#N/A</v>
      </c>
      <c r="T138" s="185" t="e">
        <v>#N/A</v>
      </c>
      <c r="U138" s="201" t="e">
        <v>#N/A</v>
      </c>
      <c r="V138" s="185" t="e">
        <v>#N/A</v>
      </c>
      <c r="W138" s="185" t="e">
        <v>#N/A</v>
      </c>
      <c r="X138" s="201" t="e">
        <v>#N/A</v>
      </c>
      <c r="Y138" s="205" t="e">
        <v>#N/A</v>
      </c>
      <c r="Z138" s="231" t="e">
        <v>#N/A</v>
      </c>
      <c r="AA138" s="185" t="e">
        <v>#N/A</v>
      </c>
      <c r="AB138" s="185" t="e">
        <v>#N/A</v>
      </c>
      <c r="AC138" s="201" t="e">
        <v>#N/A</v>
      </c>
      <c r="AD138" s="185" t="e">
        <v>#N/A</v>
      </c>
      <c r="AE138" s="185" t="e">
        <v>#N/A</v>
      </c>
      <c r="AF138" s="201" t="e">
        <v>#N/A</v>
      </c>
      <c r="AH138" s="152">
        <f t="shared" si="24"/>
        <v>0.86264260290863881</v>
      </c>
      <c r="AI138" s="152">
        <f t="shared" si="25"/>
        <v>4.1852413634516514E-2</v>
      </c>
      <c r="AJ138" s="152">
        <f t="shared" si="26"/>
        <v>0.13274820335203943</v>
      </c>
      <c r="AK138" s="152">
        <f t="shared" si="27"/>
        <v>6.5274014418465545E-2</v>
      </c>
      <c r="AL138" s="152" t="e">
        <f t="shared" si="28"/>
        <v>#N/A</v>
      </c>
      <c r="AM138" s="152" t="e">
        <f t="shared" si="29"/>
        <v>#N/A</v>
      </c>
      <c r="AN138" s="152" t="e">
        <f t="shared" si="30"/>
        <v>#N/A</v>
      </c>
      <c r="AO138" s="152" t="e">
        <f t="shared" si="31"/>
        <v>#N/A</v>
      </c>
      <c r="AP138" s="152" t="e">
        <f t="shared" si="32"/>
        <v>#N/A</v>
      </c>
      <c r="AQ138" s="152" t="e">
        <f t="shared" si="33"/>
        <v>#N/A</v>
      </c>
      <c r="AR138" s="152" t="e">
        <f t="shared" si="34"/>
        <v>#N/A</v>
      </c>
      <c r="AS138" s="152" t="e">
        <f t="shared" si="35"/>
        <v>#N/A</v>
      </c>
    </row>
    <row r="139" spans="8:45" ht="15.75" customHeight="1">
      <c r="H139" s="212">
        <v>132</v>
      </c>
      <c r="I139" s="205">
        <v>17742.996636621079</v>
      </c>
      <c r="J139" s="231">
        <v>2797.2681158920659</v>
      </c>
      <c r="K139" s="185">
        <v>0.84273963458678847</v>
      </c>
      <c r="L139" s="185">
        <v>4.3545019207150905E-2</v>
      </c>
      <c r="M139" s="201">
        <v>0.11371534620606064</v>
      </c>
      <c r="N139" s="185">
        <v>9.5252807173392864E-2</v>
      </c>
      <c r="O139" s="185">
        <v>6.8045592311223063E-2</v>
      </c>
      <c r="P139" s="201">
        <v>0.836701600515384</v>
      </c>
      <c r="Q139" s="205" t="e">
        <v>#N/A</v>
      </c>
      <c r="R139" s="231" t="e">
        <v>#N/A</v>
      </c>
      <c r="S139" s="185" t="e">
        <v>#N/A</v>
      </c>
      <c r="T139" s="185" t="e">
        <v>#N/A</v>
      </c>
      <c r="U139" s="201" t="e">
        <v>#N/A</v>
      </c>
      <c r="V139" s="185" t="e">
        <v>#N/A</v>
      </c>
      <c r="W139" s="185" t="e">
        <v>#N/A</v>
      </c>
      <c r="X139" s="201" t="e">
        <v>#N/A</v>
      </c>
      <c r="Y139" s="205" t="e">
        <v>#N/A</v>
      </c>
      <c r="Z139" s="231" t="e">
        <v>#N/A</v>
      </c>
      <c r="AA139" s="185" t="e">
        <v>#N/A</v>
      </c>
      <c r="AB139" s="185" t="e">
        <v>#N/A</v>
      </c>
      <c r="AC139" s="201" t="e">
        <v>#N/A</v>
      </c>
      <c r="AD139" s="185" t="e">
        <v>#N/A</v>
      </c>
      <c r="AE139" s="185" t="e">
        <v>#N/A</v>
      </c>
      <c r="AF139" s="201" t="e">
        <v>#N/A</v>
      </c>
      <c r="AH139" s="152">
        <f t="shared" si="24"/>
        <v>0.86451214419036393</v>
      </c>
      <c r="AI139" s="152">
        <f t="shared" si="25"/>
        <v>3.7711092841673996E-2</v>
      </c>
      <c r="AJ139" s="152">
        <f t="shared" si="26"/>
        <v>0.1292756033290044</v>
      </c>
      <c r="AK139" s="152">
        <f t="shared" si="27"/>
        <v>5.8929211557078247E-2</v>
      </c>
      <c r="AL139" s="152" t="e">
        <f t="shared" si="28"/>
        <v>#N/A</v>
      </c>
      <c r="AM139" s="152" t="e">
        <f t="shared" si="29"/>
        <v>#N/A</v>
      </c>
      <c r="AN139" s="152" t="e">
        <f t="shared" si="30"/>
        <v>#N/A</v>
      </c>
      <c r="AO139" s="152" t="e">
        <f t="shared" si="31"/>
        <v>#N/A</v>
      </c>
      <c r="AP139" s="152" t="e">
        <f t="shared" si="32"/>
        <v>#N/A</v>
      </c>
      <c r="AQ139" s="152" t="e">
        <f t="shared" si="33"/>
        <v>#N/A</v>
      </c>
      <c r="AR139" s="152" t="e">
        <f t="shared" si="34"/>
        <v>#N/A</v>
      </c>
      <c r="AS139" s="152" t="e">
        <f t="shared" si="35"/>
        <v>#N/A</v>
      </c>
    </row>
    <row r="140" spans="8:45" ht="15.75" customHeight="1">
      <c r="H140" s="212">
        <v>133</v>
      </c>
      <c r="I140" s="205">
        <v>17733.744695697067</v>
      </c>
      <c r="J140" s="231">
        <v>2793.2973092293196</v>
      </c>
      <c r="K140" s="185">
        <v>0.84698905402880664</v>
      </c>
      <c r="L140" s="185">
        <v>3.8774768366550215E-2</v>
      </c>
      <c r="M140" s="201">
        <v>0.11423617760464314</v>
      </c>
      <c r="N140" s="185">
        <v>9.5442636720267621E-2</v>
      </c>
      <c r="O140" s="185">
        <v>6.0709378215362403E-2</v>
      </c>
      <c r="P140" s="201">
        <v>0.84384798506436998</v>
      </c>
      <c r="Q140" s="205" t="e">
        <v>#N/A</v>
      </c>
      <c r="R140" s="231" t="e">
        <v>#N/A</v>
      </c>
      <c r="S140" s="185" t="e">
        <v>#N/A</v>
      </c>
      <c r="T140" s="185" t="e">
        <v>#N/A</v>
      </c>
      <c r="U140" s="201" t="e">
        <v>#N/A</v>
      </c>
      <c r="V140" s="185" t="e">
        <v>#N/A</v>
      </c>
      <c r="W140" s="185" t="e">
        <v>#N/A</v>
      </c>
      <c r="X140" s="201" t="e">
        <v>#N/A</v>
      </c>
      <c r="Y140" s="205" t="e">
        <v>#N/A</v>
      </c>
      <c r="Z140" s="231" t="e">
        <v>#N/A</v>
      </c>
      <c r="AA140" s="185" t="e">
        <v>#N/A</v>
      </c>
      <c r="AB140" s="185" t="e">
        <v>#N/A</v>
      </c>
      <c r="AC140" s="201" t="e">
        <v>#N/A</v>
      </c>
      <c r="AD140" s="185" t="e">
        <v>#N/A</v>
      </c>
      <c r="AE140" s="185" t="e">
        <v>#N/A</v>
      </c>
      <c r="AF140" s="201" t="e">
        <v>#N/A</v>
      </c>
      <c r="AH140" s="152">
        <f t="shared" si="24"/>
        <v>0.86637643821208177</v>
      </c>
      <c r="AI140" s="152">
        <f t="shared" si="25"/>
        <v>3.3579934431289725E-2</v>
      </c>
      <c r="AJ140" s="152">
        <f t="shared" si="26"/>
        <v>0.12579732582794884</v>
      </c>
      <c r="AK140" s="152">
        <f t="shared" si="27"/>
        <v>5.2575863782461423E-2</v>
      </c>
      <c r="AL140" s="152" t="e">
        <f t="shared" si="28"/>
        <v>#N/A</v>
      </c>
      <c r="AM140" s="152" t="e">
        <f t="shared" si="29"/>
        <v>#N/A</v>
      </c>
      <c r="AN140" s="152" t="e">
        <f t="shared" si="30"/>
        <v>#N/A</v>
      </c>
      <c r="AO140" s="152" t="e">
        <f t="shared" si="31"/>
        <v>#N/A</v>
      </c>
      <c r="AP140" s="152" t="e">
        <f t="shared" si="32"/>
        <v>#N/A</v>
      </c>
      <c r="AQ140" s="152" t="e">
        <f t="shared" si="33"/>
        <v>#N/A</v>
      </c>
      <c r="AR140" s="152" t="e">
        <f t="shared" si="34"/>
        <v>#N/A</v>
      </c>
      <c r="AS140" s="152" t="e">
        <f t="shared" si="35"/>
        <v>#N/A</v>
      </c>
    </row>
    <row r="141" spans="8:45" ht="15.75" customHeight="1">
      <c r="H141" s="212">
        <v>134</v>
      </c>
      <c r="I141" s="205">
        <v>17724.438174667008</v>
      </c>
      <c r="J141" s="231">
        <v>2789.3625207851537</v>
      </c>
      <c r="K141" s="185">
        <v>0.85122723093078678</v>
      </c>
      <c r="L141" s="185">
        <v>3.4016311612442958E-2</v>
      </c>
      <c r="M141" s="201">
        <v>0.11475645745677027</v>
      </c>
      <c r="N141" s="185">
        <v>9.5631757700158818E-2</v>
      </c>
      <c r="O141" s="185">
        <v>5.3363264776163932E-2</v>
      </c>
      <c r="P141" s="201">
        <v>0.85100497752367721</v>
      </c>
      <c r="Q141" s="205" t="e">
        <v>#N/A</v>
      </c>
      <c r="R141" s="231" t="e">
        <v>#N/A</v>
      </c>
      <c r="S141" s="185" t="e">
        <v>#N/A</v>
      </c>
      <c r="T141" s="185" t="e">
        <v>#N/A</v>
      </c>
      <c r="U141" s="201" t="e">
        <v>#N/A</v>
      </c>
      <c r="V141" s="185" t="e">
        <v>#N/A</v>
      </c>
      <c r="W141" s="185" t="e">
        <v>#N/A</v>
      </c>
      <c r="X141" s="201" t="e">
        <v>#N/A</v>
      </c>
      <c r="Y141" s="205" t="e">
        <v>#N/A</v>
      </c>
      <c r="Z141" s="231" t="e">
        <v>#N/A</v>
      </c>
      <c r="AA141" s="185" t="e">
        <v>#N/A</v>
      </c>
      <c r="AB141" s="185" t="e">
        <v>#N/A</v>
      </c>
      <c r="AC141" s="201" t="e">
        <v>#N/A</v>
      </c>
      <c r="AD141" s="185" t="e">
        <v>#N/A</v>
      </c>
      <c r="AE141" s="185" t="e">
        <v>#N/A</v>
      </c>
      <c r="AF141" s="201" t="e">
        <v>#N/A</v>
      </c>
      <c r="AH141" s="152">
        <f t="shared" si="24"/>
        <v>0.86823538673700829</v>
      </c>
      <c r="AI141" s="152">
        <f t="shared" si="25"/>
        <v>2.9458989999423202E-2</v>
      </c>
      <c r="AJ141" s="152">
        <f t="shared" si="26"/>
        <v>0.12231339008824078</v>
      </c>
      <c r="AK141" s="152">
        <f t="shared" si="27"/>
        <v>4.621394292503328E-2</v>
      </c>
      <c r="AL141" s="152" t="e">
        <f t="shared" si="28"/>
        <v>#N/A</v>
      </c>
      <c r="AM141" s="152" t="e">
        <f t="shared" si="29"/>
        <v>#N/A</v>
      </c>
      <c r="AN141" s="152" t="e">
        <f t="shared" si="30"/>
        <v>#N/A</v>
      </c>
      <c r="AO141" s="152" t="e">
        <f t="shared" si="31"/>
        <v>#N/A</v>
      </c>
      <c r="AP141" s="152" t="e">
        <f t="shared" si="32"/>
        <v>#N/A</v>
      </c>
      <c r="AQ141" s="152" t="e">
        <f t="shared" si="33"/>
        <v>#N/A</v>
      </c>
      <c r="AR141" s="152" t="e">
        <f t="shared" si="34"/>
        <v>#N/A</v>
      </c>
      <c r="AS141" s="152" t="e">
        <f t="shared" si="35"/>
        <v>#N/A</v>
      </c>
    </row>
    <row r="142" spans="8:45" ht="15.75" customHeight="1">
      <c r="H142" s="212">
        <v>135</v>
      </c>
      <c r="I142" s="205">
        <v>17715.078850662281</v>
      </c>
      <c r="J142" s="231">
        <v>2785.463578704389</v>
      </c>
      <c r="K142" s="185">
        <v>0.85545403884340543</v>
      </c>
      <c r="L142" s="185">
        <v>2.9269713698224474E-2</v>
      </c>
      <c r="M142" s="201">
        <v>0.11527624745837009</v>
      </c>
      <c r="N142" s="185">
        <v>9.5820205846720893E-2</v>
      </c>
      <c r="O142" s="185">
        <v>4.6007214348045569E-2</v>
      </c>
      <c r="P142" s="201">
        <v>0.85817257980523354</v>
      </c>
      <c r="Q142" s="205" t="e">
        <v>#N/A</v>
      </c>
      <c r="R142" s="231" t="e">
        <v>#N/A</v>
      </c>
      <c r="S142" s="185" t="e">
        <v>#N/A</v>
      </c>
      <c r="T142" s="185" t="e">
        <v>#N/A</v>
      </c>
      <c r="U142" s="201" t="e">
        <v>#N/A</v>
      </c>
      <c r="V142" s="185" t="e">
        <v>#N/A</v>
      </c>
      <c r="W142" s="185" t="e">
        <v>#N/A</v>
      </c>
      <c r="X142" s="201" t="e">
        <v>#N/A</v>
      </c>
      <c r="Y142" s="205" t="e">
        <v>#N/A</v>
      </c>
      <c r="Z142" s="231" t="e">
        <v>#N/A</v>
      </c>
      <c r="AA142" s="185" t="e">
        <v>#N/A</v>
      </c>
      <c r="AB142" s="185" t="e">
        <v>#N/A</v>
      </c>
      <c r="AC142" s="201" t="e">
        <v>#N/A</v>
      </c>
      <c r="AD142" s="185" t="e">
        <v>#N/A</v>
      </c>
      <c r="AE142" s="185" t="e">
        <v>#N/A</v>
      </c>
      <c r="AF142" s="201" t="e">
        <v>#N/A</v>
      </c>
      <c r="AH142" s="152">
        <f t="shared" si="24"/>
        <v>0.87008889569251768</v>
      </c>
      <c r="AI142" s="152">
        <f t="shared" si="25"/>
        <v>2.5348315624159765E-2</v>
      </c>
      <c r="AJ142" s="152">
        <f t="shared" si="26"/>
        <v>0.11882381302074368</v>
      </c>
      <c r="AK142" s="152">
        <f t="shared" si="27"/>
        <v>3.9843416382763383E-2</v>
      </c>
      <c r="AL142" s="152" t="e">
        <f t="shared" si="28"/>
        <v>#N/A</v>
      </c>
      <c r="AM142" s="152" t="e">
        <f t="shared" si="29"/>
        <v>#N/A</v>
      </c>
      <c r="AN142" s="152" t="e">
        <f t="shared" si="30"/>
        <v>#N/A</v>
      </c>
      <c r="AO142" s="152" t="e">
        <f t="shared" si="31"/>
        <v>#N/A</v>
      </c>
      <c r="AP142" s="152" t="e">
        <f t="shared" si="32"/>
        <v>#N/A</v>
      </c>
      <c r="AQ142" s="152" t="e">
        <f t="shared" si="33"/>
        <v>#N/A</v>
      </c>
      <c r="AR142" s="152" t="e">
        <f t="shared" si="34"/>
        <v>#N/A</v>
      </c>
      <c r="AS142" s="152" t="e">
        <f t="shared" si="35"/>
        <v>#N/A</v>
      </c>
    </row>
    <row r="143" spans="8:45" ht="15.75" customHeight="1">
      <c r="H143" s="212">
        <v>136</v>
      </c>
      <c r="I143" s="205">
        <v>17705.668484219659</v>
      </c>
      <c r="J143" s="231">
        <v>2781.6003407620533</v>
      </c>
      <c r="K143" s="185">
        <v>0.85966935475712181</v>
      </c>
      <c r="L143" s="185">
        <v>2.453504456052651E-2</v>
      </c>
      <c r="M143" s="201">
        <v>0.11579560068235169</v>
      </c>
      <c r="N143" s="185">
        <v>9.6008015769860608E-2</v>
      </c>
      <c r="O143" s="185">
        <v>3.864118408061662E-2</v>
      </c>
      <c r="P143" s="201">
        <v>0.8653508001495227</v>
      </c>
      <c r="Q143" s="205" t="e">
        <v>#N/A</v>
      </c>
      <c r="R143" s="231" t="e">
        <v>#N/A</v>
      </c>
      <c r="S143" s="185" t="e">
        <v>#N/A</v>
      </c>
      <c r="T143" s="185" t="e">
        <v>#N/A</v>
      </c>
      <c r="U143" s="201" t="e">
        <v>#N/A</v>
      </c>
      <c r="V143" s="185" t="e">
        <v>#N/A</v>
      </c>
      <c r="W143" s="185" t="e">
        <v>#N/A</v>
      </c>
      <c r="X143" s="201" t="e">
        <v>#N/A</v>
      </c>
      <c r="Y143" s="205" t="e">
        <v>#N/A</v>
      </c>
      <c r="Z143" s="231" t="e">
        <v>#N/A</v>
      </c>
      <c r="AA143" s="185" t="e">
        <v>#N/A</v>
      </c>
      <c r="AB143" s="185" t="e">
        <v>#N/A</v>
      </c>
      <c r="AC143" s="201" t="e">
        <v>#N/A</v>
      </c>
      <c r="AD143" s="185" t="e">
        <v>#N/A</v>
      </c>
      <c r="AE143" s="185" t="e">
        <v>#N/A</v>
      </c>
      <c r="AF143" s="201" t="e">
        <v>#N/A</v>
      </c>
      <c r="AH143" s="152">
        <f t="shared" si="24"/>
        <v>0.87193687703738509</v>
      </c>
      <c r="AI143" s="152">
        <f t="shared" si="25"/>
        <v>2.1247971872399164E-2</v>
      </c>
      <c r="AJ143" s="152">
        <f t="shared" si="26"/>
        <v>0.11532860781016892</v>
      </c>
      <c r="AK143" s="152">
        <f t="shared" si="27"/>
        <v>3.3464247046124829E-2</v>
      </c>
      <c r="AL143" s="152" t="e">
        <f t="shared" si="28"/>
        <v>#N/A</v>
      </c>
      <c r="AM143" s="152" t="e">
        <f t="shared" si="29"/>
        <v>#N/A</v>
      </c>
      <c r="AN143" s="152" t="e">
        <f t="shared" si="30"/>
        <v>#N/A</v>
      </c>
      <c r="AO143" s="152" t="e">
        <f t="shared" si="31"/>
        <v>#N/A</v>
      </c>
      <c r="AP143" s="152" t="e">
        <f t="shared" si="32"/>
        <v>#N/A</v>
      </c>
      <c r="AQ143" s="152" t="e">
        <f t="shared" si="33"/>
        <v>#N/A</v>
      </c>
      <c r="AR143" s="152" t="e">
        <f t="shared" si="34"/>
        <v>#N/A</v>
      </c>
      <c r="AS143" s="152" t="e">
        <f t="shared" si="35"/>
        <v>#N/A</v>
      </c>
    </row>
    <row r="144" spans="8:45" ht="15.75" customHeight="1">
      <c r="H144" s="212">
        <v>137</v>
      </c>
      <c r="I144" s="205">
        <v>17696.208817596718</v>
      </c>
      <c r="J144" s="231">
        <v>2777.772698666131</v>
      </c>
      <c r="K144" s="185">
        <v>0.86387306190359692</v>
      </c>
      <c r="L144" s="185">
        <v>1.9812378890148263E-2</v>
      </c>
      <c r="M144" s="201">
        <v>0.11631455920625482</v>
      </c>
      <c r="N144" s="185">
        <v>9.6195218603852981E-2</v>
      </c>
      <c r="O144" s="185">
        <v>3.1265126263562919E-2</v>
      </c>
      <c r="P144" s="201">
        <v>0.87253965513258414</v>
      </c>
      <c r="Q144" s="205" t="e">
        <v>#N/A</v>
      </c>
      <c r="R144" s="231" t="e">
        <v>#N/A</v>
      </c>
      <c r="S144" s="185" t="e">
        <v>#N/A</v>
      </c>
      <c r="T144" s="185" t="e">
        <v>#N/A</v>
      </c>
      <c r="U144" s="201" t="e">
        <v>#N/A</v>
      </c>
      <c r="V144" s="185" t="e">
        <v>#N/A</v>
      </c>
      <c r="W144" s="185" t="e">
        <v>#N/A</v>
      </c>
      <c r="X144" s="201" t="e">
        <v>#N/A</v>
      </c>
      <c r="Y144" s="205" t="e">
        <v>#N/A</v>
      </c>
      <c r="Z144" s="231" t="e">
        <v>#N/A</v>
      </c>
      <c r="AA144" s="185" t="e">
        <v>#N/A</v>
      </c>
      <c r="AB144" s="185" t="e">
        <v>#N/A</v>
      </c>
      <c r="AC144" s="201" t="e">
        <v>#N/A</v>
      </c>
      <c r="AD144" s="185" t="e">
        <v>#N/A</v>
      </c>
      <c r="AE144" s="185" t="e">
        <v>#N/A</v>
      </c>
      <c r="AF144" s="201" t="e">
        <v>#N/A</v>
      </c>
      <c r="AH144" s="152">
        <f t="shared" si="24"/>
        <v>0.87377925134867107</v>
      </c>
      <c r="AI144" s="152">
        <f t="shared" si="25"/>
        <v>1.7158023428270937E-2</v>
      </c>
      <c r="AJ144" s="152">
        <f t="shared" si="26"/>
        <v>0.11182778173563444</v>
      </c>
      <c r="AK144" s="152">
        <f t="shared" si="27"/>
        <v>2.7076393596773534E-2</v>
      </c>
      <c r="AL144" s="152" t="e">
        <f t="shared" si="28"/>
        <v>#N/A</v>
      </c>
      <c r="AM144" s="152" t="e">
        <f t="shared" si="29"/>
        <v>#N/A</v>
      </c>
      <c r="AN144" s="152" t="e">
        <f t="shared" si="30"/>
        <v>#N/A</v>
      </c>
      <c r="AO144" s="152" t="e">
        <f t="shared" si="31"/>
        <v>#N/A</v>
      </c>
      <c r="AP144" s="152" t="e">
        <f t="shared" si="32"/>
        <v>#N/A</v>
      </c>
      <c r="AQ144" s="152" t="e">
        <f t="shared" si="33"/>
        <v>#N/A</v>
      </c>
      <c r="AR144" s="152" t="e">
        <f t="shared" si="34"/>
        <v>#N/A</v>
      </c>
      <c r="AS144" s="152" t="e">
        <f t="shared" si="35"/>
        <v>#N/A</v>
      </c>
    </row>
    <row r="145" spans="8:45" ht="15.75" customHeight="1">
      <c r="H145" s="212">
        <v>138</v>
      </c>
      <c r="I145" s="205">
        <v>17686.701571001562</v>
      </c>
      <c r="J145" s="231">
        <v>2773.9805829498227</v>
      </c>
      <c r="K145" s="185">
        <v>0.86806505397515454</v>
      </c>
      <c r="L145" s="185">
        <v>1.5101794922997814E-2</v>
      </c>
      <c r="M145" s="201">
        <v>0.11683315110184764</v>
      </c>
      <c r="N145" s="185">
        <v>9.6381837995053427E-2</v>
      </c>
      <c r="O145" s="185">
        <v>2.3878989460340921E-2</v>
      </c>
      <c r="P145" s="201">
        <v>0.87973917254460565</v>
      </c>
      <c r="Q145" s="205" t="e">
        <v>#N/A</v>
      </c>
      <c r="R145" s="231" t="e">
        <v>#N/A</v>
      </c>
      <c r="S145" s="185" t="e">
        <v>#N/A</v>
      </c>
      <c r="T145" s="185" t="e">
        <v>#N/A</v>
      </c>
      <c r="U145" s="201" t="e">
        <v>#N/A</v>
      </c>
      <c r="V145" s="185" t="e">
        <v>#N/A</v>
      </c>
      <c r="W145" s="185" t="e">
        <v>#N/A</v>
      </c>
      <c r="X145" s="201" t="e">
        <v>#N/A</v>
      </c>
      <c r="Y145" s="205" t="e">
        <v>#N/A</v>
      </c>
      <c r="Z145" s="231" t="e">
        <v>#N/A</v>
      </c>
      <c r="AA145" s="185" t="e">
        <v>#N/A</v>
      </c>
      <c r="AB145" s="185" t="e">
        <v>#N/A</v>
      </c>
      <c r="AC145" s="201" t="e">
        <v>#N/A</v>
      </c>
      <c r="AD145" s="185" t="e">
        <v>#N/A</v>
      </c>
      <c r="AE145" s="185" t="e">
        <v>#N/A</v>
      </c>
      <c r="AF145" s="201" t="e">
        <v>#N/A</v>
      </c>
      <c r="AH145" s="152">
        <f t="shared" si="24"/>
        <v>0.87561595143665349</v>
      </c>
      <c r="AI145" s="152">
        <f t="shared" si="25"/>
        <v>1.3078538046058966E-2</v>
      </c>
      <c r="AJ145" s="152">
        <f t="shared" si="26"/>
        <v>0.10832133272522389</v>
      </c>
      <c r="AK145" s="152">
        <f t="shared" si="27"/>
        <v>2.06798114893561E-2</v>
      </c>
      <c r="AL145" s="152" t="e">
        <f t="shared" si="28"/>
        <v>#N/A</v>
      </c>
      <c r="AM145" s="152" t="e">
        <f t="shared" si="29"/>
        <v>#N/A</v>
      </c>
      <c r="AN145" s="152" t="e">
        <f t="shared" si="30"/>
        <v>#N/A</v>
      </c>
      <c r="AO145" s="152" t="e">
        <f t="shared" si="31"/>
        <v>#N/A</v>
      </c>
      <c r="AP145" s="152" t="e">
        <f t="shared" si="32"/>
        <v>#N/A</v>
      </c>
      <c r="AQ145" s="152" t="e">
        <f t="shared" si="33"/>
        <v>#N/A</v>
      </c>
      <c r="AR145" s="152" t="e">
        <f t="shared" si="34"/>
        <v>#N/A</v>
      </c>
      <c r="AS145" s="152" t="e">
        <f t="shared" si="35"/>
        <v>#N/A</v>
      </c>
    </row>
    <row r="146" spans="8:45" ht="15.75" customHeight="1">
      <c r="H146" s="212">
        <v>139</v>
      </c>
      <c r="I146" s="205">
        <v>17677.148435316358</v>
      </c>
      <c r="J146" s="231">
        <v>2770.2239681955225</v>
      </c>
      <c r="K146" s="185">
        <v>0.87224524152404703</v>
      </c>
      <c r="L146" s="185">
        <v>1.0403371862148217E-2</v>
      </c>
      <c r="M146" s="201">
        <v>0.11735138661380475</v>
      </c>
      <c r="N146" s="185">
        <v>9.6567883292002846E-2</v>
      </c>
      <c r="O146" s="185">
        <v>1.6482721049592631E-2</v>
      </c>
      <c r="P146" s="201">
        <v>0.88694939565840458</v>
      </c>
      <c r="Q146" s="205" t="e">
        <v>#N/A</v>
      </c>
      <c r="R146" s="231" t="e">
        <v>#N/A</v>
      </c>
      <c r="S146" s="185" t="e">
        <v>#N/A</v>
      </c>
      <c r="T146" s="185" t="e">
        <v>#N/A</v>
      </c>
      <c r="U146" s="201" t="e">
        <v>#N/A</v>
      </c>
      <c r="V146" s="185" t="e">
        <v>#N/A</v>
      </c>
      <c r="W146" s="185" t="e">
        <v>#N/A</v>
      </c>
      <c r="X146" s="201" t="e">
        <v>#N/A</v>
      </c>
      <c r="Y146" s="205" t="e">
        <v>#N/A</v>
      </c>
      <c r="Z146" s="231" t="e">
        <v>#N/A</v>
      </c>
      <c r="AA146" s="185" t="e">
        <v>#N/A</v>
      </c>
      <c r="AB146" s="185" t="e">
        <v>#N/A</v>
      </c>
      <c r="AC146" s="201" t="e">
        <v>#N/A</v>
      </c>
      <c r="AD146" s="185" t="e">
        <v>#N/A</v>
      </c>
      <c r="AE146" s="185" t="e">
        <v>#N/A</v>
      </c>
      <c r="AF146" s="201" t="e">
        <v>#N/A</v>
      </c>
      <c r="AH146" s="152">
        <f t="shared" si="24"/>
        <v>0.8774469274551211</v>
      </c>
      <c r="AI146" s="152">
        <f t="shared" si="25"/>
        <v>9.0095843176365761E-3</v>
      </c>
      <c r="AJ146" s="152">
        <f t="shared" si="26"/>
        <v>0.10480924381679917</v>
      </c>
      <c r="AK146" s="152">
        <f t="shared" si="27"/>
        <v>1.4274455152439724E-2</v>
      </c>
      <c r="AL146" s="152" t="e">
        <f t="shared" si="28"/>
        <v>#N/A</v>
      </c>
      <c r="AM146" s="152" t="e">
        <f t="shared" si="29"/>
        <v>#N/A</v>
      </c>
      <c r="AN146" s="152" t="e">
        <f t="shared" si="30"/>
        <v>#N/A</v>
      </c>
      <c r="AO146" s="152" t="e">
        <f t="shared" si="31"/>
        <v>#N/A</v>
      </c>
      <c r="AP146" s="152" t="e">
        <f t="shared" si="32"/>
        <v>#N/A</v>
      </c>
      <c r="AQ146" s="152" t="e">
        <f t="shared" si="33"/>
        <v>#N/A</v>
      </c>
      <c r="AR146" s="152" t="e">
        <f t="shared" si="34"/>
        <v>#N/A</v>
      </c>
      <c r="AS146" s="152" t="e">
        <f t="shared" si="35"/>
        <v>#N/A</v>
      </c>
    </row>
    <row r="147" spans="8:45" ht="15.75" customHeight="1">
      <c r="H147" s="212">
        <v>140</v>
      </c>
      <c r="I147" s="205">
        <v>17667.551058883328</v>
      </c>
      <c r="J147" s="231">
        <v>2766.5028778735309</v>
      </c>
      <c r="K147" s="185">
        <v>0.87641356178545127</v>
      </c>
      <c r="L147" s="185">
        <v>5.7171849061018283E-3</v>
      </c>
      <c r="M147" s="201">
        <v>0.1178692533084469</v>
      </c>
      <c r="N147" s="185">
        <v>9.6753337947610693E-2</v>
      </c>
      <c r="O147" s="185">
        <v>9.0762722606701311E-3</v>
      </c>
      <c r="P147" s="201">
        <v>0.89417038979171926</v>
      </c>
      <c r="Q147" s="205" t="e">
        <v>#N/A</v>
      </c>
      <c r="R147" s="231" t="e">
        <v>#N/A</v>
      </c>
      <c r="S147" s="185" t="e">
        <v>#N/A</v>
      </c>
      <c r="T147" s="185" t="e">
        <v>#N/A</v>
      </c>
      <c r="U147" s="201" t="e">
        <v>#N/A</v>
      </c>
      <c r="V147" s="185" t="e">
        <v>#N/A</v>
      </c>
      <c r="W147" s="185" t="e">
        <v>#N/A</v>
      </c>
      <c r="X147" s="201" t="e">
        <v>#N/A</v>
      </c>
      <c r="Y147" s="205" t="e">
        <v>#N/A</v>
      </c>
      <c r="Z147" s="231" t="e">
        <v>#N/A</v>
      </c>
      <c r="AA147" s="185" t="e">
        <v>#N/A</v>
      </c>
      <c r="AB147" s="185" t="e">
        <v>#N/A</v>
      </c>
      <c r="AC147" s="201" t="e">
        <v>#N/A</v>
      </c>
      <c r="AD147" s="185" t="e">
        <v>#N/A</v>
      </c>
      <c r="AE147" s="185" t="e">
        <v>#N/A</v>
      </c>
      <c r="AF147" s="201" t="e">
        <v>#N/A</v>
      </c>
      <c r="AH147" s="152">
        <f t="shared" si="24"/>
        <v>0.87927215423850213</v>
      </c>
      <c r="AI147" s="152">
        <f t="shared" si="25"/>
        <v>4.9512273668171338E-3</v>
      </c>
      <c r="AJ147" s="152">
        <f t="shared" si="26"/>
        <v>0.10129147407794575</v>
      </c>
      <c r="AK147" s="152">
        <f t="shared" si="27"/>
        <v>7.8602823494043489E-3</v>
      </c>
      <c r="AL147" s="152" t="e">
        <f t="shared" si="28"/>
        <v>#N/A</v>
      </c>
      <c r="AM147" s="152" t="e">
        <f t="shared" si="29"/>
        <v>#N/A</v>
      </c>
      <c r="AN147" s="152" t="e">
        <f t="shared" si="30"/>
        <v>#N/A</v>
      </c>
      <c r="AO147" s="152" t="e">
        <f t="shared" si="31"/>
        <v>#N/A</v>
      </c>
      <c r="AP147" s="152" t="e">
        <f t="shared" si="32"/>
        <v>#N/A</v>
      </c>
      <c r="AQ147" s="152" t="e">
        <f t="shared" si="33"/>
        <v>#N/A</v>
      </c>
      <c r="AR147" s="152" t="e">
        <f t="shared" si="34"/>
        <v>#N/A</v>
      </c>
      <c r="AS147" s="152" t="e">
        <f t="shared" si="35"/>
        <v>#N/A</v>
      </c>
    </row>
    <row r="148" spans="8:45" ht="15.75" customHeight="1">
      <c r="H148" s="212">
        <v>141</v>
      </c>
      <c r="I148" s="205">
        <v>17657.911024095425</v>
      </c>
      <c r="J148" s="231">
        <v>2762.8173870783075</v>
      </c>
      <c r="K148" s="185">
        <v>0.88056999401284286</v>
      </c>
      <c r="L148" s="185">
        <v>1.0432960651281617E-3</v>
      </c>
      <c r="M148" s="201">
        <v>0.11838670992202897</v>
      </c>
      <c r="N148" s="185">
        <v>9.693813956004467E-2</v>
      </c>
      <c r="O148" s="185">
        <v>1.6596076429628911E-3</v>
      </c>
      <c r="P148" s="201">
        <v>0.90140225279699238</v>
      </c>
      <c r="Q148" s="205" t="e">
        <v>#N/A</v>
      </c>
      <c r="R148" s="231" t="e">
        <v>#N/A</v>
      </c>
      <c r="S148" s="185" t="e">
        <v>#N/A</v>
      </c>
      <c r="T148" s="185" t="e">
        <v>#N/A</v>
      </c>
      <c r="U148" s="201" t="e">
        <v>#N/A</v>
      </c>
      <c r="V148" s="185" t="e">
        <v>#N/A</v>
      </c>
      <c r="W148" s="185" t="e">
        <v>#N/A</v>
      </c>
      <c r="X148" s="201" t="e">
        <v>#N/A</v>
      </c>
      <c r="Y148" s="205" t="e">
        <v>#N/A</v>
      </c>
      <c r="Z148" s="231" t="e">
        <v>#N/A</v>
      </c>
      <c r="AA148" s="185" t="e">
        <v>#N/A</v>
      </c>
      <c r="AB148" s="185" t="e">
        <v>#N/A</v>
      </c>
      <c r="AC148" s="201" t="e">
        <v>#N/A</v>
      </c>
      <c r="AD148" s="185" t="e">
        <v>#N/A</v>
      </c>
      <c r="AE148" s="185" t="e">
        <v>#N/A</v>
      </c>
      <c r="AF148" s="201" t="e">
        <v>#N/A</v>
      </c>
      <c r="AH148" s="152">
        <f t="shared" si="24"/>
        <v>0.88109164204540691</v>
      </c>
      <c r="AI148" s="152">
        <f t="shared" si="25"/>
        <v>9.0352089606933223E-4</v>
      </c>
      <c r="AJ148" s="152">
        <f t="shared" si="26"/>
        <v>9.7767943381526112E-2</v>
      </c>
      <c r="AK148" s="152">
        <f t="shared" si="27"/>
        <v>1.4372623791206781E-3</v>
      </c>
      <c r="AL148" s="152" t="e">
        <f t="shared" si="28"/>
        <v>#N/A</v>
      </c>
      <c r="AM148" s="152" t="e">
        <f t="shared" si="29"/>
        <v>#N/A</v>
      </c>
      <c r="AN148" s="152" t="e">
        <f t="shared" si="30"/>
        <v>#N/A</v>
      </c>
      <c r="AO148" s="152" t="e">
        <f t="shared" si="31"/>
        <v>#N/A</v>
      </c>
      <c r="AP148" s="152" t="e">
        <f t="shared" si="32"/>
        <v>#N/A</v>
      </c>
      <c r="AQ148" s="152" t="e">
        <f t="shared" si="33"/>
        <v>#N/A</v>
      </c>
      <c r="AR148" s="152" t="e">
        <f t="shared" si="34"/>
        <v>#N/A</v>
      </c>
      <c r="AS148" s="152" t="e">
        <f t="shared" si="35"/>
        <v>#N/A</v>
      </c>
    </row>
    <row r="149" spans="8:45" ht="15.75" customHeight="1">
      <c r="H149" s="212">
        <v>142</v>
      </c>
      <c r="I149" s="205">
        <v>17655.750034296805</v>
      </c>
      <c r="J149" s="231">
        <v>2761.9982706373562</v>
      </c>
      <c r="K149" s="185">
        <v>0.88149766090677339</v>
      </c>
      <c r="L149" s="185">
        <v>0</v>
      </c>
      <c r="M149" s="201">
        <v>0.11850233909322661</v>
      </c>
      <c r="N149" s="185">
        <v>9.6979355675667109E-2</v>
      </c>
      <c r="O149" s="185">
        <v>0</v>
      </c>
      <c r="P149" s="201">
        <v>0.90302064432433293</v>
      </c>
      <c r="Q149" s="205" t="e">
        <v>#N/A</v>
      </c>
      <c r="R149" s="231" t="e">
        <v>#N/A</v>
      </c>
      <c r="S149" s="185" t="e">
        <v>#N/A</v>
      </c>
      <c r="T149" s="185" t="e">
        <v>#N/A</v>
      </c>
      <c r="U149" s="201" t="e">
        <v>#N/A</v>
      </c>
      <c r="V149" s="185" t="e">
        <v>#N/A</v>
      </c>
      <c r="W149" s="185" t="e">
        <v>#N/A</v>
      </c>
      <c r="X149" s="201" t="e">
        <v>#N/A</v>
      </c>
      <c r="Y149" s="205" t="e">
        <v>#N/A</v>
      </c>
      <c r="Z149" s="231" t="e">
        <v>#N/A</v>
      </c>
      <c r="AA149" s="185" t="e">
        <v>#N/A</v>
      </c>
      <c r="AB149" s="185" t="e">
        <v>#N/A</v>
      </c>
      <c r="AC149" s="201" t="e">
        <v>#N/A</v>
      </c>
      <c r="AD149" s="185" t="e">
        <v>#N/A</v>
      </c>
      <c r="AE149" s="185" t="e">
        <v>#N/A</v>
      </c>
      <c r="AF149" s="201" t="e">
        <v>#N/A</v>
      </c>
      <c r="AH149" s="152">
        <f t="shared" si="24"/>
        <v>0.88149766090677339</v>
      </c>
      <c r="AI149" s="152">
        <f t="shared" si="25"/>
        <v>0</v>
      </c>
      <c r="AJ149" s="152">
        <f t="shared" si="26"/>
        <v>9.6979355675667109E-2</v>
      </c>
      <c r="AK149" s="152">
        <f t="shared" si="27"/>
        <v>0</v>
      </c>
      <c r="AL149" s="152" t="e">
        <f t="shared" si="28"/>
        <v>#N/A</v>
      </c>
      <c r="AM149" s="152" t="e">
        <f t="shared" si="29"/>
        <v>#N/A</v>
      </c>
      <c r="AN149" s="152" t="e">
        <f t="shared" si="30"/>
        <v>#N/A</v>
      </c>
      <c r="AO149" s="152" t="e">
        <f t="shared" si="31"/>
        <v>#N/A</v>
      </c>
      <c r="AP149" s="152" t="e">
        <f t="shared" si="32"/>
        <v>#N/A</v>
      </c>
      <c r="AQ149" s="152" t="e">
        <f t="shared" si="33"/>
        <v>#N/A</v>
      </c>
      <c r="AR149" s="152" t="e">
        <f t="shared" si="34"/>
        <v>#N/A</v>
      </c>
      <c r="AS149" s="152" t="e">
        <f t="shared" si="35"/>
        <v>#N/A</v>
      </c>
    </row>
    <row r="150" spans="8:45" ht="15.75" customHeight="1">
      <c r="H150" s="212" t="e">
        <v>#N/A</v>
      </c>
      <c r="I150" s="205" t="e">
        <v>#N/A</v>
      </c>
      <c r="J150" s="231" t="e">
        <v>#N/A</v>
      </c>
      <c r="K150" s="185" t="e">
        <v>#N/A</v>
      </c>
      <c r="L150" s="185" t="e">
        <v>#N/A</v>
      </c>
      <c r="M150" s="201" t="e">
        <v>#N/A</v>
      </c>
      <c r="N150" s="185" t="e">
        <v>#N/A</v>
      </c>
      <c r="O150" s="185" t="e">
        <v>#N/A</v>
      </c>
      <c r="P150" s="201" t="e">
        <v>#N/A</v>
      </c>
      <c r="Q150" s="205" t="e">
        <v>#N/A</v>
      </c>
      <c r="R150" s="231" t="e">
        <v>#N/A</v>
      </c>
      <c r="S150" s="185" t="e">
        <v>#N/A</v>
      </c>
      <c r="T150" s="185" t="e">
        <v>#N/A</v>
      </c>
      <c r="U150" s="201" t="e">
        <v>#N/A</v>
      </c>
      <c r="V150" s="185" t="e">
        <v>#N/A</v>
      </c>
      <c r="W150" s="185" t="e">
        <v>#N/A</v>
      </c>
      <c r="X150" s="201" t="e">
        <v>#N/A</v>
      </c>
      <c r="Y150" s="205" t="e">
        <v>#N/A</v>
      </c>
      <c r="Z150" s="231" t="e">
        <v>#N/A</v>
      </c>
      <c r="AA150" s="185" t="e">
        <v>#N/A</v>
      </c>
      <c r="AB150" s="185" t="e">
        <v>#N/A</v>
      </c>
      <c r="AC150" s="201" t="e">
        <v>#N/A</v>
      </c>
      <c r="AD150" s="185" t="e">
        <v>#N/A</v>
      </c>
      <c r="AE150" s="185" t="e">
        <v>#N/A</v>
      </c>
      <c r="AF150" s="201" t="e">
        <v>#N/A</v>
      </c>
      <c r="AH150" s="152" t="e">
        <f t="shared" si="24"/>
        <v>#N/A</v>
      </c>
      <c r="AI150" s="152" t="e">
        <f t="shared" si="25"/>
        <v>#N/A</v>
      </c>
      <c r="AJ150" s="152" t="e">
        <f t="shared" si="26"/>
        <v>#N/A</v>
      </c>
      <c r="AK150" s="152" t="e">
        <f t="shared" si="27"/>
        <v>#N/A</v>
      </c>
      <c r="AL150" s="152" t="e">
        <f t="shared" si="28"/>
        <v>#N/A</v>
      </c>
      <c r="AM150" s="152" t="e">
        <f t="shared" si="29"/>
        <v>#N/A</v>
      </c>
      <c r="AN150" s="152" t="e">
        <f t="shared" si="30"/>
        <v>#N/A</v>
      </c>
      <c r="AO150" s="152" t="e">
        <f t="shared" si="31"/>
        <v>#N/A</v>
      </c>
      <c r="AP150" s="152" t="e">
        <f t="shared" si="32"/>
        <v>#N/A</v>
      </c>
      <c r="AQ150" s="152" t="e">
        <f t="shared" si="33"/>
        <v>#N/A</v>
      </c>
      <c r="AR150" s="152" t="e">
        <f t="shared" si="34"/>
        <v>#N/A</v>
      </c>
      <c r="AS150" s="152" t="e">
        <f t="shared" si="35"/>
        <v>#N/A</v>
      </c>
    </row>
    <row r="151" spans="8:45" ht="15.75" customHeight="1">
      <c r="H151" s="212" t="e">
        <v>#N/A</v>
      </c>
      <c r="I151" s="205" t="e">
        <v>#N/A</v>
      </c>
      <c r="J151" s="231" t="e">
        <v>#N/A</v>
      </c>
      <c r="K151" s="185" t="e">
        <v>#N/A</v>
      </c>
      <c r="L151" s="185" t="e">
        <v>#N/A</v>
      </c>
      <c r="M151" s="201" t="e">
        <v>#N/A</v>
      </c>
      <c r="N151" s="185" t="e">
        <v>#N/A</v>
      </c>
      <c r="O151" s="185" t="e">
        <v>#N/A</v>
      </c>
      <c r="P151" s="201" t="e">
        <v>#N/A</v>
      </c>
      <c r="Q151" s="205" t="e">
        <v>#N/A</v>
      </c>
      <c r="R151" s="231" t="e">
        <v>#N/A</v>
      </c>
      <c r="S151" s="185" t="e">
        <v>#N/A</v>
      </c>
      <c r="T151" s="185" t="e">
        <v>#N/A</v>
      </c>
      <c r="U151" s="201" t="e">
        <v>#N/A</v>
      </c>
      <c r="V151" s="185" t="e">
        <v>#N/A</v>
      </c>
      <c r="W151" s="185" t="e">
        <v>#N/A</v>
      </c>
      <c r="X151" s="201" t="e">
        <v>#N/A</v>
      </c>
      <c r="Y151" s="205" t="e">
        <v>#N/A</v>
      </c>
      <c r="Z151" s="231" t="e">
        <v>#N/A</v>
      </c>
      <c r="AA151" s="185" t="e">
        <v>#N/A</v>
      </c>
      <c r="AB151" s="185" t="e">
        <v>#N/A</v>
      </c>
      <c r="AC151" s="201" t="e">
        <v>#N/A</v>
      </c>
      <c r="AD151" s="185" t="e">
        <v>#N/A</v>
      </c>
      <c r="AE151" s="185" t="e">
        <v>#N/A</v>
      </c>
      <c r="AF151" s="201" t="e">
        <v>#N/A</v>
      </c>
      <c r="AH151" s="152" t="e">
        <f t="shared" si="24"/>
        <v>#N/A</v>
      </c>
      <c r="AI151" s="152" t="e">
        <f t="shared" si="25"/>
        <v>#N/A</v>
      </c>
      <c r="AJ151" s="152" t="e">
        <f t="shared" si="26"/>
        <v>#N/A</v>
      </c>
      <c r="AK151" s="152" t="e">
        <f t="shared" si="27"/>
        <v>#N/A</v>
      </c>
      <c r="AL151" s="152" t="e">
        <f t="shared" si="28"/>
        <v>#N/A</v>
      </c>
      <c r="AM151" s="152" t="e">
        <f t="shared" si="29"/>
        <v>#N/A</v>
      </c>
      <c r="AN151" s="152" t="e">
        <f t="shared" si="30"/>
        <v>#N/A</v>
      </c>
      <c r="AO151" s="152" t="e">
        <f t="shared" si="31"/>
        <v>#N/A</v>
      </c>
      <c r="AP151" s="152" t="e">
        <f t="shared" si="32"/>
        <v>#N/A</v>
      </c>
      <c r="AQ151" s="152" t="e">
        <f t="shared" si="33"/>
        <v>#N/A</v>
      </c>
      <c r="AR151" s="152" t="e">
        <f t="shared" si="34"/>
        <v>#N/A</v>
      </c>
      <c r="AS151" s="152" t="e">
        <f t="shared" si="35"/>
        <v>#N/A</v>
      </c>
    </row>
    <row r="152" spans="8:45" ht="15.75" customHeight="1">
      <c r="H152" s="212" t="e">
        <v>#N/A</v>
      </c>
      <c r="I152" s="205" t="e">
        <v>#N/A</v>
      </c>
      <c r="J152" s="231" t="e">
        <v>#N/A</v>
      </c>
      <c r="K152" s="185" t="e">
        <v>#N/A</v>
      </c>
      <c r="L152" s="185" t="e">
        <v>#N/A</v>
      </c>
      <c r="M152" s="201" t="e">
        <v>#N/A</v>
      </c>
      <c r="N152" s="185" t="e">
        <v>#N/A</v>
      </c>
      <c r="O152" s="185" t="e">
        <v>#N/A</v>
      </c>
      <c r="P152" s="201" t="e">
        <v>#N/A</v>
      </c>
      <c r="Q152" s="205" t="e">
        <v>#N/A</v>
      </c>
      <c r="R152" s="231" t="e">
        <v>#N/A</v>
      </c>
      <c r="S152" s="185" t="e">
        <v>#N/A</v>
      </c>
      <c r="T152" s="185" t="e">
        <v>#N/A</v>
      </c>
      <c r="U152" s="201" t="e">
        <v>#N/A</v>
      </c>
      <c r="V152" s="185" t="e">
        <v>#N/A</v>
      </c>
      <c r="W152" s="185" t="e">
        <v>#N/A</v>
      </c>
      <c r="X152" s="201" t="e">
        <v>#N/A</v>
      </c>
      <c r="Y152" s="205" t="e">
        <v>#N/A</v>
      </c>
      <c r="Z152" s="231" t="e">
        <v>#N/A</v>
      </c>
      <c r="AA152" s="185" t="e">
        <v>#N/A</v>
      </c>
      <c r="AB152" s="185" t="e">
        <v>#N/A</v>
      </c>
      <c r="AC152" s="201" t="e">
        <v>#N/A</v>
      </c>
      <c r="AD152" s="185" t="e">
        <v>#N/A</v>
      </c>
      <c r="AE152" s="185" t="e">
        <v>#N/A</v>
      </c>
      <c r="AF152" s="201" t="e">
        <v>#N/A</v>
      </c>
      <c r="AH152" s="152" t="e">
        <f t="shared" si="24"/>
        <v>#N/A</v>
      </c>
      <c r="AI152" s="152" t="e">
        <f t="shared" si="25"/>
        <v>#N/A</v>
      </c>
      <c r="AJ152" s="152" t="e">
        <f t="shared" si="26"/>
        <v>#N/A</v>
      </c>
      <c r="AK152" s="152" t="e">
        <f t="shared" si="27"/>
        <v>#N/A</v>
      </c>
      <c r="AL152" s="152" t="e">
        <f t="shared" si="28"/>
        <v>#N/A</v>
      </c>
      <c r="AM152" s="152" t="e">
        <f t="shared" si="29"/>
        <v>#N/A</v>
      </c>
      <c r="AN152" s="152" t="e">
        <f t="shared" si="30"/>
        <v>#N/A</v>
      </c>
      <c r="AO152" s="152" t="e">
        <f t="shared" si="31"/>
        <v>#N/A</v>
      </c>
      <c r="AP152" s="152" t="e">
        <f t="shared" si="32"/>
        <v>#N/A</v>
      </c>
      <c r="AQ152" s="152" t="e">
        <f t="shared" si="33"/>
        <v>#N/A</v>
      </c>
      <c r="AR152" s="152" t="e">
        <f t="shared" si="34"/>
        <v>#N/A</v>
      </c>
      <c r="AS152" s="152" t="e">
        <f t="shared" si="35"/>
        <v>#N/A</v>
      </c>
    </row>
    <row r="153" spans="8:45" ht="15.75" customHeight="1">
      <c r="H153" s="212" t="e">
        <v>#N/A</v>
      </c>
      <c r="I153" s="205" t="e">
        <v>#N/A</v>
      </c>
      <c r="J153" s="231" t="e">
        <v>#N/A</v>
      </c>
      <c r="K153" s="185" t="e">
        <v>#N/A</v>
      </c>
      <c r="L153" s="185" t="e">
        <v>#N/A</v>
      </c>
      <c r="M153" s="201" t="e">
        <v>#N/A</v>
      </c>
      <c r="N153" s="185" t="e">
        <v>#N/A</v>
      </c>
      <c r="O153" s="185" t="e">
        <v>#N/A</v>
      </c>
      <c r="P153" s="201" t="e">
        <v>#N/A</v>
      </c>
      <c r="Q153" s="205" t="e">
        <v>#N/A</v>
      </c>
      <c r="R153" s="231" t="e">
        <v>#N/A</v>
      </c>
      <c r="S153" s="185" t="e">
        <v>#N/A</v>
      </c>
      <c r="T153" s="185" t="e">
        <v>#N/A</v>
      </c>
      <c r="U153" s="201" t="e">
        <v>#N/A</v>
      </c>
      <c r="V153" s="185" t="e">
        <v>#N/A</v>
      </c>
      <c r="W153" s="185" t="e">
        <v>#N/A</v>
      </c>
      <c r="X153" s="201" t="e">
        <v>#N/A</v>
      </c>
      <c r="Y153" s="205" t="e">
        <v>#N/A</v>
      </c>
      <c r="Z153" s="231" t="e">
        <v>#N/A</v>
      </c>
      <c r="AA153" s="185" t="e">
        <v>#N/A</v>
      </c>
      <c r="AB153" s="185" t="e">
        <v>#N/A</v>
      </c>
      <c r="AC153" s="201" t="e">
        <v>#N/A</v>
      </c>
      <c r="AD153" s="185" t="e">
        <v>#N/A</v>
      </c>
      <c r="AE153" s="185" t="e">
        <v>#N/A</v>
      </c>
      <c r="AF153" s="201" t="e">
        <v>#N/A</v>
      </c>
      <c r="AH153" s="152" t="e">
        <f t="shared" si="24"/>
        <v>#N/A</v>
      </c>
      <c r="AI153" s="152" t="e">
        <f t="shared" si="25"/>
        <v>#N/A</v>
      </c>
      <c r="AJ153" s="152" t="e">
        <f t="shared" si="26"/>
        <v>#N/A</v>
      </c>
      <c r="AK153" s="152" t="e">
        <f t="shared" si="27"/>
        <v>#N/A</v>
      </c>
      <c r="AL153" s="152" t="e">
        <f t="shared" si="28"/>
        <v>#N/A</v>
      </c>
      <c r="AM153" s="152" t="e">
        <f t="shared" si="29"/>
        <v>#N/A</v>
      </c>
      <c r="AN153" s="152" t="e">
        <f t="shared" si="30"/>
        <v>#N/A</v>
      </c>
      <c r="AO153" s="152" t="e">
        <f t="shared" si="31"/>
        <v>#N/A</v>
      </c>
      <c r="AP153" s="152" t="e">
        <f t="shared" si="32"/>
        <v>#N/A</v>
      </c>
      <c r="AQ153" s="152" t="e">
        <f t="shared" si="33"/>
        <v>#N/A</v>
      </c>
      <c r="AR153" s="152" t="e">
        <f t="shared" si="34"/>
        <v>#N/A</v>
      </c>
      <c r="AS153" s="152" t="e">
        <f t="shared" si="35"/>
        <v>#N/A</v>
      </c>
    </row>
    <row r="154" spans="8:45" ht="15.75" customHeight="1">
      <c r="H154" s="212" t="e">
        <v>#N/A</v>
      </c>
      <c r="I154" s="205" t="e">
        <v>#N/A</v>
      </c>
      <c r="J154" s="231" t="e">
        <v>#N/A</v>
      </c>
      <c r="K154" s="185" t="e">
        <v>#N/A</v>
      </c>
      <c r="L154" s="185" t="e">
        <v>#N/A</v>
      </c>
      <c r="M154" s="201" t="e">
        <v>#N/A</v>
      </c>
      <c r="N154" s="185" t="e">
        <v>#N/A</v>
      </c>
      <c r="O154" s="185" t="e">
        <v>#N/A</v>
      </c>
      <c r="P154" s="201" t="e">
        <v>#N/A</v>
      </c>
      <c r="Q154" s="205" t="e">
        <v>#N/A</v>
      </c>
      <c r="R154" s="231" t="e">
        <v>#N/A</v>
      </c>
      <c r="S154" s="185" t="e">
        <v>#N/A</v>
      </c>
      <c r="T154" s="185" t="e">
        <v>#N/A</v>
      </c>
      <c r="U154" s="201" t="e">
        <v>#N/A</v>
      </c>
      <c r="V154" s="185" t="e">
        <v>#N/A</v>
      </c>
      <c r="W154" s="185" t="e">
        <v>#N/A</v>
      </c>
      <c r="X154" s="201" t="e">
        <v>#N/A</v>
      </c>
      <c r="Y154" s="205" t="e">
        <v>#N/A</v>
      </c>
      <c r="Z154" s="231" t="e">
        <v>#N/A</v>
      </c>
      <c r="AA154" s="185" t="e">
        <v>#N/A</v>
      </c>
      <c r="AB154" s="185" t="e">
        <v>#N/A</v>
      </c>
      <c r="AC154" s="201" t="e">
        <v>#N/A</v>
      </c>
      <c r="AD154" s="185" t="e">
        <v>#N/A</v>
      </c>
      <c r="AE154" s="185" t="e">
        <v>#N/A</v>
      </c>
      <c r="AF154" s="201" t="e">
        <v>#N/A</v>
      </c>
      <c r="AH154" s="152" t="e">
        <f t="shared" si="24"/>
        <v>#N/A</v>
      </c>
      <c r="AI154" s="152" t="e">
        <f t="shared" si="25"/>
        <v>#N/A</v>
      </c>
      <c r="AJ154" s="152" t="e">
        <f t="shared" si="26"/>
        <v>#N/A</v>
      </c>
      <c r="AK154" s="152" t="e">
        <f t="shared" si="27"/>
        <v>#N/A</v>
      </c>
      <c r="AL154" s="152" t="e">
        <f t="shared" si="28"/>
        <v>#N/A</v>
      </c>
      <c r="AM154" s="152" t="e">
        <f t="shared" si="29"/>
        <v>#N/A</v>
      </c>
      <c r="AN154" s="152" t="e">
        <f t="shared" si="30"/>
        <v>#N/A</v>
      </c>
      <c r="AO154" s="152" t="e">
        <f t="shared" si="31"/>
        <v>#N/A</v>
      </c>
      <c r="AP154" s="152" t="e">
        <f t="shared" si="32"/>
        <v>#N/A</v>
      </c>
      <c r="AQ154" s="152" t="e">
        <f t="shared" si="33"/>
        <v>#N/A</v>
      </c>
      <c r="AR154" s="152" t="e">
        <f t="shared" si="34"/>
        <v>#N/A</v>
      </c>
      <c r="AS154" s="152" t="e">
        <f t="shared" si="35"/>
        <v>#N/A</v>
      </c>
    </row>
    <row r="155" spans="8:45" ht="15.75" customHeight="1">
      <c r="H155" s="212" t="e">
        <v>#N/A</v>
      </c>
      <c r="I155" s="205" t="e">
        <v>#N/A</v>
      </c>
      <c r="J155" s="231" t="e">
        <v>#N/A</v>
      </c>
      <c r="K155" s="185" t="e">
        <v>#N/A</v>
      </c>
      <c r="L155" s="185" t="e">
        <v>#N/A</v>
      </c>
      <c r="M155" s="201" t="e">
        <v>#N/A</v>
      </c>
      <c r="N155" s="185" t="e">
        <v>#N/A</v>
      </c>
      <c r="O155" s="185" t="e">
        <v>#N/A</v>
      </c>
      <c r="P155" s="201" t="e">
        <v>#N/A</v>
      </c>
      <c r="Q155" s="205" t="e">
        <v>#N/A</v>
      </c>
      <c r="R155" s="231" t="e">
        <v>#N/A</v>
      </c>
      <c r="S155" s="185" t="e">
        <v>#N/A</v>
      </c>
      <c r="T155" s="185" t="e">
        <v>#N/A</v>
      </c>
      <c r="U155" s="201" t="e">
        <v>#N/A</v>
      </c>
      <c r="V155" s="185" t="e">
        <v>#N/A</v>
      </c>
      <c r="W155" s="185" t="e">
        <v>#N/A</v>
      </c>
      <c r="X155" s="201" t="e">
        <v>#N/A</v>
      </c>
      <c r="Y155" s="205" t="e">
        <v>#N/A</v>
      </c>
      <c r="Z155" s="231" t="e">
        <v>#N/A</v>
      </c>
      <c r="AA155" s="185" t="e">
        <v>#N/A</v>
      </c>
      <c r="AB155" s="185" t="e">
        <v>#N/A</v>
      </c>
      <c r="AC155" s="201" t="e">
        <v>#N/A</v>
      </c>
      <c r="AD155" s="185" t="e">
        <v>#N/A</v>
      </c>
      <c r="AE155" s="185" t="e">
        <v>#N/A</v>
      </c>
      <c r="AF155" s="201" t="e">
        <v>#N/A</v>
      </c>
      <c r="AH155" s="152" t="e">
        <f t="shared" si="24"/>
        <v>#N/A</v>
      </c>
      <c r="AI155" s="152" t="e">
        <f t="shared" si="25"/>
        <v>#N/A</v>
      </c>
      <c r="AJ155" s="152" t="e">
        <f t="shared" si="26"/>
        <v>#N/A</v>
      </c>
      <c r="AK155" s="152" t="e">
        <f t="shared" si="27"/>
        <v>#N/A</v>
      </c>
      <c r="AL155" s="152" t="e">
        <f t="shared" si="28"/>
        <v>#N/A</v>
      </c>
      <c r="AM155" s="152" t="e">
        <f t="shared" si="29"/>
        <v>#N/A</v>
      </c>
      <c r="AN155" s="152" t="e">
        <f t="shared" si="30"/>
        <v>#N/A</v>
      </c>
      <c r="AO155" s="152" t="e">
        <f t="shared" si="31"/>
        <v>#N/A</v>
      </c>
      <c r="AP155" s="152" t="e">
        <f t="shared" si="32"/>
        <v>#N/A</v>
      </c>
      <c r="AQ155" s="152" t="e">
        <f t="shared" si="33"/>
        <v>#N/A</v>
      </c>
      <c r="AR155" s="152" t="e">
        <f t="shared" si="34"/>
        <v>#N/A</v>
      </c>
      <c r="AS155" s="152" t="e">
        <f t="shared" si="35"/>
        <v>#N/A</v>
      </c>
    </row>
    <row r="156" spans="8:45" ht="15.75" customHeight="1">
      <c r="H156" s="212" t="e">
        <v>#N/A</v>
      </c>
      <c r="I156" s="205" t="e">
        <v>#N/A</v>
      </c>
      <c r="J156" s="231" t="e">
        <v>#N/A</v>
      </c>
      <c r="K156" s="185" t="e">
        <v>#N/A</v>
      </c>
      <c r="L156" s="185" t="e">
        <v>#N/A</v>
      </c>
      <c r="M156" s="201" t="e">
        <v>#N/A</v>
      </c>
      <c r="N156" s="185" t="e">
        <v>#N/A</v>
      </c>
      <c r="O156" s="185" t="e">
        <v>#N/A</v>
      </c>
      <c r="P156" s="201" t="e">
        <v>#N/A</v>
      </c>
      <c r="Q156" s="205" t="e">
        <v>#N/A</v>
      </c>
      <c r="R156" s="231" t="e">
        <v>#N/A</v>
      </c>
      <c r="S156" s="185" t="e">
        <v>#N/A</v>
      </c>
      <c r="T156" s="185" t="e">
        <v>#N/A</v>
      </c>
      <c r="U156" s="201" t="e">
        <v>#N/A</v>
      </c>
      <c r="V156" s="185" t="e">
        <v>#N/A</v>
      </c>
      <c r="W156" s="185" t="e">
        <v>#N/A</v>
      </c>
      <c r="X156" s="201" t="e">
        <v>#N/A</v>
      </c>
      <c r="Y156" s="205" t="e">
        <v>#N/A</v>
      </c>
      <c r="Z156" s="231" t="e">
        <v>#N/A</v>
      </c>
      <c r="AA156" s="185" t="e">
        <v>#N/A</v>
      </c>
      <c r="AB156" s="185" t="e">
        <v>#N/A</v>
      </c>
      <c r="AC156" s="201" t="e">
        <v>#N/A</v>
      </c>
      <c r="AD156" s="185" t="e">
        <v>#N/A</v>
      </c>
      <c r="AE156" s="185" t="e">
        <v>#N/A</v>
      </c>
      <c r="AF156" s="201" t="e">
        <v>#N/A</v>
      </c>
      <c r="AH156" s="152" t="e">
        <f t="shared" si="24"/>
        <v>#N/A</v>
      </c>
      <c r="AI156" s="152" t="e">
        <f t="shared" si="25"/>
        <v>#N/A</v>
      </c>
      <c r="AJ156" s="152" t="e">
        <f t="shared" si="26"/>
        <v>#N/A</v>
      </c>
      <c r="AK156" s="152" t="e">
        <f t="shared" si="27"/>
        <v>#N/A</v>
      </c>
      <c r="AL156" s="152" t="e">
        <f t="shared" si="28"/>
        <v>#N/A</v>
      </c>
      <c r="AM156" s="152" t="e">
        <f t="shared" si="29"/>
        <v>#N/A</v>
      </c>
      <c r="AN156" s="152" t="e">
        <f t="shared" si="30"/>
        <v>#N/A</v>
      </c>
      <c r="AO156" s="152" t="e">
        <f t="shared" si="31"/>
        <v>#N/A</v>
      </c>
      <c r="AP156" s="152" t="e">
        <f t="shared" si="32"/>
        <v>#N/A</v>
      </c>
      <c r="AQ156" s="152" t="e">
        <f t="shared" si="33"/>
        <v>#N/A</v>
      </c>
      <c r="AR156" s="152" t="e">
        <f t="shared" si="34"/>
        <v>#N/A</v>
      </c>
      <c r="AS156" s="152" t="e">
        <f t="shared" si="35"/>
        <v>#N/A</v>
      </c>
    </row>
    <row r="157" spans="8:45" ht="15.75" customHeight="1">
      <c r="H157" s="212" t="e">
        <v>#N/A</v>
      </c>
      <c r="I157" s="205" t="e">
        <v>#N/A</v>
      </c>
      <c r="J157" s="231" t="e">
        <v>#N/A</v>
      </c>
      <c r="K157" s="185" t="e">
        <v>#N/A</v>
      </c>
      <c r="L157" s="185" t="e">
        <v>#N/A</v>
      </c>
      <c r="M157" s="201" t="e">
        <v>#N/A</v>
      </c>
      <c r="N157" s="185" t="e">
        <v>#N/A</v>
      </c>
      <c r="O157" s="185" t="e">
        <v>#N/A</v>
      </c>
      <c r="P157" s="201" t="e">
        <v>#N/A</v>
      </c>
      <c r="Q157" s="205" t="e">
        <v>#N/A</v>
      </c>
      <c r="R157" s="231" t="e">
        <v>#N/A</v>
      </c>
      <c r="S157" s="185" t="e">
        <v>#N/A</v>
      </c>
      <c r="T157" s="185" t="e">
        <v>#N/A</v>
      </c>
      <c r="U157" s="201" t="e">
        <v>#N/A</v>
      </c>
      <c r="V157" s="185" t="e">
        <v>#N/A</v>
      </c>
      <c r="W157" s="185" t="e">
        <v>#N/A</v>
      </c>
      <c r="X157" s="201" t="e">
        <v>#N/A</v>
      </c>
      <c r="Y157" s="205" t="e">
        <v>#N/A</v>
      </c>
      <c r="Z157" s="231" t="e">
        <v>#N/A</v>
      </c>
      <c r="AA157" s="185" t="e">
        <v>#N/A</v>
      </c>
      <c r="AB157" s="185" t="e">
        <v>#N/A</v>
      </c>
      <c r="AC157" s="201" t="e">
        <v>#N/A</v>
      </c>
      <c r="AD157" s="185" t="e">
        <v>#N/A</v>
      </c>
      <c r="AE157" s="185" t="e">
        <v>#N/A</v>
      </c>
      <c r="AF157" s="201" t="e">
        <v>#N/A</v>
      </c>
      <c r="AH157" s="152" t="e">
        <f t="shared" si="24"/>
        <v>#N/A</v>
      </c>
      <c r="AI157" s="152" t="e">
        <f t="shared" si="25"/>
        <v>#N/A</v>
      </c>
      <c r="AJ157" s="152" t="e">
        <f t="shared" si="26"/>
        <v>#N/A</v>
      </c>
      <c r="AK157" s="152" t="e">
        <f t="shared" si="27"/>
        <v>#N/A</v>
      </c>
      <c r="AL157" s="152" t="e">
        <f t="shared" si="28"/>
        <v>#N/A</v>
      </c>
      <c r="AM157" s="152" t="e">
        <f t="shared" si="29"/>
        <v>#N/A</v>
      </c>
      <c r="AN157" s="152" t="e">
        <f t="shared" si="30"/>
        <v>#N/A</v>
      </c>
      <c r="AO157" s="152" t="e">
        <f t="shared" si="31"/>
        <v>#N/A</v>
      </c>
      <c r="AP157" s="152" t="e">
        <f t="shared" si="32"/>
        <v>#N/A</v>
      </c>
      <c r="AQ157" s="152" t="e">
        <f t="shared" si="33"/>
        <v>#N/A</v>
      </c>
      <c r="AR157" s="152" t="e">
        <f t="shared" si="34"/>
        <v>#N/A</v>
      </c>
      <c r="AS157" s="152" t="e">
        <f t="shared" si="35"/>
        <v>#N/A</v>
      </c>
    </row>
    <row r="158" spans="8:45" ht="15.75" customHeight="1">
      <c r="H158" s="212" t="e">
        <v>#N/A</v>
      </c>
      <c r="I158" s="205" t="e">
        <v>#N/A</v>
      </c>
      <c r="J158" s="231" t="e">
        <v>#N/A</v>
      </c>
      <c r="K158" s="185" t="e">
        <v>#N/A</v>
      </c>
      <c r="L158" s="185" t="e">
        <v>#N/A</v>
      </c>
      <c r="M158" s="201" t="e">
        <v>#N/A</v>
      </c>
      <c r="N158" s="185" t="e">
        <v>#N/A</v>
      </c>
      <c r="O158" s="185" t="e">
        <v>#N/A</v>
      </c>
      <c r="P158" s="201" t="e">
        <v>#N/A</v>
      </c>
      <c r="Q158" s="205" t="e">
        <v>#N/A</v>
      </c>
      <c r="R158" s="231" t="e">
        <v>#N/A</v>
      </c>
      <c r="S158" s="185" t="e">
        <v>#N/A</v>
      </c>
      <c r="T158" s="185" t="e">
        <v>#N/A</v>
      </c>
      <c r="U158" s="201" t="e">
        <v>#N/A</v>
      </c>
      <c r="V158" s="185" t="e">
        <v>#N/A</v>
      </c>
      <c r="W158" s="185" t="e">
        <v>#N/A</v>
      </c>
      <c r="X158" s="201" t="e">
        <v>#N/A</v>
      </c>
      <c r="Y158" s="205" t="e">
        <v>#N/A</v>
      </c>
      <c r="Z158" s="231" t="e">
        <v>#N/A</v>
      </c>
      <c r="AA158" s="185" t="e">
        <v>#N/A</v>
      </c>
      <c r="AB158" s="185" t="e">
        <v>#N/A</v>
      </c>
      <c r="AC158" s="201" t="e">
        <v>#N/A</v>
      </c>
      <c r="AD158" s="185" t="e">
        <v>#N/A</v>
      </c>
      <c r="AE158" s="185" t="e">
        <v>#N/A</v>
      </c>
      <c r="AF158" s="201" t="e">
        <v>#N/A</v>
      </c>
      <c r="AH158" s="152" t="e">
        <f t="shared" si="24"/>
        <v>#N/A</v>
      </c>
      <c r="AI158" s="152" t="e">
        <f t="shared" si="25"/>
        <v>#N/A</v>
      </c>
      <c r="AJ158" s="152" t="e">
        <f t="shared" si="26"/>
        <v>#N/A</v>
      </c>
      <c r="AK158" s="152" t="e">
        <f t="shared" si="27"/>
        <v>#N/A</v>
      </c>
      <c r="AL158" s="152" t="e">
        <f t="shared" si="28"/>
        <v>#N/A</v>
      </c>
      <c r="AM158" s="152" t="e">
        <f t="shared" si="29"/>
        <v>#N/A</v>
      </c>
      <c r="AN158" s="152" t="e">
        <f t="shared" si="30"/>
        <v>#N/A</v>
      </c>
      <c r="AO158" s="152" t="e">
        <f t="shared" si="31"/>
        <v>#N/A</v>
      </c>
      <c r="AP158" s="152" t="e">
        <f t="shared" si="32"/>
        <v>#N/A</v>
      </c>
      <c r="AQ158" s="152" t="e">
        <f t="shared" si="33"/>
        <v>#N/A</v>
      </c>
      <c r="AR158" s="152" t="e">
        <f t="shared" si="34"/>
        <v>#N/A</v>
      </c>
      <c r="AS158" s="152" t="e">
        <f t="shared" si="35"/>
        <v>#N/A</v>
      </c>
    </row>
    <row r="159" spans="8:45" ht="15.75" customHeight="1">
      <c r="H159" s="212" t="e">
        <v>#N/A</v>
      </c>
      <c r="I159" s="205" t="e">
        <v>#N/A</v>
      </c>
      <c r="J159" s="231" t="e">
        <v>#N/A</v>
      </c>
      <c r="K159" s="185" t="e">
        <v>#N/A</v>
      </c>
      <c r="L159" s="185" t="e">
        <v>#N/A</v>
      </c>
      <c r="M159" s="201" t="e">
        <v>#N/A</v>
      </c>
      <c r="N159" s="185" t="e">
        <v>#N/A</v>
      </c>
      <c r="O159" s="185" t="e">
        <v>#N/A</v>
      </c>
      <c r="P159" s="201" t="e">
        <v>#N/A</v>
      </c>
      <c r="Q159" s="205" t="e">
        <v>#N/A</v>
      </c>
      <c r="R159" s="231" t="e">
        <v>#N/A</v>
      </c>
      <c r="S159" s="185" t="e">
        <v>#N/A</v>
      </c>
      <c r="T159" s="185" t="e">
        <v>#N/A</v>
      </c>
      <c r="U159" s="201" t="e">
        <v>#N/A</v>
      </c>
      <c r="V159" s="185" t="e">
        <v>#N/A</v>
      </c>
      <c r="W159" s="185" t="e">
        <v>#N/A</v>
      </c>
      <c r="X159" s="201" t="e">
        <v>#N/A</v>
      </c>
      <c r="Y159" s="205" t="e">
        <v>#N/A</v>
      </c>
      <c r="Z159" s="231" t="e">
        <v>#N/A</v>
      </c>
      <c r="AA159" s="185" t="e">
        <v>#N/A</v>
      </c>
      <c r="AB159" s="185" t="e">
        <v>#N/A</v>
      </c>
      <c r="AC159" s="201" t="e">
        <v>#N/A</v>
      </c>
      <c r="AD159" s="185" t="e">
        <v>#N/A</v>
      </c>
      <c r="AE159" s="185" t="e">
        <v>#N/A</v>
      </c>
      <c r="AF159" s="201" t="e">
        <v>#N/A</v>
      </c>
      <c r="AH159" s="152" t="e">
        <f t="shared" si="24"/>
        <v>#N/A</v>
      </c>
      <c r="AI159" s="152" t="e">
        <f t="shared" si="25"/>
        <v>#N/A</v>
      </c>
      <c r="AJ159" s="152" t="e">
        <f t="shared" si="26"/>
        <v>#N/A</v>
      </c>
      <c r="AK159" s="152" t="e">
        <f t="shared" si="27"/>
        <v>#N/A</v>
      </c>
      <c r="AL159" s="152" t="e">
        <f t="shared" si="28"/>
        <v>#N/A</v>
      </c>
      <c r="AM159" s="152" t="e">
        <f t="shared" si="29"/>
        <v>#N/A</v>
      </c>
      <c r="AN159" s="152" t="e">
        <f t="shared" si="30"/>
        <v>#N/A</v>
      </c>
      <c r="AO159" s="152" t="e">
        <f t="shared" si="31"/>
        <v>#N/A</v>
      </c>
      <c r="AP159" s="152" t="e">
        <f t="shared" si="32"/>
        <v>#N/A</v>
      </c>
      <c r="AQ159" s="152" t="e">
        <f t="shared" si="33"/>
        <v>#N/A</v>
      </c>
      <c r="AR159" s="152" t="e">
        <f t="shared" si="34"/>
        <v>#N/A</v>
      </c>
      <c r="AS159" s="152" t="e">
        <f t="shared" si="35"/>
        <v>#N/A</v>
      </c>
    </row>
    <row r="160" spans="8:45" ht="15.75" customHeight="1">
      <c r="H160" s="212" t="e">
        <v>#N/A</v>
      </c>
      <c r="I160" s="205" t="e">
        <v>#N/A</v>
      </c>
      <c r="J160" s="231" t="e">
        <v>#N/A</v>
      </c>
      <c r="K160" s="185" t="e">
        <v>#N/A</v>
      </c>
      <c r="L160" s="185" t="e">
        <v>#N/A</v>
      </c>
      <c r="M160" s="201" t="e">
        <v>#N/A</v>
      </c>
      <c r="N160" s="185" t="e">
        <v>#N/A</v>
      </c>
      <c r="O160" s="185" t="e">
        <v>#N/A</v>
      </c>
      <c r="P160" s="201" t="e">
        <v>#N/A</v>
      </c>
      <c r="Q160" s="205" t="e">
        <v>#N/A</v>
      </c>
      <c r="R160" s="231" t="e">
        <v>#N/A</v>
      </c>
      <c r="S160" s="185" t="e">
        <v>#N/A</v>
      </c>
      <c r="T160" s="185" t="e">
        <v>#N/A</v>
      </c>
      <c r="U160" s="201" t="e">
        <v>#N/A</v>
      </c>
      <c r="V160" s="185" t="e">
        <v>#N/A</v>
      </c>
      <c r="W160" s="185" t="e">
        <v>#N/A</v>
      </c>
      <c r="X160" s="201" t="e">
        <v>#N/A</v>
      </c>
      <c r="Y160" s="205" t="e">
        <v>#N/A</v>
      </c>
      <c r="Z160" s="231" t="e">
        <v>#N/A</v>
      </c>
      <c r="AA160" s="185" t="e">
        <v>#N/A</v>
      </c>
      <c r="AB160" s="185" t="e">
        <v>#N/A</v>
      </c>
      <c r="AC160" s="201" t="e">
        <v>#N/A</v>
      </c>
      <c r="AD160" s="185" t="e">
        <v>#N/A</v>
      </c>
      <c r="AE160" s="185" t="e">
        <v>#N/A</v>
      </c>
      <c r="AF160" s="201" t="e">
        <v>#N/A</v>
      </c>
      <c r="AH160" s="152" t="e">
        <f t="shared" si="24"/>
        <v>#N/A</v>
      </c>
      <c r="AI160" s="152" t="e">
        <f t="shared" si="25"/>
        <v>#N/A</v>
      </c>
      <c r="AJ160" s="152" t="e">
        <f t="shared" si="26"/>
        <v>#N/A</v>
      </c>
      <c r="AK160" s="152" t="e">
        <f t="shared" si="27"/>
        <v>#N/A</v>
      </c>
      <c r="AL160" s="152" t="e">
        <f t="shared" si="28"/>
        <v>#N/A</v>
      </c>
      <c r="AM160" s="152" t="e">
        <f t="shared" si="29"/>
        <v>#N/A</v>
      </c>
      <c r="AN160" s="152" t="e">
        <f t="shared" si="30"/>
        <v>#N/A</v>
      </c>
      <c r="AO160" s="152" t="e">
        <f t="shared" si="31"/>
        <v>#N/A</v>
      </c>
      <c r="AP160" s="152" t="e">
        <f t="shared" si="32"/>
        <v>#N/A</v>
      </c>
      <c r="AQ160" s="152" t="e">
        <f t="shared" si="33"/>
        <v>#N/A</v>
      </c>
      <c r="AR160" s="152" t="e">
        <f t="shared" si="34"/>
        <v>#N/A</v>
      </c>
      <c r="AS160" s="152" t="e">
        <f t="shared" si="35"/>
        <v>#N/A</v>
      </c>
    </row>
    <row r="161" spans="8:45" ht="15.75" customHeight="1">
      <c r="H161" s="212" t="e">
        <v>#N/A</v>
      </c>
      <c r="I161" s="205" t="e">
        <v>#N/A</v>
      </c>
      <c r="J161" s="231" t="e">
        <v>#N/A</v>
      </c>
      <c r="K161" s="185" t="e">
        <v>#N/A</v>
      </c>
      <c r="L161" s="185" t="e">
        <v>#N/A</v>
      </c>
      <c r="M161" s="201" t="e">
        <v>#N/A</v>
      </c>
      <c r="N161" s="185" t="e">
        <v>#N/A</v>
      </c>
      <c r="O161" s="185" t="e">
        <v>#N/A</v>
      </c>
      <c r="P161" s="201" t="e">
        <v>#N/A</v>
      </c>
      <c r="Q161" s="205" t="e">
        <v>#N/A</v>
      </c>
      <c r="R161" s="231" t="e">
        <v>#N/A</v>
      </c>
      <c r="S161" s="185" t="e">
        <v>#N/A</v>
      </c>
      <c r="T161" s="185" t="e">
        <v>#N/A</v>
      </c>
      <c r="U161" s="201" t="e">
        <v>#N/A</v>
      </c>
      <c r="V161" s="185" t="e">
        <v>#N/A</v>
      </c>
      <c r="W161" s="185" t="e">
        <v>#N/A</v>
      </c>
      <c r="X161" s="201" t="e">
        <v>#N/A</v>
      </c>
      <c r="Y161" s="205" t="e">
        <v>#N/A</v>
      </c>
      <c r="Z161" s="231" t="e">
        <v>#N/A</v>
      </c>
      <c r="AA161" s="185" t="e">
        <v>#N/A</v>
      </c>
      <c r="AB161" s="185" t="e">
        <v>#N/A</v>
      </c>
      <c r="AC161" s="201" t="e">
        <v>#N/A</v>
      </c>
      <c r="AD161" s="185" t="e">
        <v>#N/A</v>
      </c>
      <c r="AE161" s="185" t="e">
        <v>#N/A</v>
      </c>
      <c r="AF161" s="201" t="e">
        <v>#N/A</v>
      </c>
      <c r="AH161" s="152" t="e">
        <f t="shared" si="24"/>
        <v>#N/A</v>
      </c>
      <c r="AI161" s="152" t="e">
        <f t="shared" si="25"/>
        <v>#N/A</v>
      </c>
      <c r="AJ161" s="152" t="e">
        <f t="shared" si="26"/>
        <v>#N/A</v>
      </c>
      <c r="AK161" s="152" t="e">
        <f t="shared" si="27"/>
        <v>#N/A</v>
      </c>
      <c r="AL161" s="152" t="e">
        <f t="shared" si="28"/>
        <v>#N/A</v>
      </c>
      <c r="AM161" s="152" t="e">
        <f t="shared" si="29"/>
        <v>#N/A</v>
      </c>
      <c r="AN161" s="152" t="e">
        <f t="shared" si="30"/>
        <v>#N/A</v>
      </c>
      <c r="AO161" s="152" t="e">
        <f t="shared" si="31"/>
        <v>#N/A</v>
      </c>
      <c r="AP161" s="152" t="e">
        <f t="shared" si="32"/>
        <v>#N/A</v>
      </c>
      <c r="AQ161" s="152" t="e">
        <f t="shared" si="33"/>
        <v>#N/A</v>
      </c>
      <c r="AR161" s="152" t="e">
        <f t="shared" si="34"/>
        <v>#N/A</v>
      </c>
      <c r="AS161" s="152" t="e">
        <f t="shared" si="35"/>
        <v>#N/A</v>
      </c>
    </row>
    <row r="162" spans="8:45" ht="15.75" customHeight="1">
      <c r="H162" s="212" t="e">
        <v>#N/A</v>
      </c>
      <c r="I162" s="205" t="e">
        <v>#N/A</v>
      </c>
      <c r="J162" s="231" t="e">
        <v>#N/A</v>
      </c>
      <c r="K162" s="185" t="e">
        <v>#N/A</v>
      </c>
      <c r="L162" s="185" t="e">
        <v>#N/A</v>
      </c>
      <c r="M162" s="201" t="e">
        <v>#N/A</v>
      </c>
      <c r="N162" s="185" t="e">
        <v>#N/A</v>
      </c>
      <c r="O162" s="185" t="e">
        <v>#N/A</v>
      </c>
      <c r="P162" s="201" t="e">
        <v>#N/A</v>
      </c>
      <c r="Q162" s="205" t="e">
        <v>#N/A</v>
      </c>
      <c r="R162" s="231" t="e">
        <v>#N/A</v>
      </c>
      <c r="S162" s="185" t="e">
        <v>#N/A</v>
      </c>
      <c r="T162" s="185" t="e">
        <v>#N/A</v>
      </c>
      <c r="U162" s="201" t="e">
        <v>#N/A</v>
      </c>
      <c r="V162" s="185" t="e">
        <v>#N/A</v>
      </c>
      <c r="W162" s="185" t="e">
        <v>#N/A</v>
      </c>
      <c r="X162" s="201" t="e">
        <v>#N/A</v>
      </c>
      <c r="Y162" s="205" t="e">
        <v>#N/A</v>
      </c>
      <c r="Z162" s="231" t="e">
        <v>#N/A</v>
      </c>
      <c r="AA162" s="185" t="e">
        <v>#N/A</v>
      </c>
      <c r="AB162" s="185" t="e">
        <v>#N/A</v>
      </c>
      <c r="AC162" s="201" t="e">
        <v>#N/A</v>
      </c>
      <c r="AD162" s="185" t="e">
        <v>#N/A</v>
      </c>
      <c r="AE162" s="185" t="e">
        <v>#N/A</v>
      </c>
      <c r="AF162" s="201" t="e">
        <v>#N/A</v>
      </c>
      <c r="AH162" s="152" t="e">
        <f t="shared" si="24"/>
        <v>#N/A</v>
      </c>
      <c r="AI162" s="152" t="e">
        <f t="shared" si="25"/>
        <v>#N/A</v>
      </c>
      <c r="AJ162" s="152" t="e">
        <f t="shared" si="26"/>
        <v>#N/A</v>
      </c>
      <c r="AK162" s="152" t="e">
        <f t="shared" si="27"/>
        <v>#N/A</v>
      </c>
      <c r="AL162" s="152" t="e">
        <f t="shared" si="28"/>
        <v>#N/A</v>
      </c>
      <c r="AM162" s="152" t="e">
        <f t="shared" si="29"/>
        <v>#N/A</v>
      </c>
      <c r="AN162" s="152" t="e">
        <f t="shared" si="30"/>
        <v>#N/A</v>
      </c>
      <c r="AO162" s="152" t="e">
        <f t="shared" si="31"/>
        <v>#N/A</v>
      </c>
      <c r="AP162" s="152" t="e">
        <f t="shared" si="32"/>
        <v>#N/A</v>
      </c>
      <c r="AQ162" s="152" t="e">
        <f t="shared" si="33"/>
        <v>#N/A</v>
      </c>
      <c r="AR162" s="152" t="e">
        <f t="shared" si="34"/>
        <v>#N/A</v>
      </c>
      <c r="AS162" s="152" t="e">
        <f t="shared" si="35"/>
        <v>#N/A</v>
      </c>
    </row>
    <row r="163" spans="8:45" ht="15.75" customHeight="1">
      <c r="H163" s="212" t="e">
        <v>#N/A</v>
      </c>
      <c r="I163" s="205" t="e">
        <v>#N/A</v>
      </c>
      <c r="J163" s="231" t="e">
        <v>#N/A</v>
      </c>
      <c r="K163" s="185" t="e">
        <v>#N/A</v>
      </c>
      <c r="L163" s="185" t="e">
        <v>#N/A</v>
      </c>
      <c r="M163" s="201" t="e">
        <v>#N/A</v>
      </c>
      <c r="N163" s="185" t="e">
        <v>#N/A</v>
      </c>
      <c r="O163" s="185" t="e">
        <v>#N/A</v>
      </c>
      <c r="P163" s="201" t="e">
        <v>#N/A</v>
      </c>
      <c r="Q163" s="205" t="e">
        <v>#N/A</v>
      </c>
      <c r="R163" s="231" t="e">
        <v>#N/A</v>
      </c>
      <c r="S163" s="185" t="e">
        <v>#N/A</v>
      </c>
      <c r="T163" s="185" t="e">
        <v>#N/A</v>
      </c>
      <c r="U163" s="201" t="e">
        <v>#N/A</v>
      </c>
      <c r="V163" s="185" t="e">
        <v>#N/A</v>
      </c>
      <c r="W163" s="185" t="e">
        <v>#N/A</v>
      </c>
      <c r="X163" s="201" t="e">
        <v>#N/A</v>
      </c>
      <c r="Y163" s="205" t="e">
        <v>#N/A</v>
      </c>
      <c r="Z163" s="231" t="e">
        <v>#N/A</v>
      </c>
      <c r="AA163" s="185" t="e">
        <v>#N/A</v>
      </c>
      <c r="AB163" s="185" t="e">
        <v>#N/A</v>
      </c>
      <c r="AC163" s="201" t="e">
        <v>#N/A</v>
      </c>
      <c r="AD163" s="185" t="e">
        <v>#N/A</v>
      </c>
      <c r="AE163" s="185" t="e">
        <v>#N/A</v>
      </c>
      <c r="AF163" s="201" t="e">
        <v>#N/A</v>
      </c>
      <c r="AH163" s="152" t="e">
        <f t="shared" si="24"/>
        <v>#N/A</v>
      </c>
      <c r="AI163" s="152" t="e">
        <f t="shared" si="25"/>
        <v>#N/A</v>
      </c>
      <c r="AJ163" s="152" t="e">
        <f t="shared" si="26"/>
        <v>#N/A</v>
      </c>
      <c r="AK163" s="152" t="e">
        <f t="shared" si="27"/>
        <v>#N/A</v>
      </c>
      <c r="AL163" s="152" t="e">
        <f t="shared" si="28"/>
        <v>#N/A</v>
      </c>
      <c r="AM163" s="152" t="e">
        <f t="shared" si="29"/>
        <v>#N/A</v>
      </c>
      <c r="AN163" s="152" t="e">
        <f t="shared" si="30"/>
        <v>#N/A</v>
      </c>
      <c r="AO163" s="152" t="e">
        <f t="shared" si="31"/>
        <v>#N/A</v>
      </c>
      <c r="AP163" s="152" t="e">
        <f t="shared" si="32"/>
        <v>#N/A</v>
      </c>
      <c r="AQ163" s="152" t="e">
        <f t="shared" si="33"/>
        <v>#N/A</v>
      </c>
      <c r="AR163" s="152" t="e">
        <f t="shared" si="34"/>
        <v>#N/A</v>
      </c>
      <c r="AS163" s="152" t="e">
        <f t="shared" si="35"/>
        <v>#N/A</v>
      </c>
    </row>
    <row r="164" spans="8:45" ht="15.75" customHeight="1">
      <c r="H164" s="212" t="e">
        <v>#N/A</v>
      </c>
      <c r="I164" s="205" t="e">
        <v>#N/A</v>
      </c>
      <c r="J164" s="231" t="e">
        <v>#N/A</v>
      </c>
      <c r="K164" s="185" t="e">
        <v>#N/A</v>
      </c>
      <c r="L164" s="185" t="e">
        <v>#N/A</v>
      </c>
      <c r="M164" s="201" t="e">
        <v>#N/A</v>
      </c>
      <c r="N164" s="185" t="e">
        <v>#N/A</v>
      </c>
      <c r="O164" s="185" t="e">
        <v>#N/A</v>
      </c>
      <c r="P164" s="201" t="e">
        <v>#N/A</v>
      </c>
      <c r="Q164" s="205" t="e">
        <v>#N/A</v>
      </c>
      <c r="R164" s="231" t="e">
        <v>#N/A</v>
      </c>
      <c r="S164" s="185" t="e">
        <v>#N/A</v>
      </c>
      <c r="T164" s="185" t="e">
        <v>#N/A</v>
      </c>
      <c r="U164" s="201" t="e">
        <v>#N/A</v>
      </c>
      <c r="V164" s="185" t="e">
        <v>#N/A</v>
      </c>
      <c r="W164" s="185" t="e">
        <v>#N/A</v>
      </c>
      <c r="X164" s="201" t="e">
        <v>#N/A</v>
      </c>
      <c r="Y164" s="205" t="e">
        <v>#N/A</v>
      </c>
      <c r="Z164" s="231" t="e">
        <v>#N/A</v>
      </c>
      <c r="AA164" s="185" t="e">
        <v>#N/A</v>
      </c>
      <c r="AB164" s="185" t="e">
        <v>#N/A</v>
      </c>
      <c r="AC164" s="201" t="e">
        <v>#N/A</v>
      </c>
      <c r="AD164" s="185" t="e">
        <v>#N/A</v>
      </c>
      <c r="AE164" s="185" t="e">
        <v>#N/A</v>
      </c>
      <c r="AF164" s="201" t="e">
        <v>#N/A</v>
      </c>
      <c r="AH164" s="152" t="e">
        <f t="shared" si="24"/>
        <v>#N/A</v>
      </c>
      <c r="AI164" s="152" t="e">
        <f t="shared" si="25"/>
        <v>#N/A</v>
      </c>
      <c r="AJ164" s="152" t="e">
        <f t="shared" si="26"/>
        <v>#N/A</v>
      </c>
      <c r="AK164" s="152" t="e">
        <f t="shared" si="27"/>
        <v>#N/A</v>
      </c>
      <c r="AL164" s="152" t="e">
        <f t="shared" si="28"/>
        <v>#N/A</v>
      </c>
      <c r="AM164" s="152" t="e">
        <f t="shared" si="29"/>
        <v>#N/A</v>
      </c>
      <c r="AN164" s="152" t="e">
        <f t="shared" si="30"/>
        <v>#N/A</v>
      </c>
      <c r="AO164" s="152" t="e">
        <f t="shared" si="31"/>
        <v>#N/A</v>
      </c>
      <c r="AP164" s="152" t="e">
        <f t="shared" si="32"/>
        <v>#N/A</v>
      </c>
      <c r="AQ164" s="152" t="e">
        <f t="shared" si="33"/>
        <v>#N/A</v>
      </c>
      <c r="AR164" s="152" t="e">
        <f t="shared" si="34"/>
        <v>#N/A</v>
      </c>
      <c r="AS164" s="152" t="e">
        <f t="shared" si="35"/>
        <v>#N/A</v>
      </c>
    </row>
    <row r="165" spans="8:45" ht="15.75" customHeight="1">
      <c r="H165" s="212" t="e">
        <v>#N/A</v>
      </c>
      <c r="I165" s="205" t="e">
        <v>#N/A</v>
      </c>
      <c r="J165" s="231" t="e">
        <v>#N/A</v>
      </c>
      <c r="K165" s="185" t="e">
        <v>#N/A</v>
      </c>
      <c r="L165" s="185" t="e">
        <v>#N/A</v>
      </c>
      <c r="M165" s="201" t="e">
        <v>#N/A</v>
      </c>
      <c r="N165" s="185" t="e">
        <v>#N/A</v>
      </c>
      <c r="O165" s="185" t="e">
        <v>#N/A</v>
      </c>
      <c r="P165" s="201" t="e">
        <v>#N/A</v>
      </c>
      <c r="Q165" s="205" t="e">
        <v>#N/A</v>
      </c>
      <c r="R165" s="231" t="e">
        <v>#N/A</v>
      </c>
      <c r="S165" s="185" t="e">
        <v>#N/A</v>
      </c>
      <c r="T165" s="185" t="e">
        <v>#N/A</v>
      </c>
      <c r="U165" s="201" t="e">
        <v>#N/A</v>
      </c>
      <c r="V165" s="185" t="e">
        <v>#N/A</v>
      </c>
      <c r="W165" s="185" t="e">
        <v>#N/A</v>
      </c>
      <c r="X165" s="201" t="e">
        <v>#N/A</v>
      </c>
      <c r="Y165" s="205" t="e">
        <v>#N/A</v>
      </c>
      <c r="Z165" s="231" t="e">
        <v>#N/A</v>
      </c>
      <c r="AA165" s="185" t="e">
        <v>#N/A</v>
      </c>
      <c r="AB165" s="185" t="e">
        <v>#N/A</v>
      </c>
      <c r="AC165" s="201" t="e">
        <v>#N/A</v>
      </c>
      <c r="AD165" s="185" t="e">
        <v>#N/A</v>
      </c>
      <c r="AE165" s="185" t="e">
        <v>#N/A</v>
      </c>
      <c r="AF165" s="201" t="e">
        <v>#N/A</v>
      </c>
      <c r="AH165" s="152" t="e">
        <f t="shared" si="24"/>
        <v>#N/A</v>
      </c>
      <c r="AI165" s="152" t="e">
        <f t="shared" si="25"/>
        <v>#N/A</v>
      </c>
      <c r="AJ165" s="152" t="e">
        <f t="shared" si="26"/>
        <v>#N/A</v>
      </c>
      <c r="AK165" s="152" t="e">
        <f t="shared" si="27"/>
        <v>#N/A</v>
      </c>
      <c r="AL165" s="152" t="e">
        <f t="shared" si="28"/>
        <v>#N/A</v>
      </c>
      <c r="AM165" s="152" t="e">
        <f t="shared" si="29"/>
        <v>#N/A</v>
      </c>
      <c r="AN165" s="152" t="e">
        <f t="shared" si="30"/>
        <v>#N/A</v>
      </c>
      <c r="AO165" s="152" t="e">
        <f t="shared" si="31"/>
        <v>#N/A</v>
      </c>
      <c r="AP165" s="152" t="e">
        <f t="shared" si="32"/>
        <v>#N/A</v>
      </c>
      <c r="AQ165" s="152" t="e">
        <f t="shared" si="33"/>
        <v>#N/A</v>
      </c>
      <c r="AR165" s="152" t="e">
        <f t="shared" si="34"/>
        <v>#N/A</v>
      </c>
      <c r="AS165" s="152" t="e">
        <f t="shared" si="35"/>
        <v>#N/A</v>
      </c>
    </row>
    <row r="166" spans="8:45" ht="15.75" customHeight="1">
      <c r="H166" s="212" t="e">
        <v>#N/A</v>
      </c>
      <c r="I166" s="205" t="e">
        <v>#N/A</v>
      </c>
      <c r="J166" s="231" t="e">
        <v>#N/A</v>
      </c>
      <c r="K166" s="185" t="e">
        <v>#N/A</v>
      </c>
      <c r="L166" s="185" t="e">
        <v>#N/A</v>
      </c>
      <c r="M166" s="201" t="e">
        <v>#N/A</v>
      </c>
      <c r="N166" s="185" t="e">
        <v>#N/A</v>
      </c>
      <c r="O166" s="185" t="e">
        <v>#N/A</v>
      </c>
      <c r="P166" s="201" t="e">
        <v>#N/A</v>
      </c>
      <c r="Q166" s="205" t="e">
        <v>#N/A</v>
      </c>
      <c r="R166" s="231" t="e">
        <v>#N/A</v>
      </c>
      <c r="S166" s="185" t="e">
        <v>#N/A</v>
      </c>
      <c r="T166" s="185" t="e">
        <v>#N/A</v>
      </c>
      <c r="U166" s="201" t="e">
        <v>#N/A</v>
      </c>
      <c r="V166" s="185" t="e">
        <v>#N/A</v>
      </c>
      <c r="W166" s="185" t="e">
        <v>#N/A</v>
      </c>
      <c r="X166" s="201" t="e">
        <v>#N/A</v>
      </c>
      <c r="Y166" s="205" t="e">
        <v>#N/A</v>
      </c>
      <c r="Z166" s="231" t="e">
        <v>#N/A</v>
      </c>
      <c r="AA166" s="185" t="e">
        <v>#N/A</v>
      </c>
      <c r="AB166" s="185" t="e">
        <v>#N/A</v>
      </c>
      <c r="AC166" s="201" t="e">
        <v>#N/A</v>
      </c>
      <c r="AD166" s="185" t="e">
        <v>#N/A</v>
      </c>
      <c r="AE166" s="185" t="e">
        <v>#N/A</v>
      </c>
      <c r="AF166" s="201" t="e">
        <v>#N/A</v>
      </c>
      <c r="AH166" s="152" t="e">
        <f t="shared" si="24"/>
        <v>#N/A</v>
      </c>
      <c r="AI166" s="152" t="e">
        <f t="shared" si="25"/>
        <v>#N/A</v>
      </c>
      <c r="AJ166" s="152" t="e">
        <f t="shared" si="26"/>
        <v>#N/A</v>
      </c>
      <c r="AK166" s="152" t="e">
        <f t="shared" si="27"/>
        <v>#N/A</v>
      </c>
      <c r="AL166" s="152" t="e">
        <f t="shared" si="28"/>
        <v>#N/A</v>
      </c>
      <c r="AM166" s="152" t="e">
        <f t="shared" si="29"/>
        <v>#N/A</v>
      </c>
      <c r="AN166" s="152" t="e">
        <f t="shared" si="30"/>
        <v>#N/A</v>
      </c>
      <c r="AO166" s="152" t="e">
        <f t="shared" si="31"/>
        <v>#N/A</v>
      </c>
      <c r="AP166" s="152" t="e">
        <f t="shared" si="32"/>
        <v>#N/A</v>
      </c>
      <c r="AQ166" s="152" t="e">
        <f t="shared" si="33"/>
        <v>#N/A</v>
      </c>
      <c r="AR166" s="152" t="e">
        <f t="shared" si="34"/>
        <v>#N/A</v>
      </c>
      <c r="AS166" s="152" t="e">
        <f t="shared" si="35"/>
        <v>#N/A</v>
      </c>
    </row>
    <row r="167" spans="8:45" ht="15.75" customHeight="1">
      <c r="H167" s="212" t="e">
        <v>#N/A</v>
      </c>
      <c r="I167" s="205" t="e">
        <v>#N/A</v>
      </c>
      <c r="J167" s="231" t="e">
        <v>#N/A</v>
      </c>
      <c r="K167" s="185" t="e">
        <v>#N/A</v>
      </c>
      <c r="L167" s="185" t="e">
        <v>#N/A</v>
      </c>
      <c r="M167" s="201" t="e">
        <v>#N/A</v>
      </c>
      <c r="N167" s="185" t="e">
        <v>#N/A</v>
      </c>
      <c r="O167" s="185" t="e">
        <v>#N/A</v>
      </c>
      <c r="P167" s="201" t="e">
        <v>#N/A</v>
      </c>
      <c r="Q167" s="205" t="e">
        <v>#N/A</v>
      </c>
      <c r="R167" s="231" t="e">
        <v>#N/A</v>
      </c>
      <c r="S167" s="185" t="e">
        <v>#N/A</v>
      </c>
      <c r="T167" s="185" t="e">
        <v>#N/A</v>
      </c>
      <c r="U167" s="201" t="e">
        <v>#N/A</v>
      </c>
      <c r="V167" s="185" t="e">
        <v>#N/A</v>
      </c>
      <c r="W167" s="185" t="e">
        <v>#N/A</v>
      </c>
      <c r="X167" s="201" t="e">
        <v>#N/A</v>
      </c>
      <c r="Y167" s="205" t="e">
        <v>#N/A</v>
      </c>
      <c r="Z167" s="231" t="e">
        <v>#N/A</v>
      </c>
      <c r="AA167" s="185" t="e">
        <v>#N/A</v>
      </c>
      <c r="AB167" s="185" t="e">
        <v>#N/A</v>
      </c>
      <c r="AC167" s="201" t="e">
        <v>#N/A</v>
      </c>
      <c r="AD167" s="185" t="e">
        <v>#N/A</v>
      </c>
      <c r="AE167" s="185" t="e">
        <v>#N/A</v>
      </c>
      <c r="AF167" s="201" t="e">
        <v>#N/A</v>
      </c>
      <c r="AH167" s="152" t="e">
        <f t="shared" si="24"/>
        <v>#N/A</v>
      </c>
      <c r="AI167" s="152" t="e">
        <f t="shared" si="25"/>
        <v>#N/A</v>
      </c>
      <c r="AJ167" s="152" t="e">
        <f t="shared" si="26"/>
        <v>#N/A</v>
      </c>
      <c r="AK167" s="152" t="e">
        <f t="shared" si="27"/>
        <v>#N/A</v>
      </c>
      <c r="AL167" s="152" t="e">
        <f t="shared" si="28"/>
        <v>#N/A</v>
      </c>
      <c r="AM167" s="152" t="e">
        <f t="shared" si="29"/>
        <v>#N/A</v>
      </c>
      <c r="AN167" s="152" t="e">
        <f t="shared" si="30"/>
        <v>#N/A</v>
      </c>
      <c r="AO167" s="152" t="e">
        <f t="shared" si="31"/>
        <v>#N/A</v>
      </c>
      <c r="AP167" s="152" t="e">
        <f t="shared" si="32"/>
        <v>#N/A</v>
      </c>
      <c r="AQ167" s="152" t="e">
        <f t="shared" si="33"/>
        <v>#N/A</v>
      </c>
      <c r="AR167" s="152" t="e">
        <f t="shared" si="34"/>
        <v>#N/A</v>
      </c>
      <c r="AS167" s="152" t="e">
        <f t="shared" si="35"/>
        <v>#N/A</v>
      </c>
    </row>
    <row r="168" spans="8:45" ht="15.75" customHeight="1">
      <c r="H168" s="212" t="e">
        <v>#N/A</v>
      </c>
      <c r="I168" s="205" t="e">
        <v>#N/A</v>
      </c>
      <c r="J168" s="231" t="e">
        <v>#N/A</v>
      </c>
      <c r="K168" s="185" t="e">
        <v>#N/A</v>
      </c>
      <c r="L168" s="185" t="e">
        <v>#N/A</v>
      </c>
      <c r="M168" s="201" t="e">
        <v>#N/A</v>
      </c>
      <c r="N168" s="185" t="e">
        <v>#N/A</v>
      </c>
      <c r="O168" s="185" t="e">
        <v>#N/A</v>
      </c>
      <c r="P168" s="201" t="e">
        <v>#N/A</v>
      </c>
      <c r="Q168" s="205" t="e">
        <v>#N/A</v>
      </c>
      <c r="R168" s="231" t="e">
        <v>#N/A</v>
      </c>
      <c r="S168" s="185" t="e">
        <v>#N/A</v>
      </c>
      <c r="T168" s="185" t="e">
        <v>#N/A</v>
      </c>
      <c r="U168" s="201" t="e">
        <v>#N/A</v>
      </c>
      <c r="V168" s="185" t="e">
        <v>#N/A</v>
      </c>
      <c r="W168" s="185" t="e">
        <v>#N/A</v>
      </c>
      <c r="X168" s="201" t="e">
        <v>#N/A</v>
      </c>
      <c r="Y168" s="205" t="e">
        <v>#N/A</v>
      </c>
      <c r="Z168" s="231" t="e">
        <v>#N/A</v>
      </c>
      <c r="AA168" s="185" t="e">
        <v>#N/A</v>
      </c>
      <c r="AB168" s="185" t="e">
        <v>#N/A</v>
      </c>
      <c r="AC168" s="201" t="e">
        <v>#N/A</v>
      </c>
      <c r="AD168" s="185" t="e">
        <v>#N/A</v>
      </c>
      <c r="AE168" s="185" t="e">
        <v>#N/A</v>
      </c>
      <c r="AF168" s="201" t="e">
        <v>#N/A</v>
      </c>
      <c r="AH168" s="152" t="e">
        <f t="shared" si="24"/>
        <v>#N/A</v>
      </c>
      <c r="AI168" s="152" t="e">
        <f t="shared" si="25"/>
        <v>#N/A</v>
      </c>
      <c r="AJ168" s="152" t="e">
        <f t="shared" si="26"/>
        <v>#N/A</v>
      </c>
      <c r="AK168" s="152" t="e">
        <f t="shared" si="27"/>
        <v>#N/A</v>
      </c>
      <c r="AL168" s="152" t="e">
        <f t="shared" si="28"/>
        <v>#N/A</v>
      </c>
      <c r="AM168" s="152" t="e">
        <f t="shared" si="29"/>
        <v>#N/A</v>
      </c>
      <c r="AN168" s="152" t="e">
        <f t="shared" si="30"/>
        <v>#N/A</v>
      </c>
      <c r="AO168" s="152" t="e">
        <f t="shared" si="31"/>
        <v>#N/A</v>
      </c>
      <c r="AP168" s="152" t="e">
        <f t="shared" si="32"/>
        <v>#N/A</v>
      </c>
      <c r="AQ168" s="152" t="e">
        <f t="shared" si="33"/>
        <v>#N/A</v>
      </c>
      <c r="AR168" s="152" t="e">
        <f t="shared" si="34"/>
        <v>#N/A</v>
      </c>
      <c r="AS168" s="152" t="e">
        <f t="shared" si="35"/>
        <v>#N/A</v>
      </c>
    </row>
    <row r="169" spans="8:45" ht="15.75" customHeight="1">
      <c r="H169" s="212" t="e">
        <v>#N/A</v>
      </c>
      <c r="I169" s="205" t="e">
        <v>#N/A</v>
      </c>
      <c r="J169" s="231" t="e">
        <v>#N/A</v>
      </c>
      <c r="K169" s="185" t="e">
        <v>#N/A</v>
      </c>
      <c r="L169" s="185" t="e">
        <v>#N/A</v>
      </c>
      <c r="M169" s="201" t="e">
        <v>#N/A</v>
      </c>
      <c r="N169" s="185" t="e">
        <v>#N/A</v>
      </c>
      <c r="O169" s="185" t="e">
        <v>#N/A</v>
      </c>
      <c r="P169" s="201" t="e">
        <v>#N/A</v>
      </c>
      <c r="Q169" s="205" t="e">
        <v>#N/A</v>
      </c>
      <c r="R169" s="231" t="e">
        <v>#N/A</v>
      </c>
      <c r="S169" s="185" t="e">
        <v>#N/A</v>
      </c>
      <c r="T169" s="185" t="e">
        <v>#N/A</v>
      </c>
      <c r="U169" s="201" t="e">
        <v>#N/A</v>
      </c>
      <c r="V169" s="185" t="e">
        <v>#N/A</v>
      </c>
      <c r="W169" s="185" t="e">
        <v>#N/A</v>
      </c>
      <c r="X169" s="201" t="e">
        <v>#N/A</v>
      </c>
      <c r="Y169" s="205" t="e">
        <v>#N/A</v>
      </c>
      <c r="Z169" s="231" t="e">
        <v>#N/A</v>
      </c>
      <c r="AA169" s="185" t="e">
        <v>#N/A</v>
      </c>
      <c r="AB169" s="185" t="e">
        <v>#N/A</v>
      </c>
      <c r="AC169" s="201" t="e">
        <v>#N/A</v>
      </c>
      <c r="AD169" s="185" t="e">
        <v>#N/A</v>
      </c>
      <c r="AE169" s="185" t="e">
        <v>#N/A</v>
      </c>
      <c r="AF169" s="201" t="e">
        <v>#N/A</v>
      </c>
      <c r="AH169" s="152" t="e">
        <f t="shared" si="24"/>
        <v>#N/A</v>
      </c>
      <c r="AI169" s="152" t="e">
        <f t="shared" si="25"/>
        <v>#N/A</v>
      </c>
      <c r="AJ169" s="152" t="e">
        <f t="shared" si="26"/>
        <v>#N/A</v>
      </c>
      <c r="AK169" s="152" t="e">
        <f t="shared" si="27"/>
        <v>#N/A</v>
      </c>
      <c r="AL169" s="152" t="e">
        <f t="shared" si="28"/>
        <v>#N/A</v>
      </c>
      <c r="AM169" s="152" t="e">
        <f t="shared" si="29"/>
        <v>#N/A</v>
      </c>
      <c r="AN169" s="152" t="e">
        <f t="shared" si="30"/>
        <v>#N/A</v>
      </c>
      <c r="AO169" s="152" t="e">
        <f t="shared" si="31"/>
        <v>#N/A</v>
      </c>
      <c r="AP169" s="152" t="e">
        <f t="shared" si="32"/>
        <v>#N/A</v>
      </c>
      <c r="AQ169" s="152" t="e">
        <f t="shared" si="33"/>
        <v>#N/A</v>
      </c>
      <c r="AR169" s="152" t="e">
        <f t="shared" si="34"/>
        <v>#N/A</v>
      </c>
      <c r="AS169" s="152" t="e">
        <f t="shared" si="35"/>
        <v>#N/A</v>
      </c>
    </row>
    <row r="170" spans="8:45" ht="15.75" customHeight="1">
      <c r="H170" s="212" t="e">
        <v>#N/A</v>
      </c>
      <c r="I170" s="205" t="e">
        <v>#N/A</v>
      </c>
      <c r="J170" s="231" t="e">
        <v>#N/A</v>
      </c>
      <c r="K170" s="185" t="e">
        <v>#N/A</v>
      </c>
      <c r="L170" s="185" t="e">
        <v>#N/A</v>
      </c>
      <c r="M170" s="201" t="e">
        <v>#N/A</v>
      </c>
      <c r="N170" s="185" t="e">
        <v>#N/A</v>
      </c>
      <c r="O170" s="185" t="e">
        <v>#N/A</v>
      </c>
      <c r="P170" s="201" t="e">
        <v>#N/A</v>
      </c>
      <c r="Q170" s="205" t="e">
        <v>#N/A</v>
      </c>
      <c r="R170" s="231" t="e">
        <v>#N/A</v>
      </c>
      <c r="S170" s="185" t="e">
        <v>#N/A</v>
      </c>
      <c r="T170" s="185" t="e">
        <v>#N/A</v>
      </c>
      <c r="U170" s="201" t="e">
        <v>#N/A</v>
      </c>
      <c r="V170" s="185" t="e">
        <v>#N/A</v>
      </c>
      <c r="W170" s="185" t="e">
        <v>#N/A</v>
      </c>
      <c r="X170" s="201" t="e">
        <v>#N/A</v>
      </c>
      <c r="Y170" s="205" t="e">
        <v>#N/A</v>
      </c>
      <c r="Z170" s="231" t="e">
        <v>#N/A</v>
      </c>
      <c r="AA170" s="185" t="e">
        <v>#N/A</v>
      </c>
      <c r="AB170" s="185" t="e">
        <v>#N/A</v>
      </c>
      <c r="AC170" s="201" t="e">
        <v>#N/A</v>
      </c>
      <c r="AD170" s="185" t="e">
        <v>#N/A</v>
      </c>
      <c r="AE170" s="185" t="e">
        <v>#N/A</v>
      </c>
      <c r="AF170" s="201" t="e">
        <v>#N/A</v>
      </c>
      <c r="AH170" s="152" t="e">
        <f t="shared" si="24"/>
        <v>#N/A</v>
      </c>
      <c r="AI170" s="152" t="e">
        <f t="shared" si="25"/>
        <v>#N/A</v>
      </c>
      <c r="AJ170" s="152" t="e">
        <f t="shared" si="26"/>
        <v>#N/A</v>
      </c>
      <c r="AK170" s="152" t="e">
        <f t="shared" si="27"/>
        <v>#N/A</v>
      </c>
      <c r="AL170" s="152" t="e">
        <f t="shared" si="28"/>
        <v>#N/A</v>
      </c>
      <c r="AM170" s="152" t="e">
        <f t="shared" si="29"/>
        <v>#N/A</v>
      </c>
      <c r="AN170" s="152" t="e">
        <f t="shared" si="30"/>
        <v>#N/A</v>
      </c>
      <c r="AO170" s="152" t="e">
        <f t="shared" si="31"/>
        <v>#N/A</v>
      </c>
      <c r="AP170" s="152" t="e">
        <f t="shared" si="32"/>
        <v>#N/A</v>
      </c>
      <c r="AQ170" s="152" t="e">
        <f t="shared" si="33"/>
        <v>#N/A</v>
      </c>
      <c r="AR170" s="152" t="e">
        <f t="shared" si="34"/>
        <v>#N/A</v>
      </c>
      <c r="AS170" s="152" t="e">
        <f t="shared" si="35"/>
        <v>#N/A</v>
      </c>
    </row>
    <row r="171" spans="8:45" ht="15.75" customHeight="1">
      <c r="H171" s="212" t="e">
        <v>#N/A</v>
      </c>
      <c r="I171" s="205" t="e">
        <v>#N/A</v>
      </c>
      <c r="J171" s="231" t="e">
        <v>#N/A</v>
      </c>
      <c r="K171" s="185" t="e">
        <v>#N/A</v>
      </c>
      <c r="L171" s="185" t="e">
        <v>#N/A</v>
      </c>
      <c r="M171" s="201" t="e">
        <v>#N/A</v>
      </c>
      <c r="N171" s="185" t="e">
        <v>#N/A</v>
      </c>
      <c r="O171" s="185" t="e">
        <v>#N/A</v>
      </c>
      <c r="P171" s="201" t="e">
        <v>#N/A</v>
      </c>
      <c r="Q171" s="205" t="e">
        <v>#N/A</v>
      </c>
      <c r="R171" s="231" t="e">
        <v>#N/A</v>
      </c>
      <c r="S171" s="185" t="e">
        <v>#N/A</v>
      </c>
      <c r="T171" s="185" t="e">
        <v>#N/A</v>
      </c>
      <c r="U171" s="201" t="e">
        <v>#N/A</v>
      </c>
      <c r="V171" s="185" t="e">
        <v>#N/A</v>
      </c>
      <c r="W171" s="185" t="e">
        <v>#N/A</v>
      </c>
      <c r="X171" s="201" t="e">
        <v>#N/A</v>
      </c>
      <c r="Y171" s="205" t="e">
        <v>#N/A</v>
      </c>
      <c r="Z171" s="231" t="e">
        <v>#N/A</v>
      </c>
      <c r="AA171" s="185" t="e">
        <v>#N/A</v>
      </c>
      <c r="AB171" s="185" t="e">
        <v>#N/A</v>
      </c>
      <c r="AC171" s="201" t="e">
        <v>#N/A</v>
      </c>
      <c r="AD171" s="185" t="e">
        <v>#N/A</v>
      </c>
      <c r="AE171" s="185" t="e">
        <v>#N/A</v>
      </c>
      <c r="AF171" s="201" t="e">
        <v>#N/A</v>
      </c>
      <c r="AH171" s="152" t="e">
        <f t="shared" si="24"/>
        <v>#N/A</v>
      </c>
      <c r="AI171" s="152" t="e">
        <f t="shared" si="25"/>
        <v>#N/A</v>
      </c>
      <c r="AJ171" s="152" t="e">
        <f t="shared" si="26"/>
        <v>#N/A</v>
      </c>
      <c r="AK171" s="152" t="e">
        <f t="shared" si="27"/>
        <v>#N/A</v>
      </c>
      <c r="AL171" s="152" t="e">
        <f t="shared" si="28"/>
        <v>#N/A</v>
      </c>
      <c r="AM171" s="152" t="e">
        <f t="shared" si="29"/>
        <v>#N/A</v>
      </c>
      <c r="AN171" s="152" t="e">
        <f t="shared" si="30"/>
        <v>#N/A</v>
      </c>
      <c r="AO171" s="152" t="e">
        <f t="shared" si="31"/>
        <v>#N/A</v>
      </c>
      <c r="AP171" s="152" t="e">
        <f t="shared" si="32"/>
        <v>#N/A</v>
      </c>
      <c r="AQ171" s="152" t="e">
        <f t="shared" si="33"/>
        <v>#N/A</v>
      </c>
      <c r="AR171" s="152" t="e">
        <f t="shared" si="34"/>
        <v>#N/A</v>
      </c>
      <c r="AS171" s="152" t="e">
        <f t="shared" si="35"/>
        <v>#N/A</v>
      </c>
    </row>
    <row r="172" spans="8:45" ht="15.75" customHeight="1">
      <c r="H172" s="212" t="e">
        <v>#N/A</v>
      </c>
      <c r="I172" s="205" t="e">
        <v>#N/A</v>
      </c>
      <c r="J172" s="231" t="e">
        <v>#N/A</v>
      </c>
      <c r="K172" s="185" t="e">
        <v>#N/A</v>
      </c>
      <c r="L172" s="185" t="e">
        <v>#N/A</v>
      </c>
      <c r="M172" s="201" t="e">
        <v>#N/A</v>
      </c>
      <c r="N172" s="185" t="e">
        <v>#N/A</v>
      </c>
      <c r="O172" s="185" t="e">
        <v>#N/A</v>
      </c>
      <c r="P172" s="201" t="e">
        <v>#N/A</v>
      </c>
      <c r="Q172" s="205" t="e">
        <v>#N/A</v>
      </c>
      <c r="R172" s="231" t="e">
        <v>#N/A</v>
      </c>
      <c r="S172" s="185" t="e">
        <v>#N/A</v>
      </c>
      <c r="T172" s="185" t="e">
        <v>#N/A</v>
      </c>
      <c r="U172" s="201" t="e">
        <v>#N/A</v>
      </c>
      <c r="V172" s="185" t="e">
        <v>#N/A</v>
      </c>
      <c r="W172" s="185" t="e">
        <v>#N/A</v>
      </c>
      <c r="X172" s="201" t="e">
        <v>#N/A</v>
      </c>
      <c r="Y172" s="205" t="e">
        <v>#N/A</v>
      </c>
      <c r="Z172" s="231" t="e">
        <v>#N/A</v>
      </c>
      <c r="AA172" s="185" t="e">
        <v>#N/A</v>
      </c>
      <c r="AB172" s="185" t="e">
        <v>#N/A</v>
      </c>
      <c r="AC172" s="201" t="e">
        <v>#N/A</v>
      </c>
      <c r="AD172" s="185" t="e">
        <v>#N/A</v>
      </c>
      <c r="AE172" s="185" t="e">
        <v>#N/A</v>
      </c>
      <c r="AF172" s="201" t="e">
        <v>#N/A</v>
      </c>
      <c r="AH172" s="152" t="e">
        <f t="shared" si="24"/>
        <v>#N/A</v>
      </c>
      <c r="AI172" s="152" t="e">
        <f t="shared" si="25"/>
        <v>#N/A</v>
      </c>
      <c r="AJ172" s="152" t="e">
        <f t="shared" si="26"/>
        <v>#N/A</v>
      </c>
      <c r="AK172" s="152" t="e">
        <f t="shared" si="27"/>
        <v>#N/A</v>
      </c>
      <c r="AL172" s="152" t="e">
        <f t="shared" si="28"/>
        <v>#N/A</v>
      </c>
      <c r="AM172" s="152" t="e">
        <f t="shared" si="29"/>
        <v>#N/A</v>
      </c>
      <c r="AN172" s="152" t="e">
        <f t="shared" si="30"/>
        <v>#N/A</v>
      </c>
      <c r="AO172" s="152" t="e">
        <f t="shared" si="31"/>
        <v>#N/A</v>
      </c>
      <c r="AP172" s="152" t="e">
        <f t="shared" si="32"/>
        <v>#N/A</v>
      </c>
      <c r="AQ172" s="152" t="e">
        <f t="shared" si="33"/>
        <v>#N/A</v>
      </c>
      <c r="AR172" s="152" t="e">
        <f t="shared" si="34"/>
        <v>#N/A</v>
      </c>
      <c r="AS172" s="152" t="e">
        <f t="shared" si="35"/>
        <v>#N/A</v>
      </c>
    </row>
    <row r="173" spans="8:45" ht="15.75" customHeight="1">
      <c r="H173" s="212" t="e">
        <v>#N/A</v>
      </c>
      <c r="I173" s="205" t="e">
        <v>#N/A</v>
      </c>
      <c r="J173" s="231" t="e">
        <v>#N/A</v>
      </c>
      <c r="K173" s="185" t="e">
        <v>#N/A</v>
      </c>
      <c r="L173" s="185" t="e">
        <v>#N/A</v>
      </c>
      <c r="M173" s="201" t="e">
        <v>#N/A</v>
      </c>
      <c r="N173" s="185" t="e">
        <v>#N/A</v>
      </c>
      <c r="O173" s="185" t="e">
        <v>#N/A</v>
      </c>
      <c r="P173" s="201" t="e">
        <v>#N/A</v>
      </c>
      <c r="Q173" s="205" t="e">
        <v>#N/A</v>
      </c>
      <c r="R173" s="231" t="e">
        <v>#N/A</v>
      </c>
      <c r="S173" s="185" t="e">
        <v>#N/A</v>
      </c>
      <c r="T173" s="185" t="e">
        <v>#N/A</v>
      </c>
      <c r="U173" s="201" t="e">
        <v>#N/A</v>
      </c>
      <c r="V173" s="185" t="e">
        <v>#N/A</v>
      </c>
      <c r="W173" s="185" t="e">
        <v>#N/A</v>
      </c>
      <c r="X173" s="201" t="e">
        <v>#N/A</v>
      </c>
      <c r="Y173" s="205" t="e">
        <v>#N/A</v>
      </c>
      <c r="Z173" s="231" t="e">
        <v>#N/A</v>
      </c>
      <c r="AA173" s="185" t="e">
        <v>#N/A</v>
      </c>
      <c r="AB173" s="185" t="e">
        <v>#N/A</v>
      </c>
      <c r="AC173" s="201" t="e">
        <v>#N/A</v>
      </c>
      <c r="AD173" s="185" t="e">
        <v>#N/A</v>
      </c>
      <c r="AE173" s="185" t="e">
        <v>#N/A</v>
      </c>
      <c r="AF173" s="201" t="e">
        <v>#N/A</v>
      </c>
      <c r="AH173" s="152" t="e">
        <f t="shared" si="24"/>
        <v>#N/A</v>
      </c>
      <c r="AI173" s="152" t="e">
        <f t="shared" si="25"/>
        <v>#N/A</v>
      </c>
      <c r="AJ173" s="152" t="e">
        <f t="shared" si="26"/>
        <v>#N/A</v>
      </c>
      <c r="AK173" s="152" t="e">
        <f t="shared" si="27"/>
        <v>#N/A</v>
      </c>
      <c r="AL173" s="152" t="e">
        <f t="shared" si="28"/>
        <v>#N/A</v>
      </c>
      <c r="AM173" s="152" t="e">
        <f t="shared" si="29"/>
        <v>#N/A</v>
      </c>
      <c r="AN173" s="152" t="e">
        <f t="shared" si="30"/>
        <v>#N/A</v>
      </c>
      <c r="AO173" s="152" t="e">
        <f t="shared" si="31"/>
        <v>#N/A</v>
      </c>
      <c r="AP173" s="152" t="e">
        <f t="shared" si="32"/>
        <v>#N/A</v>
      </c>
      <c r="AQ173" s="152" t="e">
        <f t="shared" si="33"/>
        <v>#N/A</v>
      </c>
      <c r="AR173" s="152" t="e">
        <f t="shared" si="34"/>
        <v>#N/A</v>
      </c>
      <c r="AS173" s="152" t="e">
        <f t="shared" si="35"/>
        <v>#N/A</v>
      </c>
    </row>
    <row r="174" spans="8:45" ht="15.75" customHeight="1">
      <c r="H174" s="212" t="e">
        <v>#N/A</v>
      </c>
      <c r="I174" s="205" t="e">
        <v>#N/A</v>
      </c>
      <c r="J174" s="231" t="e">
        <v>#N/A</v>
      </c>
      <c r="K174" s="185" t="e">
        <v>#N/A</v>
      </c>
      <c r="L174" s="185" t="e">
        <v>#N/A</v>
      </c>
      <c r="M174" s="201" t="e">
        <v>#N/A</v>
      </c>
      <c r="N174" s="185" t="e">
        <v>#N/A</v>
      </c>
      <c r="O174" s="185" t="e">
        <v>#N/A</v>
      </c>
      <c r="P174" s="201" t="e">
        <v>#N/A</v>
      </c>
      <c r="Q174" s="205" t="e">
        <v>#N/A</v>
      </c>
      <c r="R174" s="231" t="e">
        <v>#N/A</v>
      </c>
      <c r="S174" s="185" t="e">
        <v>#N/A</v>
      </c>
      <c r="T174" s="185" t="e">
        <v>#N/A</v>
      </c>
      <c r="U174" s="201" t="e">
        <v>#N/A</v>
      </c>
      <c r="V174" s="185" t="e">
        <v>#N/A</v>
      </c>
      <c r="W174" s="185" t="e">
        <v>#N/A</v>
      </c>
      <c r="X174" s="201" t="e">
        <v>#N/A</v>
      </c>
      <c r="Y174" s="205" t="e">
        <v>#N/A</v>
      </c>
      <c r="Z174" s="231" t="e">
        <v>#N/A</v>
      </c>
      <c r="AA174" s="185" t="e">
        <v>#N/A</v>
      </c>
      <c r="AB174" s="185" t="e">
        <v>#N/A</v>
      </c>
      <c r="AC174" s="201" t="e">
        <v>#N/A</v>
      </c>
      <c r="AD174" s="185" t="e">
        <v>#N/A</v>
      </c>
      <c r="AE174" s="185" t="e">
        <v>#N/A</v>
      </c>
      <c r="AF174" s="201" t="e">
        <v>#N/A</v>
      </c>
      <c r="AH174" s="152" t="e">
        <f t="shared" si="24"/>
        <v>#N/A</v>
      </c>
      <c r="AI174" s="152" t="e">
        <f t="shared" si="25"/>
        <v>#N/A</v>
      </c>
      <c r="AJ174" s="152" t="e">
        <f t="shared" si="26"/>
        <v>#N/A</v>
      </c>
      <c r="AK174" s="152" t="e">
        <f t="shared" si="27"/>
        <v>#N/A</v>
      </c>
      <c r="AL174" s="152" t="e">
        <f t="shared" si="28"/>
        <v>#N/A</v>
      </c>
      <c r="AM174" s="152" t="e">
        <f t="shared" si="29"/>
        <v>#N/A</v>
      </c>
      <c r="AN174" s="152" t="e">
        <f t="shared" si="30"/>
        <v>#N/A</v>
      </c>
      <c r="AO174" s="152" t="e">
        <f t="shared" si="31"/>
        <v>#N/A</v>
      </c>
      <c r="AP174" s="152" t="e">
        <f t="shared" si="32"/>
        <v>#N/A</v>
      </c>
      <c r="AQ174" s="152" t="e">
        <f t="shared" si="33"/>
        <v>#N/A</v>
      </c>
      <c r="AR174" s="152" t="e">
        <f t="shared" si="34"/>
        <v>#N/A</v>
      </c>
      <c r="AS174" s="152" t="e">
        <f t="shared" si="35"/>
        <v>#N/A</v>
      </c>
    </row>
    <row r="175" spans="8:45" ht="15.75" customHeight="1">
      <c r="H175" s="212" t="e">
        <v>#N/A</v>
      </c>
      <c r="I175" s="205" t="e">
        <v>#N/A</v>
      </c>
      <c r="J175" s="231" t="e">
        <v>#N/A</v>
      </c>
      <c r="K175" s="185" t="e">
        <v>#N/A</v>
      </c>
      <c r="L175" s="185" t="e">
        <v>#N/A</v>
      </c>
      <c r="M175" s="201" t="e">
        <v>#N/A</v>
      </c>
      <c r="N175" s="185" t="e">
        <v>#N/A</v>
      </c>
      <c r="O175" s="185" t="e">
        <v>#N/A</v>
      </c>
      <c r="P175" s="201" t="e">
        <v>#N/A</v>
      </c>
      <c r="Q175" s="205" t="e">
        <v>#N/A</v>
      </c>
      <c r="R175" s="231" t="e">
        <v>#N/A</v>
      </c>
      <c r="S175" s="185" t="e">
        <v>#N/A</v>
      </c>
      <c r="T175" s="185" t="e">
        <v>#N/A</v>
      </c>
      <c r="U175" s="201" t="e">
        <v>#N/A</v>
      </c>
      <c r="V175" s="185" t="e">
        <v>#N/A</v>
      </c>
      <c r="W175" s="185" t="e">
        <v>#N/A</v>
      </c>
      <c r="X175" s="201" t="e">
        <v>#N/A</v>
      </c>
      <c r="Y175" s="205" t="e">
        <v>#N/A</v>
      </c>
      <c r="Z175" s="231" t="e">
        <v>#N/A</v>
      </c>
      <c r="AA175" s="185" t="e">
        <v>#N/A</v>
      </c>
      <c r="AB175" s="185" t="e">
        <v>#N/A</v>
      </c>
      <c r="AC175" s="201" t="e">
        <v>#N/A</v>
      </c>
      <c r="AD175" s="185" t="e">
        <v>#N/A</v>
      </c>
      <c r="AE175" s="185" t="e">
        <v>#N/A</v>
      </c>
      <c r="AF175" s="201" t="e">
        <v>#N/A</v>
      </c>
      <c r="AH175" s="152" t="e">
        <f t="shared" si="24"/>
        <v>#N/A</v>
      </c>
      <c r="AI175" s="152" t="e">
        <f t="shared" si="25"/>
        <v>#N/A</v>
      </c>
      <c r="AJ175" s="152" t="e">
        <f t="shared" si="26"/>
        <v>#N/A</v>
      </c>
      <c r="AK175" s="152" t="e">
        <f t="shared" si="27"/>
        <v>#N/A</v>
      </c>
      <c r="AL175" s="152" t="e">
        <f t="shared" si="28"/>
        <v>#N/A</v>
      </c>
      <c r="AM175" s="152" t="e">
        <f t="shared" si="29"/>
        <v>#N/A</v>
      </c>
      <c r="AN175" s="152" t="e">
        <f t="shared" si="30"/>
        <v>#N/A</v>
      </c>
      <c r="AO175" s="152" t="e">
        <f t="shared" si="31"/>
        <v>#N/A</v>
      </c>
      <c r="AP175" s="152" t="e">
        <f t="shared" si="32"/>
        <v>#N/A</v>
      </c>
      <c r="AQ175" s="152" t="e">
        <f t="shared" si="33"/>
        <v>#N/A</v>
      </c>
      <c r="AR175" s="152" t="e">
        <f t="shared" si="34"/>
        <v>#N/A</v>
      </c>
      <c r="AS175" s="152" t="e">
        <f t="shared" si="35"/>
        <v>#N/A</v>
      </c>
    </row>
    <row r="176" spans="8:45" ht="15.75" customHeight="1">
      <c r="H176" s="212" t="e">
        <v>#N/A</v>
      </c>
      <c r="I176" s="205" t="e">
        <v>#N/A</v>
      </c>
      <c r="J176" s="231" t="e">
        <v>#N/A</v>
      </c>
      <c r="K176" s="185" t="e">
        <v>#N/A</v>
      </c>
      <c r="L176" s="185" t="e">
        <v>#N/A</v>
      </c>
      <c r="M176" s="201" t="e">
        <v>#N/A</v>
      </c>
      <c r="N176" s="185" t="e">
        <v>#N/A</v>
      </c>
      <c r="O176" s="185" t="e">
        <v>#N/A</v>
      </c>
      <c r="P176" s="201" t="e">
        <v>#N/A</v>
      </c>
      <c r="Q176" s="205" t="e">
        <v>#N/A</v>
      </c>
      <c r="R176" s="231" t="e">
        <v>#N/A</v>
      </c>
      <c r="S176" s="185" t="e">
        <v>#N/A</v>
      </c>
      <c r="T176" s="185" t="e">
        <v>#N/A</v>
      </c>
      <c r="U176" s="201" t="e">
        <v>#N/A</v>
      </c>
      <c r="V176" s="185" t="e">
        <v>#N/A</v>
      </c>
      <c r="W176" s="185" t="e">
        <v>#N/A</v>
      </c>
      <c r="X176" s="201" t="e">
        <v>#N/A</v>
      </c>
      <c r="Y176" s="205" t="e">
        <v>#N/A</v>
      </c>
      <c r="Z176" s="231" t="e">
        <v>#N/A</v>
      </c>
      <c r="AA176" s="185" t="e">
        <v>#N/A</v>
      </c>
      <c r="AB176" s="185" t="e">
        <v>#N/A</v>
      </c>
      <c r="AC176" s="201" t="e">
        <v>#N/A</v>
      </c>
      <c r="AD176" s="185" t="e">
        <v>#N/A</v>
      </c>
      <c r="AE176" s="185" t="e">
        <v>#N/A</v>
      </c>
      <c r="AF176" s="201" t="e">
        <v>#N/A</v>
      </c>
      <c r="AH176" s="152" t="e">
        <f t="shared" si="24"/>
        <v>#N/A</v>
      </c>
      <c r="AI176" s="152" t="e">
        <f t="shared" si="25"/>
        <v>#N/A</v>
      </c>
      <c r="AJ176" s="152" t="e">
        <f t="shared" si="26"/>
        <v>#N/A</v>
      </c>
      <c r="AK176" s="152" t="e">
        <f t="shared" si="27"/>
        <v>#N/A</v>
      </c>
      <c r="AL176" s="152" t="e">
        <f t="shared" si="28"/>
        <v>#N/A</v>
      </c>
      <c r="AM176" s="152" t="e">
        <f t="shared" si="29"/>
        <v>#N/A</v>
      </c>
      <c r="AN176" s="152" t="e">
        <f t="shared" si="30"/>
        <v>#N/A</v>
      </c>
      <c r="AO176" s="152" t="e">
        <f t="shared" si="31"/>
        <v>#N/A</v>
      </c>
      <c r="AP176" s="152" t="e">
        <f t="shared" si="32"/>
        <v>#N/A</v>
      </c>
      <c r="AQ176" s="152" t="e">
        <f t="shared" si="33"/>
        <v>#N/A</v>
      </c>
      <c r="AR176" s="152" t="e">
        <f t="shared" si="34"/>
        <v>#N/A</v>
      </c>
      <c r="AS176" s="152" t="e">
        <f t="shared" si="35"/>
        <v>#N/A</v>
      </c>
    </row>
    <row r="177" spans="8:45" ht="15.75" customHeight="1">
      <c r="H177" s="212" t="e">
        <v>#N/A</v>
      </c>
      <c r="I177" s="205" t="e">
        <v>#N/A</v>
      </c>
      <c r="J177" s="231" t="e">
        <v>#N/A</v>
      </c>
      <c r="K177" s="185" t="e">
        <v>#N/A</v>
      </c>
      <c r="L177" s="185" t="e">
        <v>#N/A</v>
      </c>
      <c r="M177" s="201" t="e">
        <v>#N/A</v>
      </c>
      <c r="N177" s="185" t="e">
        <v>#N/A</v>
      </c>
      <c r="O177" s="185" t="e">
        <v>#N/A</v>
      </c>
      <c r="P177" s="201" t="e">
        <v>#N/A</v>
      </c>
      <c r="Q177" s="205" t="e">
        <v>#N/A</v>
      </c>
      <c r="R177" s="231" t="e">
        <v>#N/A</v>
      </c>
      <c r="S177" s="185" t="e">
        <v>#N/A</v>
      </c>
      <c r="T177" s="185" t="e">
        <v>#N/A</v>
      </c>
      <c r="U177" s="201" t="e">
        <v>#N/A</v>
      </c>
      <c r="V177" s="185" t="e">
        <v>#N/A</v>
      </c>
      <c r="W177" s="185" t="e">
        <v>#N/A</v>
      </c>
      <c r="X177" s="201" t="e">
        <v>#N/A</v>
      </c>
      <c r="Y177" s="205" t="e">
        <v>#N/A</v>
      </c>
      <c r="Z177" s="231" t="e">
        <v>#N/A</v>
      </c>
      <c r="AA177" s="185" t="e">
        <v>#N/A</v>
      </c>
      <c r="AB177" s="185" t="e">
        <v>#N/A</v>
      </c>
      <c r="AC177" s="201" t="e">
        <v>#N/A</v>
      </c>
      <c r="AD177" s="185" t="e">
        <v>#N/A</v>
      </c>
      <c r="AE177" s="185" t="e">
        <v>#N/A</v>
      </c>
      <c r="AF177" s="201" t="e">
        <v>#N/A</v>
      </c>
      <c r="AH177" s="152" t="e">
        <f t="shared" si="24"/>
        <v>#N/A</v>
      </c>
      <c r="AI177" s="152" t="e">
        <f t="shared" si="25"/>
        <v>#N/A</v>
      </c>
      <c r="AJ177" s="152" t="e">
        <f t="shared" si="26"/>
        <v>#N/A</v>
      </c>
      <c r="AK177" s="152" t="e">
        <f t="shared" si="27"/>
        <v>#N/A</v>
      </c>
      <c r="AL177" s="152" t="e">
        <f t="shared" si="28"/>
        <v>#N/A</v>
      </c>
      <c r="AM177" s="152" t="e">
        <f t="shared" si="29"/>
        <v>#N/A</v>
      </c>
      <c r="AN177" s="152" t="e">
        <f t="shared" si="30"/>
        <v>#N/A</v>
      </c>
      <c r="AO177" s="152" t="e">
        <f t="shared" si="31"/>
        <v>#N/A</v>
      </c>
      <c r="AP177" s="152" t="e">
        <f t="shared" si="32"/>
        <v>#N/A</v>
      </c>
      <c r="AQ177" s="152" t="e">
        <f t="shared" si="33"/>
        <v>#N/A</v>
      </c>
      <c r="AR177" s="152" t="e">
        <f t="shared" si="34"/>
        <v>#N/A</v>
      </c>
      <c r="AS177" s="152" t="e">
        <f t="shared" si="35"/>
        <v>#N/A</v>
      </c>
    </row>
    <row r="178" spans="8:45" ht="15.75" customHeight="1">
      <c r="H178" s="212" t="e">
        <v>#N/A</v>
      </c>
      <c r="I178" s="205" t="e">
        <v>#N/A</v>
      </c>
      <c r="J178" s="231" t="e">
        <v>#N/A</v>
      </c>
      <c r="K178" s="185" t="e">
        <v>#N/A</v>
      </c>
      <c r="L178" s="185" t="e">
        <v>#N/A</v>
      </c>
      <c r="M178" s="201" t="e">
        <v>#N/A</v>
      </c>
      <c r="N178" s="185" t="e">
        <v>#N/A</v>
      </c>
      <c r="O178" s="185" t="e">
        <v>#N/A</v>
      </c>
      <c r="P178" s="201" t="e">
        <v>#N/A</v>
      </c>
      <c r="Q178" s="205" t="e">
        <v>#N/A</v>
      </c>
      <c r="R178" s="231" t="e">
        <v>#N/A</v>
      </c>
      <c r="S178" s="185" t="e">
        <v>#N/A</v>
      </c>
      <c r="T178" s="185" t="e">
        <v>#N/A</v>
      </c>
      <c r="U178" s="201" t="e">
        <v>#N/A</v>
      </c>
      <c r="V178" s="185" t="e">
        <v>#N/A</v>
      </c>
      <c r="W178" s="185" t="e">
        <v>#N/A</v>
      </c>
      <c r="X178" s="201" t="e">
        <v>#N/A</v>
      </c>
      <c r="Y178" s="205" t="e">
        <v>#N/A</v>
      </c>
      <c r="Z178" s="231" t="e">
        <v>#N/A</v>
      </c>
      <c r="AA178" s="185" t="e">
        <v>#N/A</v>
      </c>
      <c r="AB178" s="185" t="e">
        <v>#N/A</v>
      </c>
      <c r="AC178" s="201" t="e">
        <v>#N/A</v>
      </c>
      <c r="AD178" s="185" t="e">
        <v>#N/A</v>
      </c>
      <c r="AE178" s="185" t="e">
        <v>#N/A</v>
      </c>
      <c r="AF178" s="201" t="e">
        <v>#N/A</v>
      </c>
      <c r="AH178" s="152" t="e">
        <f t="shared" si="24"/>
        <v>#N/A</v>
      </c>
      <c r="AI178" s="152" t="e">
        <f t="shared" si="25"/>
        <v>#N/A</v>
      </c>
      <c r="AJ178" s="152" t="e">
        <f t="shared" si="26"/>
        <v>#N/A</v>
      </c>
      <c r="AK178" s="152" t="e">
        <f t="shared" si="27"/>
        <v>#N/A</v>
      </c>
      <c r="AL178" s="152" t="e">
        <f t="shared" si="28"/>
        <v>#N/A</v>
      </c>
      <c r="AM178" s="152" t="e">
        <f t="shared" si="29"/>
        <v>#N/A</v>
      </c>
      <c r="AN178" s="152" t="e">
        <f t="shared" si="30"/>
        <v>#N/A</v>
      </c>
      <c r="AO178" s="152" t="e">
        <f t="shared" si="31"/>
        <v>#N/A</v>
      </c>
      <c r="AP178" s="152" t="e">
        <f t="shared" si="32"/>
        <v>#N/A</v>
      </c>
      <c r="AQ178" s="152" t="e">
        <f t="shared" si="33"/>
        <v>#N/A</v>
      </c>
      <c r="AR178" s="152" t="e">
        <f t="shared" si="34"/>
        <v>#N/A</v>
      </c>
      <c r="AS178" s="152" t="e">
        <f t="shared" si="35"/>
        <v>#N/A</v>
      </c>
    </row>
    <row r="179" spans="8:45" ht="15.75" customHeight="1">
      <c r="H179" s="212" t="e">
        <v>#N/A</v>
      </c>
      <c r="I179" s="205" t="e">
        <v>#N/A</v>
      </c>
      <c r="J179" s="231" t="e">
        <v>#N/A</v>
      </c>
      <c r="K179" s="185" t="e">
        <v>#N/A</v>
      </c>
      <c r="L179" s="185" t="e">
        <v>#N/A</v>
      </c>
      <c r="M179" s="201" t="e">
        <v>#N/A</v>
      </c>
      <c r="N179" s="185" t="e">
        <v>#N/A</v>
      </c>
      <c r="O179" s="185" t="e">
        <v>#N/A</v>
      </c>
      <c r="P179" s="201" t="e">
        <v>#N/A</v>
      </c>
      <c r="Q179" s="205" t="e">
        <v>#N/A</v>
      </c>
      <c r="R179" s="231" t="e">
        <v>#N/A</v>
      </c>
      <c r="S179" s="185" t="e">
        <v>#N/A</v>
      </c>
      <c r="T179" s="185" t="e">
        <v>#N/A</v>
      </c>
      <c r="U179" s="201" t="e">
        <v>#N/A</v>
      </c>
      <c r="V179" s="185" t="e">
        <v>#N/A</v>
      </c>
      <c r="W179" s="185" t="e">
        <v>#N/A</v>
      </c>
      <c r="X179" s="201" t="e">
        <v>#N/A</v>
      </c>
      <c r="Y179" s="205" t="e">
        <v>#N/A</v>
      </c>
      <c r="Z179" s="231" t="e">
        <v>#N/A</v>
      </c>
      <c r="AA179" s="185" t="e">
        <v>#N/A</v>
      </c>
      <c r="AB179" s="185" t="e">
        <v>#N/A</v>
      </c>
      <c r="AC179" s="201" t="e">
        <v>#N/A</v>
      </c>
      <c r="AD179" s="185" t="e">
        <v>#N/A</v>
      </c>
      <c r="AE179" s="185" t="e">
        <v>#N/A</v>
      </c>
      <c r="AF179" s="201" t="e">
        <v>#N/A</v>
      </c>
      <c r="AH179" s="152" t="e">
        <f t="shared" si="24"/>
        <v>#N/A</v>
      </c>
      <c r="AI179" s="152" t="e">
        <f t="shared" si="25"/>
        <v>#N/A</v>
      </c>
      <c r="AJ179" s="152" t="e">
        <f t="shared" si="26"/>
        <v>#N/A</v>
      </c>
      <c r="AK179" s="152" t="e">
        <f t="shared" si="27"/>
        <v>#N/A</v>
      </c>
      <c r="AL179" s="152" t="e">
        <f t="shared" si="28"/>
        <v>#N/A</v>
      </c>
      <c r="AM179" s="152" t="e">
        <f t="shared" si="29"/>
        <v>#N/A</v>
      </c>
      <c r="AN179" s="152" t="e">
        <f t="shared" si="30"/>
        <v>#N/A</v>
      </c>
      <c r="AO179" s="152" t="e">
        <f t="shared" si="31"/>
        <v>#N/A</v>
      </c>
      <c r="AP179" s="152" t="e">
        <f t="shared" si="32"/>
        <v>#N/A</v>
      </c>
      <c r="AQ179" s="152" t="e">
        <f t="shared" si="33"/>
        <v>#N/A</v>
      </c>
      <c r="AR179" s="152" t="e">
        <f t="shared" si="34"/>
        <v>#N/A</v>
      </c>
      <c r="AS179" s="152" t="e">
        <f t="shared" si="35"/>
        <v>#N/A</v>
      </c>
    </row>
    <row r="180" spans="8:45" ht="15.75" customHeight="1">
      <c r="H180" s="212" t="e">
        <v>#N/A</v>
      </c>
      <c r="I180" s="205" t="e">
        <v>#N/A</v>
      </c>
      <c r="J180" s="231" t="e">
        <v>#N/A</v>
      </c>
      <c r="K180" s="185" t="e">
        <v>#N/A</v>
      </c>
      <c r="L180" s="185" t="e">
        <v>#N/A</v>
      </c>
      <c r="M180" s="201" t="e">
        <v>#N/A</v>
      </c>
      <c r="N180" s="185" t="e">
        <v>#N/A</v>
      </c>
      <c r="O180" s="185" t="e">
        <v>#N/A</v>
      </c>
      <c r="P180" s="201" t="e">
        <v>#N/A</v>
      </c>
      <c r="Q180" s="205" t="e">
        <v>#N/A</v>
      </c>
      <c r="R180" s="231" t="e">
        <v>#N/A</v>
      </c>
      <c r="S180" s="185" t="e">
        <v>#N/A</v>
      </c>
      <c r="T180" s="185" t="e">
        <v>#N/A</v>
      </c>
      <c r="U180" s="201" t="e">
        <v>#N/A</v>
      </c>
      <c r="V180" s="185" t="e">
        <v>#N/A</v>
      </c>
      <c r="W180" s="185" t="e">
        <v>#N/A</v>
      </c>
      <c r="X180" s="201" t="e">
        <v>#N/A</v>
      </c>
      <c r="Y180" s="205" t="e">
        <v>#N/A</v>
      </c>
      <c r="Z180" s="231" t="e">
        <v>#N/A</v>
      </c>
      <c r="AA180" s="185" t="e">
        <v>#N/A</v>
      </c>
      <c r="AB180" s="185" t="e">
        <v>#N/A</v>
      </c>
      <c r="AC180" s="201" t="e">
        <v>#N/A</v>
      </c>
      <c r="AD180" s="185" t="e">
        <v>#N/A</v>
      </c>
      <c r="AE180" s="185" t="e">
        <v>#N/A</v>
      </c>
      <c r="AF180" s="201" t="e">
        <v>#N/A</v>
      </c>
      <c r="AH180" s="152" t="e">
        <f t="shared" si="24"/>
        <v>#N/A</v>
      </c>
      <c r="AI180" s="152" t="e">
        <f t="shared" si="25"/>
        <v>#N/A</v>
      </c>
      <c r="AJ180" s="152" t="e">
        <f t="shared" si="26"/>
        <v>#N/A</v>
      </c>
      <c r="AK180" s="152" t="e">
        <f t="shared" si="27"/>
        <v>#N/A</v>
      </c>
      <c r="AL180" s="152" t="e">
        <f t="shared" si="28"/>
        <v>#N/A</v>
      </c>
      <c r="AM180" s="152" t="e">
        <f t="shared" si="29"/>
        <v>#N/A</v>
      </c>
      <c r="AN180" s="152" t="e">
        <f t="shared" si="30"/>
        <v>#N/A</v>
      </c>
      <c r="AO180" s="152" t="e">
        <f t="shared" si="31"/>
        <v>#N/A</v>
      </c>
      <c r="AP180" s="152" t="e">
        <f t="shared" si="32"/>
        <v>#N/A</v>
      </c>
      <c r="AQ180" s="152" t="e">
        <f t="shared" si="33"/>
        <v>#N/A</v>
      </c>
      <c r="AR180" s="152" t="e">
        <f t="shared" si="34"/>
        <v>#N/A</v>
      </c>
      <c r="AS180" s="152" t="e">
        <f t="shared" si="35"/>
        <v>#N/A</v>
      </c>
    </row>
    <row r="181" spans="8:45" ht="15.75" customHeight="1">
      <c r="H181" s="212" t="e">
        <v>#N/A</v>
      </c>
      <c r="I181" s="205" t="e">
        <v>#N/A</v>
      </c>
      <c r="J181" s="231" t="e">
        <v>#N/A</v>
      </c>
      <c r="K181" s="185" t="e">
        <v>#N/A</v>
      </c>
      <c r="L181" s="185" t="e">
        <v>#N/A</v>
      </c>
      <c r="M181" s="201" t="e">
        <v>#N/A</v>
      </c>
      <c r="N181" s="185" t="e">
        <v>#N/A</v>
      </c>
      <c r="O181" s="185" t="e">
        <v>#N/A</v>
      </c>
      <c r="P181" s="201" t="e">
        <v>#N/A</v>
      </c>
      <c r="Q181" s="205" t="e">
        <v>#N/A</v>
      </c>
      <c r="R181" s="231" t="e">
        <v>#N/A</v>
      </c>
      <c r="S181" s="185" t="e">
        <v>#N/A</v>
      </c>
      <c r="T181" s="185" t="e">
        <v>#N/A</v>
      </c>
      <c r="U181" s="201" t="e">
        <v>#N/A</v>
      </c>
      <c r="V181" s="185" t="e">
        <v>#N/A</v>
      </c>
      <c r="W181" s="185" t="e">
        <v>#N/A</v>
      </c>
      <c r="X181" s="201" t="e">
        <v>#N/A</v>
      </c>
      <c r="Y181" s="205" t="e">
        <v>#N/A</v>
      </c>
      <c r="Z181" s="231" t="e">
        <v>#N/A</v>
      </c>
      <c r="AA181" s="185" t="e">
        <v>#N/A</v>
      </c>
      <c r="AB181" s="185" t="e">
        <v>#N/A</v>
      </c>
      <c r="AC181" s="201" t="e">
        <v>#N/A</v>
      </c>
      <c r="AD181" s="185" t="e">
        <v>#N/A</v>
      </c>
      <c r="AE181" s="185" t="e">
        <v>#N/A</v>
      </c>
      <c r="AF181" s="201" t="e">
        <v>#N/A</v>
      </c>
      <c r="AH181" s="152" t="e">
        <f t="shared" si="24"/>
        <v>#N/A</v>
      </c>
      <c r="AI181" s="152" t="e">
        <f t="shared" si="25"/>
        <v>#N/A</v>
      </c>
      <c r="AJ181" s="152" t="e">
        <f t="shared" si="26"/>
        <v>#N/A</v>
      </c>
      <c r="AK181" s="152" t="e">
        <f t="shared" si="27"/>
        <v>#N/A</v>
      </c>
      <c r="AL181" s="152" t="e">
        <f t="shared" si="28"/>
        <v>#N/A</v>
      </c>
      <c r="AM181" s="152" t="e">
        <f t="shared" si="29"/>
        <v>#N/A</v>
      </c>
      <c r="AN181" s="152" t="e">
        <f t="shared" si="30"/>
        <v>#N/A</v>
      </c>
      <c r="AO181" s="152" t="e">
        <f t="shared" si="31"/>
        <v>#N/A</v>
      </c>
      <c r="AP181" s="152" t="e">
        <f t="shared" si="32"/>
        <v>#N/A</v>
      </c>
      <c r="AQ181" s="152" t="e">
        <f t="shared" si="33"/>
        <v>#N/A</v>
      </c>
      <c r="AR181" s="152" t="e">
        <f t="shared" si="34"/>
        <v>#N/A</v>
      </c>
      <c r="AS181" s="152" t="e">
        <f t="shared" si="35"/>
        <v>#N/A</v>
      </c>
    </row>
    <row r="182" spans="8:45" ht="15.75" customHeight="1">
      <c r="H182" s="212" t="e">
        <v>#N/A</v>
      </c>
      <c r="I182" s="205" t="e">
        <v>#N/A</v>
      </c>
      <c r="J182" s="231" t="e">
        <v>#N/A</v>
      </c>
      <c r="K182" s="185" t="e">
        <v>#N/A</v>
      </c>
      <c r="L182" s="185" t="e">
        <v>#N/A</v>
      </c>
      <c r="M182" s="201" t="e">
        <v>#N/A</v>
      </c>
      <c r="N182" s="185" t="e">
        <v>#N/A</v>
      </c>
      <c r="O182" s="185" t="e">
        <v>#N/A</v>
      </c>
      <c r="P182" s="201" t="e">
        <v>#N/A</v>
      </c>
      <c r="Q182" s="205" t="e">
        <v>#N/A</v>
      </c>
      <c r="R182" s="231" t="e">
        <v>#N/A</v>
      </c>
      <c r="S182" s="185" t="e">
        <v>#N/A</v>
      </c>
      <c r="T182" s="185" t="e">
        <v>#N/A</v>
      </c>
      <c r="U182" s="201" t="e">
        <v>#N/A</v>
      </c>
      <c r="V182" s="185" t="e">
        <v>#N/A</v>
      </c>
      <c r="W182" s="185" t="e">
        <v>#N/A</v>
      </c>
      <c r="X182" s="201" t="e">
        <v>#N/A</v>
      </c>
      <c r="Y182" s="205" t="e">
        <v>#N/A</v>
      </c>
      <c r="Z182" s="231" t="e">
        <v>#N/A</v>
      </c>
      <c r="AA182" s="185" t="e">
        <v>#N/A</v>
      </c>
      <c r="AB182" s="185" t="e">
        <v>#N/A</v>
      </c>
      <c r="AC182" s="201" t="e">
        <v>#N/A</v>
      </c>
      <c r="AD182" s="185" t="e">
        <v>#N/A</v>
      </c>
      <c r="AE182" s="185" t="e">
        <v>#N/A</v>
      </c>
      <c r="AF182" s="201" t="e">
        <v>#N/A</v>
      </c>
      <c r="AH182" s="152" t="e">
        <f t="shared" si="24"/>
        <v>#N/A</v>
      </c>
      <c r="AI182" s="152" t="e">
        <f t="shared" si="25"/>
        <v>#N/A</v>
      </c>
      <c r="AJ182" s="152" t="e">
        <f t="shared" si="26"/>
        <v>#N/A</v>
      </c>
      <c r="AK182" s="152" t="e">
        <f t="shared" si="27"/>
        <v>#N/A</v>
      </c>
      <c r="AL182" s="152" t="e">
        <f t="shared" si="28"/>
        <v>#N/A</v>
      </c>
      <c r="AM182" s="152" t="e">
        <f t="shared" si="29"/>
        <v>#N/A</v>
      </c>
      <c r="AN182" s="152" t="e">
        <f t="shared" si="30"/>
        <v>#N/A</v>
      </c>
      <c r="AO182" s="152" t="e">
        <f t="shared" si="31"/>
        <v>#N/A</v>
      </c>
      <c r="AP182" s="152" t="e">
        <f t="shared" si="32"/>
        <v>#N/A</v>
      </c>
      <c r="AQ182" s="152" t="e">
        <f t="shared" si="33"/>
        <v>#N/A</v>
      </c>
      <c r="AR182" s="152" t="e">
        <f t="shared" si="34"/>
        <v>#N/A</v>
      </c>
      <c r="AS182" s="152" t="e">
        <f t="shared" si="35"/>
        <v>#N/A</v>
      </c>
    </row>
    <row r="183" spans="8:45" ht="15.75" customHeight="1">
      <c r="H183" s="212" t="e">
        <v>#N/A</v>
      </c>
      <c r="I183" s="205" t="e">
        <v>#N/A</v>
      </c>
      <c r="J183" s="231" t="e">
        <v>#N/A</v>
      </c>
      <c r="K183" s="185" t="e">
        <v>#N/A</v>
      </c>
      <c r="L183" s="185" t="e">
        <v>#N/A</v>
      </c>
      <c r="M183" s="201" t="e">
        <v>#N/A</v>
      </c>
      <c r="N183" s="185" t="e">
        <v>#N/A</v>
      </c>
      <c r="O183" s="185" t="e">
        <v>#N/A</v>
      </c>
      <c r="P183" s="201" t="e">
        <v>#N/A</v>
      </c>
      <c r="Q183" s="205" t="e">
        <v>#N/A</v>
      </c>
      <c r="R183" s="231" t="e">
        <v>#N/A</v>
      </c>
      <c r="S183" s="185" t="e">
        <v>#N/A</v>
      </c>
      <c r="T183" s="185" t="e">
        <v>#N/A</v>
      </c>
      <c r="U183" s="201" t="e">
        <v>#N/A</v>
      </c>
      <c r="V183" s="185" t="e">
        <v>#N/A</v>
      </c>
      <c r="W183" s="185" t="e">
        <v>#N/A</v>
      </c>
      <c r="X183" s="201" t="e">
        <v>#N/A</v>
      </c>
      <c r="Y183" s="205" t="e">
        <v>#N/A</v>
      </c>
      <c r="Z183" s="231" t="e">
        <v>#N/A</v>
      </c>
      <c r="AA183" s="185" t="e">
        <v>#N/A</v>
      </c>
      <c r="AB183" s="185" t="e">
        <v>#N/A</v>
      </c>
      <c r="AC183" s="201" t="e">
        <v>#N/A</v>
      </c>
      <c r="AD183" s="185" t="e">
        <v>#N/A</v>
      </c>
      <c r="AE183" s="185" t="e">
        <v>#N/A</v>
      </c>
      <c r="AF183" s="201" t="e">
        <v>#N/A</v>
      </c>
      <c r="AH183" s="152" t="e">
        <f t="shared" si="24"/>
        <v>#N/A</v>
      </c>
      <c r="AI183" s="152" t="e">
        <f t="shared" si="25"/>
        <v>#N/A</v>
      </c>
      <c r="AJ183" s="152" t="e">
        <f t="shared" si="26"/>
        <v>#N/A</v>
      </c>
      <c r="AK183" s="152" t="e">
        <f t="shared" si="27"/>
        <v>#N/A</v>
      </c>
      <c r="AL183" s="152" t="e">
        <f t="shared" si="28"/>
        <v>#N/A</v>
      </c>
      <c r="AM183" s="152" t="e">
        <f t="shared" si="29"/>
        <v>#N/A</v>
      </c>
      <c r="AN183" s="152" t="e">
        <f t="shared" si="30"/>
        <v>#N/A</v>
      </c>
      <c r="AO183" s="152" t="e">
        <f t="shared" si="31"/>
        <v>#N/A</v>
      </c>
      <c r="AP183" s="152" t="e">
        <f t="shared" si="32"/>
        <v>#N/A</v>
      </c>
      <c r="AQ183" s="152" t="e">
        <f t="shared" si="33"/>
        <v>#N/A</v>
      </c>
      <c r="AR183" s="152" t="e">
        <f t="shared" si="34"/>
        <v>#N/A</v>
      </c>
      <c r="AS183" s="152" t="e">
        <f t="shared" si="35"/>
        <v>#N/A</v>
      </c>
    </row>
    <row r="184" spans="8:45" ht="15.75" customHeight="1">
      <c r="H184" s="212" t="e">
        <v>#N/A</v>
      </c>
      <c r="I184" s="205" t="e">
        <v>#N/A</v>
      </c>
      <c r="J184" s="231" t="e">
        <v>#N/A</v>
      </c>
      <c r="K184" s="185" t="e">
        <v>#N/A</v>
      </c>
      <c r="L184" s="185" t="e">
        <v>#N/A</v>
      </c>
      <c r="M184" s="201" t="e">
        <v>#N/A</v>
      </c>
      <c r="N184" s="185" t="e">
        <v>#N/A</v>
      </c>
      <c r="O184" s="185" t="e">
        <v>#N/A</v>
      </c>
      <c r="P184" s="201" t="e">
        <v>#N/A</v>
      </c>
      <c r="Q184" s="205" t="e">
        <v>#N/A</v>
      </c>
      <c r="R184" s="231" t="e">
        <v>#N/A</v>
      </c>
      <c r="S184" s="185" t="e">
        <v>#N/A</v>
      </c>
      <c r="T184" s="185" t="e">
        <v>#N/A</v>
      </c>
      <c r="U184" s="201" t="e">
        <v>#N/A</v>
      </c>
      <c r="V184" s="185" t="e">
        <v>#N/A</v>
      </c>
      <c r="W184" s="185" t="e">
        <v>#N/A</v>
      </c>
      <c r="X184" s="201" t="e">
        <v>#N/A</v>
      </c>
      <c r="Y184" s="205" t="e">
        <v>#N/A</v>
      </c>
      <c r="Z184" s="231" t="e">
        <v>#N/A</v>
      </c>
      <c r="AA184" s="185" t="e">
        <v>#N/A</v>
      </c>
      <c r="AB184" s="185" t="e">
        <v>#N/A</v>
      </c>
      <c r="AC184" s="201" t="e">
        <v>#N/A</v>
      </c>
      <c r="AD184" s="185" t="e">
        <v>#N/A</v>
      </c>
      <c r="AE184" s="185" t="e">
        <v>#N/A</v>
      </c>
      <c r="AF184" s="201" t="e">
        <v>#N/A</v>
      </c>
      <c r="AH184" s="152" t="e">
        <f t="shared" si="24"/>
        <v>#N/A</v>
      </c>
      <c r="AI184" s="152" t="e">
        <f t="shared" si="25"/>
        <v>#N/A</v>
      </c>
      <c r="AJ184" s="152" t="e">
        <f t="shared" si="26"/>
        <v>#N/A</v>
      </c>
      <c r="AK184" s="152" t="e">
        <f t="shared" si="27"/>
        <v>#N/A</v>
      </c>
      <c r="AL184" s="152" t="e">
        <f t="shared" si="28"/>
        <v>#N/A</v>
      </c>
      <c r="AM184" s="152" t="e">
        <f t="shared" si="29"/>
        <v>#N/A</v>
      </c>
      <c r="AN184" s="152" t="e">
        <f t="shared" si="30"/>
        <v>#N/A</v>
      </c>
      <c r="AO184" s="152" t="e">
        <f t="shared" si="31"/>
        <v>#N/A</v>
      </c>
      <c r="AP184" s="152" t="e">
        <f t="shared" si="32"/>
        <v>#N/A</v>
      </c>
      <c r="AQ184" s="152" t="e">
        <f t="shared" si="33"/>
        <v>#N/A</v>
      </c>
      <c r="AR184" s="152" t="e">
        <f t="shared" si="34"/>
        <v>#N/A</v>
      </c>
      <c r="AS184" s="152" t="e">
        <f t="shared" si="35"/>
        <v>#N/A</v>
      </c>
    </row>
    <row r="185" spans="8:45" ht="15.75" customHeight="1">
      <c r="H185" s="212" t="e">
        <v>#N/A</v>
      </c>
      <c r="I185" s="205" t="e">
        <v>#N/A</v>
      </c>
      <c r="J185" s="231" t="e">
        <v>#N/A</v>
      </c>
      <c r="K185" s="185" t="e">
        <v>#N/A</v>
      </c>
      <c r="L185" s="185" t="e">
        <v>#N/A</v>
      </c>
      <c r="M185" s="201" t="e">
        <v>#N/A</v>
      </c>
      <c r="N185" s="185" t="e">
        <v>#N/A</v>
      </c>
      <c r="O185" s="185" t="e">
        <v>#N/A</v>
      </c>
      <c r="P185" s="201" t="e">
        <v>#N/A</v>
      </c>
      <c r="Q185" s="205" t="e">
        <v>#N/A</v>
      </c>
      <c r="R185" s="231" t="e">
        <v>#N/A</v>
      </c>
      <c r="S185" s="185" t="e">
        <v>#N/A</v>
      </c>
      <c r="T185" s="185" t="e">
        <v>#N/A</v>
      </c>
      <c r="U185" s="201" t="e">
        <v>#N/A</v>
      </c>
      <c r="V185" s="185" t="e">
        <v>#N/A</v>
      </c>
      <c r="W185" s="185" t="e">
        <v>#N/A</v>
      </c>
      <c r="X185" s="201" t="e">
        <v>#N/A</v>
      </c>
      <c r="Y185" s="205" t="e">
        <v>#N/A</v>
      </c>
      <c r="Z185" s="231" t="e">
        <v>#N/A</v>
      </c>
      <c r="AA185" s="185" t="e">
        <v>#N/A</v>
      </c>
      <c r="AB185" s="185" t="e">
        <v>#N/A</v>
      </c>
      <c r="AC185" s="201" t="e">
        <v>#N/A</v>
      </c>
      <c r="AD185" s="185" t="e">
        <v>#N/A</v>
      </c>
      <c r="AE185" s="185" t="e">
        <v>#N/A</v>
      </c>
      <c r="AF185" s="201" t="e">
        <v>#N/A</v>
      </c>
      <c r="AH185" s="152" t="e">
        <f t="shared" si="24"/>
        <v>#N/A</v>
      </c>
      <c r="AI185" s="152" t="e">
        <f t="shared" si="25"/>
        <v>#N/A</v>
      </c>
      <c r="AJ185" s="152" t="e">
        <f t="shared" si="26"/>
        <v>#N/A</v>
      </c>
      <c r="AK185" s="152" t="e">
        <f t="shared" si="27"/>
        <v>#N/A</v>
      </c>
      <c r="AL185" s="152" t="e">
        <f t="shared" si="28"/>
        <v>#N/A</v>
      </c>
      <c r="AM185" s="152" t="e">
        <f t="shared" si="29"/>
        <v>#N/A</v>
      </c>
      <c r="AN185" s="152" t="e">
        <f t="shared" si="30"/>
        <v>#N/A</v>
      </c>
      <c r="AO185" s="152" t="e">
        <f t="shared" si="31"/>
        <v>#N/A</v>
      </c>
      <c r="AP185" s="152" t="e">
        <f t="shared" si="32"/>
        <v>#N/A</v>
      </c>
      <c r="AQ185" s="152" t="e">
        <f t="shared" si="33"/>
        <v>#N/A</v>
      </c>
      <c r="AR185" s="152" t="e">
        <f t="shared" si="34"/>
        <v>#N/A</v>
      </c>
      <c r="AS185" s="152" t="e">
        <f t="shared" si="35"/>
        <v>#N/A</v>
      </c>
    </row>
    <row r="186" spans="8:45" ht="15.75" customHeight="1">
      <c r="H186" s="212" t="e">
        <v>#N/A</v>
      </c>
      <c r="I186" s="205" t="e">
        <v>#N/A</v>
      </c>
      <c r="J186" s="231" t="e">
        <v>#N/A</v>
      </c>
      <c r="K186" s="185" t="e">
        <v>#N/A</v>
      </c>
      <c r="L186" s="185" t="e">
        <v>#N/A</v>
      </c>
      <c r="M186" s="201" t="e">
        <v>#N/A</v>
      </c>
      <c r="N186" s="185" t="e">
        <v>#N/A</v>
      </c>
      <c r="O186" s="185" t="e">
        <v>#N/A</v>
      </c>
      <c r="P186" s="201" t="e">
        <v>#N/A</v>
      </c>
      <c r="Q186" s="205" t="e">
        <v>#N/A</v>
      </c>
      <c r="R186" s="231" t="e">
        <v>#N/A</v>
      </c>
      <c r="S186" s="185" t="e">
        <v>#N/A</v>
      </c>
      <c r="T186" s="185" t="e">
        <v>#N/A</v>
      </c>
      <c r="U186" s="201" t="e">
        <v>#N/A</v>
      </c>
      <c r="V186" s="185" t="e">
        <v>#N/A</v>
      </c>
      <c r="W186" s="185" t="e">
        <v>#N/A</v>
      </c>
      <c r="X186" s="201" t="e">
        <v>#N/A</v>
      </c>
      <c r="Y186" s="205" t="e">
        <v>#N/A</v>
      </c>
      <c r="Z186" s="231" t="e">
        <v>#N/A</v>
      </c>
      <c r="AA186" s="185" t="e">
        <v>#N/A</v>
      </c>
      <c r="AB186" s="185" t="e">
        <v>#N/A</v>
      </c>
      <c r="AC186" s="201" t="e">
        <v>#N/A</v>
      </c>
      <c r="AD186" s="185" t="e">
        <v>#N/A</v>
      </c>
      <c r="AE186" s="185" t="e">
        <v>#N/A</v>
      </c>
      <c r="AF186" s="201" t="e">
        <v>#N/A</v>
      </c>
      <c r="AH186" s="152" t="e">
        <f t="shared" si="24"/>
        <v>#N/A</v>
      </c>
      <c r="AI186" s="152" t="e">
        <f t="shared" si="25"/>
        <v>#N/A</v>
      </c>
      <c r="AJ186" s="152" t="e">
        <f t="shared" si="26"/>
        <v>#N/A</v>
      </c>
      <c r="AK186" s="152" t="e">
        <f t="shared" si="27"/>
        <v>#N/A</v>
      </c>
      <c r="AL186" s="152" t="e">
        <f t="shared" si="28"/>
        <v>#N/A</v>
      </c>
      <c r="AM186" s="152" t="e">
        <f t="shared" si="29"/>
        <v>#N/A</v>
      </c>
      <c r="AN186" s="152" t="e">
        <f t="shared" si="30"/>
        <v>#N/A</v>
      </c>
      <c r="AO186" s="152" t="e">
        <f t="shared" si="31"/>
        <v>#N/A</v>
      </c>
      <c r="AP186" s="152" t="e">
        <f t="shared" si="32"/>
        <v>#N/A</v>
      </c>
      <c r="AQ186" s="152" t="e">
        <f t="shared" si="33"/>
        <v>#N/A</v>
      </c>
      <c r="AR186" s="152" t="e">
        <f t="shared" si="34"/>
        <v>#N/A</v>
      </c>
      <c r="AS186" s="152" t="e">
        <f t="shared" si="35"/>
        <v>#N/A</v>
      </c>
    </row>
    <row r="187" spans="8:45" ht="15.75" customHeight="1">
      <c r="H187" s="212" t="e">
        <v>#N/A</v>
      </c>
      <c r="I187" s="205" t="e">
        <v>#N/A</v>
      </c>
      <c r="J187" s="231" t="e">
        <v>#N/A</v>
      </c>
      <c r="K187" s="185" t="e">
        <v>#N/A</v>
      </c>
      <c r="L187" s="185" t="e">
        <v>#N/A</v>
      </c>
      <c r="M187" s="201" t="e">
        <v>#N/A</v>
      </c>
      <c r="N187" s="185" t="e">
        <v>#N/A</v>
      </c>
      <c r="O187" s="185" t="e">
        <v>#N/A</v>
      </c>
      <c r="P187" s="201" t="e">
        <v>#N/A</v>
      </c>
      <c r="Q187" s="205" t="e">
        <v>#N/A</v>
      </c>
      <c r="R187" s="231" t="e">
        <v>#N/A</v>
      </c>
      <c r="S187" s="185" t="e">
        <v>#N/A</v>
      </c>
      <c r="T187" s="185" t="e">
        <v>#N/A</v>
      </c>
      <c r="U187" s="201" t="e">
        <v>#N/A</v>
      </c>
      <c r="V187" s="185" t="e">
        <v>#N/A</v>
      </c>
      <c r="W187" s="185" t="e">
        <v>#N/A</v>
      </c>
      <c r="X187" s="201" t="e">
        <v>#N/A</v>
      </c>
      <c r="Y187" s="205" t="e">
        <v>#N/A</v>
      </c>
      <c r="Z187" s="231" t="e">
        <v>#N/A</v>
      </c>
      <c r="AA187" s="185" t="e">
        <v>#N/A</v>
      </c>
      <c r="AB187" s="185" t="e">
        <v>#N/A</v>
      </c>
      <c r="AC187" s="201" t="e">
        <v>#N/A</v>
      </c>
      <c r="AD187" s="185" t="e">
        <v>#N/A</v>
      </c>
      <c r="AE187" s="185" t="e">
        <v>#N/A</v>
      </c>
      <c r="AF187" s="201" t="e">
        <v>#N/A</v>
      </c>
      <c r="AH187" s="152" t="e">
        <f t="shared" si="24"/>
        <v>#N/A</v>
      </c>
      <c r="AI187" s="152" t="e">
        <f t="shared" si="25"/>
        <v>#N/A</v>
      </c>
      <c r="AJ187" s="152" t="e">
        <f t="shared" si="26"/>
        <v>#N/A</v>
      </c>
      <c r="AK187" s="152" t="e">
        <f t="shared" si="27"/>
        <v>#N/A</v>
      </c>
      <c r="AL187" s="152" t="e">
        <f t="shared" si="28"/>
        <v>#N/A</v>
      </c>
      <c r="AM187" s="152" t="e">
        <f t="shared" si="29"/>
        <v>#N/A</v>
      </c>
      <c r="AN187" s="152" t="e">
        <f t="shared" si="30"/>
        <v>#N/A</v>
      </c>
      <c r="AO187" s="152" t="e">
        <f t="shared" si="31"/>
        <v>#N/A</v>
      </c>
      <c r="AP187" s="152" t="e">
        <f t="shared" si="32"/>
        <v>#N/A</v>
      </c>
      <c r="AQ187" s="152" t="e">
        <f t="shared" si="33"/>
        <v>#N/A</v>
      </c>
      <c r="AR187" s="152" t="e">
        <f t="shared" si="34"/>
        <v>#N/A</v>
      </c>
      <c r="AS187" s="152" t="e">
        <f t="shared" si="35"/>
        <v>#N/A</v>
      </c>
    </row>
    <row r="188" spans="8:45" ht="15.75" customHeight="1">
      <c r="H188" s="212" t="e">
        <v>#N/A</v>
      </c>
      <c r="I188" s="205" t="e">
        <v>#N/A</v>
      </c>
      <c r="J188" s="231" t="e">
        <v>#N/A</v>
      </c>
      <c r="K188" s="185" t="e">
        <v>#N/A</v>
      </c>
      <c r="L188" s="185" t="e">
        <v>#N/A</v>
      </c>
      <c r="M188" s="201" t="e">
        <v>#N/A</v>
      </c>
      <c r="N188" s="185" t="e">
        <v>#N/A</v>
      </c>
      <c r="O188" s="185" t="e">
        <v>#N/A</v>
      </c>
      <c r="P188" s="201" t="e">
        <v>#N/A</v>
      </c>
      <c r="Q188" s="205" t="e">
        <v>#N/A</v>
      </c>
      <c r="R188" s="231" t="e">
        <v>#N/A</v>
      </c>
      <c r="S188" s="185" t="e">
        <v>#N/A</v>
      </c>
      <c r="T188" s="185" t="e">
        <v>#N/A</v>
      </c>
      <c r="U188" s="201" t="e">
        <v>#N/A</v>
      </c>
      <c r="V188" s="185" t="e">
        <v>#N/A</v>
      </c>
      <c r="W188" s="185" t="e">
        <v>#N/A</v>
      </c>
      <c r="X188" s="201" t="e">
        <v>#N/A</v>
      </c>
      <c r="Y188" s="205" t="e">
        <v>#N/A</v>
      </c>
      <c r="Z188" s="231" t="e">
        <v>#N/A</v>
      </c>
      <c r="AA188" s="185" t="e">
        <v>#N/A</v>
      </c>
      <c r="AB188" s="185" t="e">
        <v>#N/A</v>
      </c>
      <c r="AC188" s="201" t="e">
        <v>#N/A</v>
      </c>
      <c r="AD188" s="185" t="e">
        <v>#N/A</v>
      </c>
      <c r="AE188" s="185" t="e">
        <v>#N/A</v>
      </c>
      <c r="AF188" s="201" t="e">
        <v>#N/A</v>
      </c>
      <c r="AH188" s="152" t="e">
        <f t="shared" si="24"/>
        <v>#N/A</v>
      </c>
      <c r="AI188" s="152" t="e">
        <f t="shared" si="25"/>
        <v>#N/A</v>
      </c>
      <c r="AJ188" s="152" t="e">
        <f t="shared" si="26"/>
        <v>#N/A</v>
      </c>
      <c r="AK188" s="152" t="e">
        <f t="shared" si="27"/>
        <v>#N/A</v>
      </c>
      <c r="AL188" s="152" t="e">
        <f t="shared" si="28"/>
        <v>#N/A</v>
      </c>
      <c r="AM188" s="152" t="e">
        <f t="shared" si="29"/>
        <v>#N/A</v>
      </c>
      <c r="AN188" s="152" t="e">
        <f t="shared" si="30"/>
        <v>#N/A</v>
      </c>
      <c r="AO188" s="152" t="e">
        <f t="shared" si="31"/>
        <v>#N/A</v>
      </c>
      <c r="AP188" s="152" t="e">
        <f t="shared" si="32"/>
        <v>#N/A</v>
      </c>
      <c r="AQ188" s="152" t="e">
        <f t="shared" si="33"/>
        <v>#N/A</v>
      </c>
      <c r="AR188" s="152" t="e">
        <f t="shared" si="34"/>
        <v>#N/A</v>
      </c>
      <c r="AS188" s="152" t="e">
        <f t="shared" si="35"/>
        <v>#N/A</v>
      </c>
    </row>
    <row r="189" spans="8:45" ht="15.75" customHeight="1">
      <c r="H189" s="212" t="e">
        <v>#N/A</v>
      </c>
      <c r="I189" s="205" t="e">
        <v>#N/A</v>
      </c>
      <c r="J189" s="231" t="e">
        <v>#N/A</v>
      </c>
      <c r="K189" s="185" t="e">
        <v>#N/A</v>
      </c>
      <c r="L189" s="185" t="e">
        <v>#N/A</v>
      </c>
      <c r="M189" s="201" t="e">
        <v>#N/A</v>
      </c>
      <c r="N189" s="185" t="e">
        <v>#N/A</v>
      </c>
      <c r="O189" s="185" t="e">
        <v>#N/A</v>
      </c>
      <c r="P189" s="201" t="e">
        <v>#N/A</v>
      </c>
      <c r="Q189" s="205" t="e">
        <v>#N/A</v>
      </c>
      <c r="R189" s="231" t="e">
        <v>#N/A</v>
      </c>
      <c r="S189" s="185" t="e">
        <v>#N/A</v>
      </c>
      <c r="T189" s="185" t="e">
        <v>#N/A</v>
      </c>
      <c r="U189" s="201" t="e">
        <v>#N/A</v>
      </c>
      <c r="V189" s="185" t="e">
        <v>#N/A</v>
      </c>
      <c r="W189" s="185" t="e">
        <v>#N/A</v>
      </c>
      <c r="X189" s="201" t="e">
        <v>#N/A</v>
      </c>
      <c r="Y189" s="205" t="e">
        <v>#N/A</v>
      </c>
      <c r="Z189" s="231" t="e">
        <v>#N/A</v>
      </c>
      <c r="AA189" s="185" t="e">
        <v>#N/A</v>
      </c>
      <c r="AB189" s="185" t="e">
        <v>#N/A</v>
      </c>
      <c r="AC189" s="201" t="e">
        <v>#N/A</v>
      </c>
      <c r="AD189" s="185" t="e">
        <v>#N/A</v>
      </c>
      <c r="AE189" s="185" t="e">
        <v>#N/A</v>
      </c>
      <c r="AF189" s="201" t="e">
        <v>#N/A</v>
      </c>
      <c r="AH189" s="152" t="e">
        <f t="shared" si="24"/>
        <v>#N/A</v>
      </c>
      <c r="AI189" s="152" t="e">
        <f t="shared" si="25"/>
        <v>#N/A</v>
      </c>
      <c r="AJ189" s="152" t="e">
        <f t="shared" si="26"/>
        <v>#N/A</v>
      </c>
      <c r="AK189" s="152" t="e">
        <f t="shared" si="27"/>
        <v>#N/A</v>
      </c>
      <c r="AL189" s="152" t="e">
        <f t="shared" si="28"/>
        <v>#N/A</v>
      </c>
      <c r="AM189" s="152" t="e">
        <f t="shared" si="29"/>
        <v>#N/A</v>
      </c>
      <c r="AN189" s="152" t="e">
        <f t="shared" si="30"/>
        <v>#N/A</v>
      </c>
      <c r="AO189" s="152" t="e">
        <f t="shared" si="31"/>
        <v>#N/A</v>
      </c>
      <c r="AP189" s="152" t="e">
        <f t="shared" si="32"/>
        <v>#N/A</v>
      </c>
      <c r="AQ189" s="152" t="e">
        <f t="shared" si="33"/>
        <v>#N/A</v>
      </c>
      <c r="AR189" s="152" t="e">
        <f t="shared" si="34"/>
        <v>#N/A</v>
      </c>
      <c r="AS189" s="152" t="e">
        <f t="shared" si="35"/>
        <v>#N/A</v>
      </c>
    </row>
    <row r="190" spans="8:45" ht="15.75" customHeight="1">
      <c r="H190" s="212" t="e">
        <v>#N/A</v>
      </c>
      <c r="I190" s="205" t="e">
        <v>#N/A</v>
      </c>
      <c r="J190" s="231" t="e">
        <v>#N/A</v>
      </c>
      <c r="K190" s="185" t="e">
        <v>#N/A</v>
      </c>
      <c r="L190" s="185" t="e">
        <v>#N/A</v>
      </c>
      <c r="M190" s="201" t="e">
        <v>#N/A</v>
      </c>
      <c r="N190" s="185" t="e">
        <v>#N/A</v>
      </c>
      <c r="O190" s="185" t="e">
        <v>#N/A</v>
      </c>
      <c r="P190" s="201" t="e">
        <v>#N/A</v>
      </c>
      <c r="Q190" s="205" t="e">
        <v>#N/A</v>
      </c>
      <c r="R190" s="231" t="e">
        <v>#N/A</v>
      </c>
      <c r="S190" s="185" t="e">
        <v>#N/A</v>
      </c>
      <c r="T190" s="185" t="e">
        <v>#N/A</v>
      </c>
      <c r="U190" s="201" t="e">
        <v>#N/A</v>
      </c>
      <c r="V190" s="185" t="e">
        <v>#N/A</v>
      </c>
      <c r="W190" s="185" t="e">
        <v>#N/A</v>
      </c>
      <c r="X190" s="201" t="e">
        <v>#N/A</v>
      </c>
      <c r="Y190" s="205" t="e">
        <v>#N/A</v>
      </c>
      <c r="Z190" s="231" t="e">
        <v>#N/A</v>
      </c>
      <c r="AA190" s="185" t="e">
        <v>#N/A</v>
      </c>
      <c r="AB190" s="185" t="e">
        <v>#N/A</v>
      </c>
      <c r="AC190" s="201" t="e">
        <v>#N/A</v>
      </c>
      <c r="AD190" s="185" t="e">
        <v>#N/A</v>
      </c>
      <c r="AE190" s="185" t="e">
        <v>#N/A</v>
      </c>
      <c r="AF190" s="201" t="e">
        <v>#N/A</v>
      </c>
      <c r="AH190" s="152" t="e">
        <f t="shared" si="24"/>
        <v>#N/A</v>
      </c>
      <c r="AI190" s="152" t="e">
        <f t="shared" si="25"/>
        <v>#N/A</v>
      </c>
      <c r="AJ190" s="152" t="e">
        <f t="shared" si="26"/>
        <v>#N/A</v>
      </c>
      <c r="AK190" s="152" t="e">
        <f t="shared" si="27"/>
        <v>#N/A</v>
      </c>
      <c r="AL190" s="152" t="e">
        <f t="shared" si="28"/>
        <v>#N/A</v>
      </c>
      <c r="AM190" s="152" t="e">
        <f t="shared" si="29"/>
        <v>#N/A</v>
      </c>
      <c r="AN190" s="152" t="e">
        <f t="shared" si="30"/>
        <v>#N/A</v>
      </c>
      <c r="AO190" s="152" t="e">
        <f t="shared" si="31"/>
        <v>#N/A</v>
      </c>
      <c r="AP190" s="152" t="e">
        <f t="shared" si="32"/>
        <v>#N/A</v>
      </c>
      <c r="AQ190" s="152" t="e">
        <f t="shared" si="33"/>
        <v>#N/A</v>
      </c>
      <c r="AR190" s="152" t="e">
        <f t="shared" si="34"/>
        <v>#N/A</v>
      </c>
      <c r="AS190" s="152" t="e">
        <f t="shared" si="35"/>
        <v>#N/A</v>
      </c>
    </row>
    <row r="191" spans="8:45" ht="15.75" customHeight="1">
      <c r="H191" s="212" t="e">
        <v>#N/A</v>
      </c>
      <c r="I191" s="205" t="e">
        <v>#N/A</v>
      </c>
      <c r="J191" s="231" t="e">
        <v>#N/A</v>
      </c>
      <c r="K191" s="185" t="e">
        <v>#N/A</v>
      </c>
      <c r="L191" s="185" t="e">
        <v>#N/A</v>
      </c>
      <c r="M191" s="201" t="e">
        <v>#N/A</v>
      </c>
      <c r="N191" s="185" t="e">
        <v>#N/A</v>
      </c>
      <c r="O191" s="185" t="e">
        <v>#N/A</v>
      </c>
      <c r="P191" s="201" t="e">
        <v>#N/A</v>
      </c>
      <c r="Q191" s="205" t="e">
        <v>#N/A</v>
      </c>
      <c r="R191" s="231" t="e">
        <v>#N/A</v>
      </c>
      <c r="S191" s="185" t="e">
        <v>#N/A</v>
      </c>
      <c r="T191" s="185" t="e">
        <v>#N/A</v>
      </c>
      <c r="U191" s="201" t="e">
        <v>#N/A</v>
      </c>
      <c r="V191" s="185" t="e">
        <v>#N/A</v>
      </c>
      <c r="W191" s="185" t="e">
        <v>#N/A</v>
      </c>
      <c r="X191" s="201" t="e">
        <v>#N/A</v>
      </c>
      <c r="Y191" s="205" t="e">
        <v>#N/A</v>
      </c>
      <c r="Z191" s="231" t="e">
        <v>#N/A</v>
      </c>
      <c r="AA191" s="185" t="e">
        <v>#N/A</v>
      </c>
      <c r="AB191" s="185" t="e">
        <v>#N/A</v>
      </c>
      <c r="AC191" s="201" t="e">
        <v>#N/A</v>
      </c>
      <c r="AD191" s="185" t="e">
        <v>#N/A</v>
      </c>
      <c r="AE191" s="185" t="e">
        <v>#N/A</v>
      </c>
      <c r="AF191" s="201" t="e">
        <v>#N/A</v>
      </c>
      <c r="AH191" s="152" t="e">
        <f t="shared" si="24"/>
        <v>#N/A</v>
      </c>
      <c r="AI191" s="152" t="e">
        <f t="shared" si="25"/>
        <v>#N/A</v>
      </c>
      <c r="AJ191" s="152" t="e">
        <f t="shared" si="26"/>
        <v>#N/A</v>
      </c>
      <c r="AK191" s="152" t="e">
        <f t="shared" si="27"/>
        <v>#N/A</v>
      </c>
      <c r="AL191" s="152" t="e">
        <f t="shared" si="28"/>
        <v>#N/A</v>
      </c>
      <c r="AM191" s="152" t="e">
        <f t="shared" si="29"/>
        <v>#N/A</v>
      </c>
      <c r="AN191" s="152" t="e">
        <f t="shared" si="30"/>
        <v>#N/A</v>
      </c>
      <c r="AO191" s="152" t="e">
        <f t="shared" si="31"/>
        <v>#N/A</v>
      </c>
      <c r="AP191" s="152" t="e">
        <f t="shared" si="32"/>
        <v>#N/A</v>
      </c>
      <c r="AQ191" s="152" t="e">
        <f t="shared" si="33"/>
        <v>#N/A</v>
      </c>
      <c r="AR191" s="152" t="e">
        <f t="shared" si="34"/>
        <v>#N/A</v>
      </c>
      <c r="AS191" s="152" t="e">
        <f t="shared" si="35"/>
        <v>#N/A</v>
      </c>
    </row>
    <row r="192" spans="8:45" ht="15.75" customHeight="1">
      <c r="H192" s="212" t="e">
        <v>#N/A</v>
      </c>
      <c r="I192" s="205" t="e">
        <v>#N/A</v>
      </c>
      <c r="J192" s="231" t="e">
        <v>#N/A</v>
      </c>
      <c r="K192" s="185" t="e">
        <v>#N/A</v>
      </c>
      <c r="L192" s="185" t="e">
        <v>#N/A</v>
      </c>
      <c r="M192" s="201" t="e">
        <v>#N/A</v>
      </c>
      <c r="N192" s="185" t="e">
        <v>#N/A</v>
      </c>
      <c r="O192" s="185" t="e">
        <v>#N/A</v>
      </c>
      <c r="P192" s="201" t="e">
        <v>#N/A</v>
      </c>
      <c r="Q192" s="205" t="e">
        <v>#N/A</v>
      </c>
      <c r="R192" s="231" t="e">
        <v>#N/A</v>
      </c>
      <c r="S192" s="185" t="e">
        <v>#N/A</v>
      </c>
      <c r="T192" s="185" t="e">
        <v>#N/A</v>
      </c>
      <c r="U192" s="201" t="e">
        <v>#N/A</v>
      </c>
      <c r="V192" s="185" t="e">
        <v>#N/A</v>
      </c>
      <c r="W192" s="185" t="e">
        <v>#N/A</v>
      </c>
      <c r="X192" s="201" t="e">
        <v>#N/A</v>
      </c>
      <c r="Y192" s="205" t="e">
        <v>#N/A</v>
      </c>
      <c r="Z192" s="231" t="e">
        <v>#N/A</v>
      </c>
      <c r="AA192" s="185" t="e">
        <v>#N/A</v>
      </c>
      <c r="AB192" s="185" t="e">
        <v>#N/A</v>
      </c>
      <c r="AC192" s="201" t="e">
        <v>#N/A</v>
      </c>
      <c r="AD192" s="185" t="e">
        <v>#N/A</v>
      </c>
      <c r="AE192" s="185" t="e">
        <v>#N/A</v>
      </c>
      <c r="AF192" s="201" t="e">
        <v>#N/A</v>
      </c>
      <c r="AH192" s="152" t="e">
        <f t="shared" si="24"/>
        <v>#N/A</v>
      </c>
      <c r="AI192" s="152" t="e">
        <f t="shared" si="25"/>
        <v>#N/A</v>
      </c>
      <c r="AJ192" s="152" t="e">
        <f t="shared" si="26"/>
        <v>#N/A</v>
      </c>
      <c r="AK192" s="152" t="e">
        <f t="shared" si="27"/>
        <v>#N/A</v>
      </c>
      <c r="AL192" s="152" t="e">
        <f t="shared" si="28"/>
        <v>#N/A</v>
      </c>
      <c r="AM192" s="152" t="e">
        <f t="shared" si="29"/>
        <v>#N/A</v>
      </c>
      <c r="AN192" s="152" t="e">
        <f t="shared" si="30"/>
        <v>#N/A</v>
      </c>
      <c r="AO192" s="152" t="e">
        <f t="shared" si="31"/>
        <v>#N/A</v>
      </c>
      <c r="AP192" s="152" t="e">
        <f t="shared" si="32"/>
        <v>#N/A</v>
      </c>
      <c r="AQ192" s="152" t="e">
        <f t="shared" si="33"/>
        <v>#N/A</v>
      </c>
      <c r="AR192" s="152" t="e">
        <f t="shared" si="34"/>
        <v>#N/A</v>
      </c>
      <c r="AS192" s="152" t="e">
        <f t="shared" si="35"/>
        <v>#N/A</v>
      </c>
    </row>
    <row r="193" spans="8:45" ht="15.75" customHeight="1">
      <c r="H193" s="212" t="e">
        <v>#N/A</v>
      </c>
      <c r="I193" s="205" t="e">
        <v>#N/A</v>
      </c>
      <c r="J193" s="231" t="e">
        <v>#N/A</v>
      </c>
      <c r="K193" s="185" t="e">
        <v>#N/A</v>
      </c>
      <c r="L193" s="185" t="e">
        <v>#N/A</v>
      </c>
      <c r="M193" s="201" t="e">
        <v>#N/A</v>
      </c>
      <c r="N193" s="185" t="e">
        <v>#N/A</v>
      </c>
      <c r="O193" s="185" t="e">
        <v>#N/A</v>
      </c>
      <c r="P193" s="201" t="e">
        <v>#N/A</v>
      </c>
      <c r="Q193" s="205" t="e">
        <v>#N/A</v>
      </c>
      <c r="R193" s="231" t="e">
        <v>#N/A</v>
      </c>
      <c r="S193" s="185" t="e">
        <v>#N/A</v>
      </c>
      <c r="T193" s="185" t="e">
        <v>#N/A</v>
      </c>
      <c r="U193" s="201" t="e">
        <v>#N/A</v>
      </c>
      <c r="V193" s="185" t="e">
        <v>#N/A</v>
      </c>
      <c r="W193" s="185" t="e">
        <v>#N/A</v>
      </c>
      <c r="X193" s="201" t="e">
        <v>#N/A</v>
      </c>
      <c r="Y193" s="205" t="e">
        <v>#N/A</v>
      </c>
      <c r="Z193" s="231" t="e">
        <v>#N/A</v>
      </c>
      <c r="AA193" s="185" t="e">
        <v>#N/A</v>
      </c>
      <c r="AB193" s="185" t="e">
        <v>#N/A</v>
      </c>
      <c r="AC193" s="201" t="e">
        <v>#N/A</v>
      </c>
      <c r="AD193" s="185" t="e">
        <v>#N/A</v>
      </c>
      <c r="AE193" s="185" t="e">
        <v>#N/A</v>
      </c>
      <c r="AF193" s="201" t="e">
        <v>#N/A</v>
      </c>
      <c r="AH193" s="152" t="e">
        <f t="shared" si="24"/>
        <v>#N/A</v>
      </c>
      <c r="AI193" s="152" t="e">
        <f t="shared" si="25"/>
        <v>#N/A</v>
      </c>
      <c r="AJ193" s="152" t="e">
        <f t="shared" si="26"/>
        <v>#N/A</v>
      </c>
      <c r="AK193" s="152" t="e">
        <f t="shared" si="27"/>
        <v>#N/A</v>
      </c>
      <c r="AL193" s="152" t="e">
        <f t="shared" si="28"/>
        <v>#N/A</v>
      </c>
      <c r="AM193" s="152" t="e">
        <f t="shared" si="29"/>
        <v>#N/A</v>
      </c>
      <c r="AN193" s="152" t="e">
        <f t="shared" si="30"/>
        <v>#N/A</v>
      </c>
      <c r="AO193" s="152" t="e">
        <f t="shared" si="31"/>
        <v>#N/A</v>
      </c>
      <c r="AP193" s="152" t="e">
        <f t="shared" si="32"/>
        <v>#N/A</v>
      </c>
      <c r="AQ193" s="152" t="e">
        <f t="shared" si="33"/>
        <v>#N/A</v>
      </c>
      <c r="AR193" s="152" t="e">
        <f t="shared" si="34"/>
        <v>#N/A</v>
      </c>
      <c r="AS193" s="152" t="e">
        <f t="shared" si="35"/>
        <v>#N/A</v>
      </c>
    </row>
    <row r="194" spans="8:45" ht="15.75" customHeight="1">
      <c r="H194" s="212" t="e">
        <v>#N/A</v>
      </c>
      <c r="I194" s="205" t="e">
        <v>#N/A</v>
      </c>
      <c r="J194" s="231" t="e">
        <v>#N/A</v>
      </c>
      <c r="K194" s="185" t="e">
        <v>#N/A</v>
      </c>
      <c r="L194" s="185" t="e">
        <v>#N/A</v>
      </c>
      <c r="M194" s="201" t="e">
        <v>#N/A</v>
      </c>
      <c r="N194" s="185" t="e">
        <v>#N/A</v>
      </c>
      <c r="O194" s="185" t="e">
        <v>#N/A</v>
      </c>
      <c r="P194" s="201" t="e">
        <v>#N/A</v>
      </c>
      <c r="Q194" s="205" t="e">
        <v>#N/A</v>
      </c>
      <c r="R194" s="231" t="e">
        <v>#N/A</v>
      </c>
      <c r="S194" s="185" t="e">
        <v>#N/A</v>
      </c>
      <c r="T194" s="185" t="e">
        <v>#N/A</v>
      </c>
      <c r="U194" s="201" t="e">
        <v>#N/A</v>
      </c>
      <c r="V194" s="185" t="e">
        <v>#N/A</v>
      </c>
      <c r="W194" s="185" t="e">
        <v>#N/A</v>
      </c>
      <c r="X194" s="201" t="e">
        <v>#N/A</v>
      </c>
      <c r="Y194" s="205" t="e">
        <v>#N/A</v>
      </c>
      <c r="Z194" s="231" t="e">
        <v>#N/A</v>
      </c>
      <c r="AA194" s="185" t="e">
        <v>#N/A</v>
      </c>
      <c r="AB194" s="185" t="e">
        <v>#N/A</v>
      </c>
      <c r="AC194" s="201" t="e">
        <v>#N/A</v>
      </c>
      <c r="AD194" s="185" t="e">
        <v>#N/A</v>
      </c>
      <c r="AE194" s="185" t="e">
        <v>#N/A</v>
      </c>
      <c r="AF194" s="201" t="e">
        <v>#N/A</v>
      </c>
      <c r="AH194" s="152" t="e">
        <f t="shared" si="24"/>
        <v>#N/A</v>
      </c>
      <c r="AI194" s="152" t="e">
        <f t="shared" si="25"/>
        <v>#N/A</v>
      </c>
      <c r="AJ194" s="152" t="e">
        <f t="shared" si="26"/>
        <v>#N/A</v>
      </c>
      <c r="AK194" s="152" t="e">
        <f t="shared" si="27"/>
        <v>#N/A</v>
      </c>
      <c r="AL194" s="152" t="e">
        <f t="shared" si="28"/>
        <v>#N/A</v>
      </c>
      <c r="AM194" s="152" t="e">
        <f t="shared" si="29"/>
        <v>#N/A</v>
      </c>
      <c r="AN194" s="152" t="e">
        <f t="shared" si="30"/>
        <v>#N/A</v>
      </c>
      <c r="AO194" s="152" t="e">
        <f t="shared" si="31"/>
        <v>#N/A</v>
      </c>
      <c r="AP194" s="152" t="e">
        <f t="shared" si="32"/>
        <v>#N/A</v>
      </c>
      <c r="AQ194" s="152" t="e">
        <f t="shared" si="33"/>
        <v>#N/A</v>
      </c>
      <c r="AR194" s="152" t="e">
        <f t="shared" si="34"/>
        <v>#N/A</v>
      </c>
      <c r="AS194" s="152" t="e">
        <f t="shared" si="35"/>
        <v>#N/A</v>
      </c>
    </row>
    <row r="195" spans="8:45" ht="15.75" customHeight="1">
      <c r="H195" s="212" t="e">
        <v>#N/A</v>
      </c>
      <c r="I195" s="205" t="e">
        <v>#N/A</v>
      </c>
      <c r="J195" s="231" t="e">
        <v>#N/A</v>
      </c>
      <c r="K195" s="185" t="e">
        <v>#N/A</v>
      </c>
      <c r="L195" s="185" t="e">
        <v>#N/A</v>
      </c>
      <c r="M195" s="201" t="e">
        <v>#N/A</v>
      </c>
      <c r="N195" s="185" t="e">
        <v>#N/A</v>
      </c>
      <c r="O195" s="185" t="e">
        <v>#N/A</v>
      </c>
      <c r="P195" s="201" t="e">
        <v>#N/A</v>
      </c>
      <c r="Q195" s="205" t="e">
        <v>#N/A</v>
      </c>
      <c r="R195" s="231" t="e">
        <v>#N/A</v>
      </c>
      <c r="S195" s="185" t="e">
        <v>#N/A</v>
      </c>
      <c r="T195" s="185" t="e">
        <v>#N/A</v>
      </c>
      <c r="U195" s="201" t="e">
        <v>#N/A</v>
      </c>
      <c r="V195" s="185" t="e">
        <v>#N/A</v>
      </c>
      <c r="W195" s="185" t="e">
        <v>#N/A</v>
      </c>
      <c r="X195" s="201" t="e">
        <v>#N/A</v>
      </c>
      <c r="Y195" s="205" t="e">
        <v>#N/A</v>
      </c>
      <c r="Z195" s="231" t="e">
        <v>#N/A</v>
      </c>
      <c r="AA195" s="185" t="e">
        <v>#N/A</v>
      </c>
      <c r="AB195" s="185" t="e">
        <v>#N/A</v>
      </c>
      <c r="AC195" s="201" t="e">
        <v>#N/A</v>
      </c>
      <c r="AD195" s="185" t="e">
        <v>#N/A</v>
      </c>
      <c r="AE195" s="185" t="e">
        <v>#N/A</v>
      </c>
      <c r="AF195" s="201" t="e">
        <v>#N/A</v>
      </c>
      <c r="AH195" s="152" t="e">
        <f t="shared" si="24"/>
        <v>#N/A</v>
      </c>
      <c r="AI195" s="152" t="e">
        <f t="shared" si="25"/>
        <v>#N/A</v>
      </c>
      <c r="AJ195" s="152" t="e">
        <f t="shared" si="26"/>
        <v>#N/A</v>
      </c>
      <c r="AK195" s="152" t="e">
        <f t="shared" si="27"/>
        <v>#N/A</v>
      </c>
      <c r="AL195" s="152" t="e">
        <f t="shared" si="28"/>
        <v>#N/A</v>
      </c>
      <c r="AM195" s="152" t="e">
        <f t="shared" si="29"/>
        <v>#N/A</v>
      </c>
      <c r="AN195" s="152" t="e">
        <f t="shared" si="30"/>
        <v>#N/A</v>
      </c>
      <c r="AO195" s="152" t="e">
        <f t="shared" si="31"/>
        <v>#N/A</v>
      </c>
      <c r="AP195" s="152" t="e">
        <f t="shared" si="32"/>
        <v>#N/A</v>
      </c>
      <c r="AQ195" s="152" t="e">
        <f t="shared" si="33"/>
        <v>#N/A</v>
      </c>
      <c r="AR195" s="152" t="e">
        <f t="shared" si="34"/>
        <v>#N/A</v>
      </c>
      <c r="AS195" s="152" t="e">
        <f t="shared" si="35"/>
        <v>#N/A</v>
      </c>
    </row>
    <row r="196" spans="8:45" ht="15.75" customHeight="1">
      <c r="H196" s="212" t="e">
        <v>#N/A</v>
      </c>
      <c r="I196" s="205" t="e">
        <v>#N/A</v>
      </c>
      <c r="J196" s="231" t="e">
        <v>#N/A</v>
      </c>
      <c r="K196" s="185" t="e">
        <v>#N/A</v>
      </c>
      <c r="L196" s="185" t="e">
        <v>#N/A</v>
      </c>
      <c r="M196" s="201" t="e">
        <v>#N/A</v>
      </c>
      <c r="N196" s="185" t="e">
        <v>#N/A</v>
      </c>
      <c r="O196" s="185" t="e">
        <v>#N/A</v>
      </c>
      <c r="P196" s="201" t="e">
        <v>#N/A</v>
      </c>
      <c r="Q196" s="205" t="e">
        <v>#N/A</v>
      </c>
      <c r="R196" s="231" t="e">
        <v>#N/A</v>
      </c>
      <c r="S196" s="185" t="e">
        <v>#N/A</v>
      </c>
      <c r="T196" s="185" t="e">
        <v>#N/A</v>
      </c>
      <c r="U196" s="201" t="e">
        <v>#N/A</v>
      </c>
      <c r="V196" s="185" t="e">
        <v>#N/A</v>
      </c>
      <c r="W196" s="185" t="e">
        <v>#N/A</v>
      </c>
      <c r="X196" s="201" t="e">
        <v>#N/A</v>
      </c>
      <c r="Y196" s="205" t="e">
        <v>#N/A</v>
      </c>
      <c r="Z196" s="231" t="e">
        <v>#N/A</v>
      </c>
      <c r="AA196" s="185" t="e">
        <v>#N/A</v>
      </c>
      <c r="AB196" s="185" t="e">
        <v>#N/A</v>
      </c>
      <c r="AC196" s="201" t="e">
        <v>#N/A</v>
      </c>
      <c r="AD196" s="185" t="e">
        <v>#N/A</v>
      </c>
      <c r="AE196" s="185" t="e">
        <v>#N/A</v>
      </c>
      <c r="AF196" s="201" t="e">
        <v>#N/A</v>
      </c>
      <c r="AH196" s="152" t="e">
        <f t="shared" si="24"/>
        <v>#N/A</v>
      </c>
      <c r="AI196" s="152" t="e">
        <f t="shared" si="25"/>
        <v>#N/A</v>
      </c>
      <c r="AJ196" s="152" t="e">
        <f t="shared" si="26"/>
        <v>#N/A</v>
      </c>
      <c r="AK196" s="152" t="e">
        <f t="shared" si="27"/>
        <v>#N/A</v>
      </c>
      <c r="AL196" s="152" t="e">
        <f t="shared" si="28"/>
        <v>#N/A</v>
      </c>
      <c r="AM196" s="152" t="e">
        <f t="shared" si="29"/>
        <v>#N/A</v>
      </c>
      <c r="AN196" s="152" t="e">
        <f t="shared" si="30"/>
        <v>#N/A</v>
      </c>
      <c r="AO196" s="152" t="e">
        <f t="shared" si="31"/>
        <v>#N/A</v>
      </c>
      <c r="AP196" s="152" t="e">
        <f t="shared" si="32"/>
        <v>#N/A</v>
      </c>
      <c r="AQ196" s="152" t="e">
        <f t="shared" si="33"/>
        <v>#N/A</v>
      </c>
      <c r="AR196" s="152" t="e">
        <f t="shared" si="34"/>
        <v>#N/A</v>
      </c>
      <c r="AS196" s="152" t="e">
        <f t="shared" si="35"/>
        <v>#N/A</v>
      </c>
    </row>
    <row r="197" spans="8:45" ht="15.75" customHeight="1">
      <c r="H197" s="212" t="e">
        <v>#N/A</v>
      </c>
      <c r="I197" s="205" t="e">
        <v>#N/A</v>
      </c>
      <c r="J197" s="231" t="e">
        <v>#N/A</v>
      </c>
      <c r="K197" s="185" t="e">
        <v>#N/A</v>
      </c>
      <c r="L197" s="185" t="e">
        <v>#N/A</v>
      </c>
      <c r="M197" s="201" t="e">
        <v>#N/A</v>
      </c>
      <c r="N197" s="185" t="e">
        <v>#N/A</v>
      </c>
      <c r="O197" s="185" t="e">
        <v>#N/A</v>
      </c>
      <c r="P197" s="201" t="e">
        <v>#N/A</v>
      </c>
      <c r="Q197" s="205" t="e">
        <v>#N/A</v>
      </c>
      <c r="R197" s="231" t="e">
        <v>#N/A</v>
      </c>
      <c r="S197" s="185" t="e">
        <v>#N/A</v>
      </c>
      <c r="T197" s="185" t="e">
        <v>#N/A</v>
      </c>
      <c r="U197" s="201" t="e">
        <v>#N/A</v>
      </c>
      <c r="V197" s="185" t="e">
        <v>#N/A</v>
      </c>
      <c r="W197" s="185" t="e">
        <v>#N/A</v>
      </c>
      <c r="X197" s="201" t="e">
        <v>#N/A</v>
      </c>
      <c r="Y197" s="205" t="e">
        <v>#N/A</v>
      </c>
      <c r="Z197" s="231" t="e">
        <v>#N/A</v>
      </c>
      <c r="AA197" s="185" t="e">
        <v>#N/A</v>
      </c>
      <c r="AB197" s="185" t="e">
        <v>#N/A</v>
      </c>
      <c r="AC197" s="201" t="e">
        <v>#N/A</v>
      </c>
      <c r="AD197" s="185" t="e">
        <v>#N/A</v>
      </c>
      <c r="AE197" s="185" t="e">
        <v>#N/A</v>
      </c>
      <c r="AF197" s="201" t="e">
        <v>#N/A</v>
      </c>
      <c r="AH197" s="152" t="e">
        <f t="shared" si="24"/>
        <v>#N/A</v>
      </c>
      <c r="AI197" s="152" t="e">
        <f t="shared" si="25"/>
        <v>#N/A</v>
      </c>
      <c r="AJ197" s="152" t="e">
        <f t="shared" si="26"/>
        <v>#N/A</v>
      </c>
      <c r="AK197" s="152" t="e">
        <f t="shared" si="27"/>
        <v>#N/A</v>
      </c>
      <c r="AL197" s="152" t="e">
        <f t="shared" si="28"/>
        <v>#N/A</v>
      </c>
      <c r="AM197" s="152" t="e">
        <f t="shared" si="29"/>
        <v>#N/A</v>
      </c>
      <c r="AN197" s="152" t="e">
        <f t="shared" si="30"/>
        <v>#N/A</v>
      </c>
      <c r="AO197" s="152" t="e">
        <f t="shared" si="31"/>
        <v>#N/A</v>
      </c>
      <c r="AP197" s="152" t="e">
        <f t="shared" si="32"/>
        <v>#N/A</v>
      </c>
      <c r="AQ197" s="152" t="e">
        <f t="shared" si="33"/>
        <v>#N/A</v>
      </c>
      <c r="AR197" s="152" t="e">
        <f t="shared" si="34"/>
        <v>#N/A</v>
      </c>
      <c r="AS197" s="152" t="e">
        <f t="shared" si="35"/>
        <v>#N/A</v>
      </c>
    </row>
    <row r="198" spans="8:45" ht="15.75" customHeight="1">
      <c r="H198" s="212" t="e">
        <v>#N/A</v>
      </c>
      <c r="I198" s="205" t="e">
        <v>#N/A</v>
      </c>
      <c r="J198" s="231" t="e">
        <v>#N/A</v>
      </c>
      <c r="K198" s="185" t="e">
        <v>#N/A</v>
      </c>
      <c r="L198" s="185" t="e">
        <v>#N/A</v>
      </c>
      <c r="M198" s="201" t="e">
        <v>#N/A</v>
      </c>
      <c r="N198" s="185" t="e">
        <v>#N/A</v>
      </c>
      <c r="O198" s="185" t="e">
        <v>#N/A</v>
      </c>
      <c r="P198" s="201" t="e">
        <v>#N/A</v>
      </c>
      <c r="Q198" s="205" t="e">
        <v>#N/A</v>
      </c>
      <c r="R198" s="231" t="e">
        <v>#N/A</v>
      </c>
      <c r="S198" s="185" t="e">
        <v>#N/A</v>
      </c>
      <c r="T198" s="185" t="e">
        <v>#N/A</v>
      </c>
      <c r="U198" s="201" t="e">
        <v>#N/A</v>
      </c>
      <c r="V198" s="185" t="e">
        <v>#N/A</v>
      </c>
      <c r="W198" s="185" t="e">
        <v>#N/A</v>
      </c>
      <c r="X198" s="201" t="e">
        <v>#N/A</v>
      </c>
      <c r="Y198" s="205" t="e">
        <v>#N/A</v>
      </c>
      <c r="Z198" s="231" t="e">
        <v>#N/A</v>
      </c>
      <c r="AA198" s="185" t="e">
        <v>#N/A</v>
      </c>
      <c r="AB198" s="185" t="e">
        <v>#N/A</v>
      </c>
      <c r="AC198" s="201" t="e">
        <v>#N/A</v>
      </c>
      <c r="AD198" s="185" t="e">
        <v>#N/A</v>
      </c>
      <c r="AE198" s="185" t="e">
        <v>#N/A</v>
      </c>
      <c r="AF198" s="201" t="e">
        <v>#N/A</v>
      </c>
      <c r="AH198" s="152" t="e">
        <f t="shared" si="24"/>
        <v>#N/A</v>
      </c>
      <c r="AI198" s="152" t="e">
        <f t="shared" si="25"/>
        <v>#N/A</v>
      </c>
      <c r="AJ198" s="152" t="e">
        <f t="shared" si="26"/>
        <v>#N/A</v>
      </c>
      <c r="AK198" s="152" t="e">
        <f t="shared" si="27"/>
        <v>#N/A</v>
      </c>
      <c r="AL198" s="152" t="e">
        <f t="shared" si="28"/>
        <v>#N/A</v>
      </c>
      <c r="AM198" s="152" t="e">
        <f t="shared" si="29"/>
        <v>#N/A</v>
      </c>
      <c r="AN198" s="152" t="e">
        <f t="shared" si="30"/>
        <v>#N/A</v>
      </c>
      <c r="AO198" s="152" t="e">
        <f t="shared" si="31"/>
        <v>#N/A</v>
      </c>
      <c r="AP198" s="152" t="e">
        <f t="shared" si="32"/>
        <v>#N/A</v>
      </c>
      <c r="AQ198" s="152" t="e">
        <f t="shared" si="33"/>
        <v>#N/A</v>
      </c>
      <c r="AR198" s="152" t="e">
        <f t="shared" si="34"/>
        <v>#N/A</v>
      </c>
      <c r="AS198" s="152" t="e">
        <f t="shared" si="35"/>
        <v>#N/A</v>
      </c>
    </row>
    <row r="199" spans="8:45" ht="15.75" customHeight="1">
      <c r="H199" s="212" t="e">
        <v>#N/A</v>
      </c>
      <c r="I199" s="205" t="e">
        <v>#N/A</v>
      </c>
      <c r="J199" s="231" t="e">
        <v>#N/A</v>
      </c>
      <c r="K199" s="185" t="e">
        <v>#N/A</v>
      </c>
      <c r="L199" s="185" t="e">
        <v>#N/A</v>
      </c>
      <c r="M199" s="201" t="e">
        <v>#N/A</v>
      </c>
      <c r="N199" s="185" t="e">
        <v>#N/A</v>
      </c>
      <c r="O199" s="185" t="e">
        <v>#N/A</v>
      </c>
      <c r="P199" s="201" t="e">
        <v>#N/A</v>
      </c>
      <c r="Q199" s="205" t="e">
        <v>#N/A</v>
      </c>
      <c r="R199" s="231" t="e">
        <v>#N/A</v>
      </c>
      <c r="S199" s="185" t="e">
        <v>#N/A</v>
      </c>
      <c r="T199" s="185" t="e">
        <v>#N/A</v>
      </c>
      <c r="U199" s="201" t="e">
        <v>#N/A</v>
      </c>
      <c r="V199" s="185" t="e">
        <v>#N/A</v>
      </c>
      <c r="W199" s="185" t="e">
        <v>#N/A</v>
      </c>
      <c r="X199" s="201" t="e">
        <v>#N/A</v>
      </c>
      <c r="Y199" s="205" t="e">
        <v>#N/A</v>
      </c>
      <c r="Z199" s="231" t="e">
        <v>#N/A</v>
      </c>
      <c r="AA199" s="185" t="e">
        <v>#N/A</v>
      </c>
      <c r="AB199" s="185" t="e">
        <v>#N/A</v>
      </c>
      <c r="AC199" s="201" t="e">
        <v>#N/A</v>
      </c>
      <c r="AD199" s="185" t="e">
        <v>#N/A</v>
      </c>
      <c r="AE199" s="185" t="e">
        <v>#N/A</v>
      </c>
      <c r="AF199" s="201" t="e">
        <v>#N/A</v>
      </c>
      <c r="AH199" s="152" t="e">
        <f t="shared" si="24"/>
        <v>#N/A</v>
      </c>
      <c r="AI199" s="152" t="e">
        <f t="shared" si="25"/>
        <v>#N/A</v>
      </c>
      <c r="AJ199" s="152" t="e">
        <f t="shared" si="26"/>
        <v>#N/A</v>
      </c>
      <c r="AK199" s="152" t="e">
        <f t="shared" si="27"/>
        <v>#N/A</v>
      </c>
      <c r="AL199" s="152" t="e">
        <f t="shared" si="28"/>
        <v>#N/A</v>
      </c>
      <c r="AM199" s="152" t="e">
        <f t="shared" si="29"/>
        <v>#N/A</v>
      </c>
      <c r="AN199" s="152" t="e">
        <f t="shared" si="30"/>
        <v>#N/A</v>
      </c>
      <c r="AO199" s="152" t="e">
        <f t="shared" si="31"/>
        <v>#N/A</v>
      </c>
      <c r="AP199" s="152" t="e">
        <f t="shared" si="32"/>
        <v>#N/A</v>
      </c>
      <c r="AQ199" s="152" t="e">
        <f t="shared" si="33"/>
        <v>#N/A</v>
      </c>
      <c r="AR199" s="152" t="e">
        <f t="shared" si="34"/>
        <v>#N/A</v>
      </c>
      <c r="AS199" s="152" t="e">
        <f t="shared" si="35"/>
        <v>#N/A</v>
      </c>
    </row>
    <row r="200" spans="8:45" ht="15.75" customHeight="1">
      <c r="H200" s="212" t="e">
        <v>#N/A</v>
      </c>
      <c r="I200" s="205" t="e">
        <v>#N/A</v>
      </c>
      <c r="J200" s="231" t="e">
        <v>#N/A</v>
      </c>
      <c r="K200" s="185" t="e">
        <v>#N/A</v>
      </c>
      <c r="L200" s="185" t="e">
        <v>#N/A</v>
      </c>
      <c r="M200" s="201" t="e">
        <v>#N/A</v>
      </c>
      <c r="N200" s="185" t="e">
        <v>#N/A</v>
      </c>
      <c r="O200" s="185" t="e">
        <v>#N/A</v>
      </c>
      <c r="P200" s="201" t="e">
        <v>#N/A</v>
      </c>
      <c r="Q200" s="205" t="e">
        <v>#N/A</v>
      </c>
      <c r="R200" s="231" t="e">
        <v>#N/A</v>
      </c>
      <c r="S200" s="185" t="e">
        <v>#N/A</v>
      </c>
      <c r="T200" s="185" t="e">
        <v>#N/A</v>
      </c>
      <c r="U200" s="201" t="e">
        <v>#N/A</v>
      </c>
      <c r="V200" s="185" t="e">
        <v>#N/A</v>
      </c>
      <c r="W200" s="185" t="e">
        <v>#N/A</v>
      </c>
      <c r="X200" s="201" t="e">
        <v>#N/A</v>
      </c>
      <c r="Y200" s="205" t="e">
        <v>#N/A</v>
      </c>
      <c r="Z200" s="231" t="e">
        <v>#N/A</v>
      </c>
      <c r="AA200" s="185" t="e">
        <v>#N/A</v>
      </c>
      <c r="AB200" s="185" t="e">
        <v>#N/A</v>
      </c>
      <c r="AC200" s="201" t="e">
        <v>#N/A</v>
      </c>
      <c r="AD200" s="185" t="e">
        <v>#N/A</v>
      </c>
      <c r="AE200" s="185" t="e">
        <v>#N/A</v>
      </c>
      <c r="AF200" s="201" t="e">
        <v>#N/A</v>
      </c>
      <c r="AH200" s="152" t="e">
        <f t="shared" si="24"/>
        <v>#N/A</v>
      </c>
      <c r="AI200" s="152" t="e">
        <f t="shared" si="25"/>
        <v>#N/A</v>
      </c>
      <c r="AJ200" s="152" t="e">
        <f t="shared" si="26"/>
        <v>#N/A</v>
      </c>
      <c r="AK200" s="152" t="e">
        <f t="shared" si="27"/>
        <v>#N/A</v>
      </c>
      <c r="AL200" s="152" t="e">
        <f t="shared" si="28"/>
        <v>#N/A</v>
      </c>
      <c r="AM200" s="152" t="e">
        <f t="shared" si="29"/>
        <v>#N/A</v>
      </c>
      <c r="AN200" s="152" t="e">
        <f t="shared" si="30"/>
        <v>#N/A</v>
      </c>
      <c r="AO200" s="152" t="e">
        <f t="shared" si="31"/>
        <v>#N/A</v>
      </c>
      <c r="AP200" s="152" t="e">
        <f t="shared" si="32"/>
        <v>#N/A</v>
      </c>
      <c r="AQ200" s="152" t="e">
        <f t="shared" si="33"/>
        <v>#N/A</v>
      </c>
      <c r="AR200" s="152" t="e">
        <f t="shared" si="34"/>
        <v>#N/A</v>
      </c>
      <c r="AS200" s="152" t="e">
        <f t="shared" si="35"/>
        <v>#N/A</v>
      </c>
    </row>
    <row r="201" spans="8:45" ht="15.75" customHeight="1">
      <c r="H201" s="212" t="e">
        <v>#N/A</v>
      </c>
      <c r="I201" s="205" t="e">
        <v>#N/A</v>
      </c>
      <c r="J201" s="231" t="e">
        <v>#N/A</v>
      </c>
      <c r="K201" s="185" t="e">
        <v>#N/A</v>
      </c>
      <c r="L201" s="185" t="e">
        <v>#N/A</v>
      </c>
      <c r="M201" s="201" t="e">
        <v>#N/A</v>
      </c>
      <c r="N201" s="185" t="e">
        <v>#N/A</v>
      </c>
      <c r="O201" s="185" t="e">
        <v>#N/A</v>
      </c>
      <c r="P201" s="201" t="e">
        <v>#N/A</v>
      </c>
      <c r="Q201" s="205" t="e">
        <v>#N/A</v>
      </c>
      <c r="R201" s="231" t="e">
        <v>#N/A</v>
      </c>
      <c r="S201" s="185" t="e">
        <v>#N/A</v>
      </c>
      <c r="T201" s="185" t="e">
        <v>#N/A</v>
      </c>
      <c r="U201" s="201" t="e">
        <v>#N/A</v>
      </c>
      <c r="V201" s="185" t="e">
        <v>#N/A</v>
      </c>
      <c r="W201" s="185" t="e">
        <v>#N/A</v>
      </c>
      <c r="X201" s="201" t="e">
        <v>#N/A</v>
      </c>
      <c r="Y201" s="205" t="e">
        <v>#N/A</v>
      </c>
      <c r="Z201" s="231" t="e">
        <v>#N/A</v>
      </c>
      <c r="AA201" s="185" t="e">
        <v>#N/A</v>
      </c>
      <c r="AB201" s="185" t="e">
        <v>#N/A</v>
      </c>
      <c r="AC201" s="201" t="e">
        <v>#N/A</v>
      </c>
      <c r="AD201" s="185" t="e">
        <v>#N/A</v>
      </c>
      <c r="AE201" s="185" t="e">
        <v>#N/A</v>
      </c>
      <c r="AF201" s="201" t="e">
        <v>#N/A</v>
      </c>
      <c r="AH201" s="152" t="e">
        <f t="shared" ref="AH201:AH264" si="36">IFERROR(SUM(K201,L201*$AH$5),NA())</f>
        <v>#N/A</v>
      </c>
      <c r="AI201" s="152" t="e">
        <f t="shared" ref="AI201:AI264" si="37">IFERROR(L201*$AI$5,NA())</f>
        <v>#N/A</v>
      </c>
      <c r="AJ201" s="152" t="e">
        <f t="shared" ref="AJ201:AJ264" si="38">IFERROR(SUM(N201,O201*$AH$5),NA())</f>
        <v>#N/A</v>
      </c>
      <c r="AK201" s="152" t="e">
        <f t="shared" ref="AK201:AK264" si="39">IFERROR(O201*$AI$5,NA())</f>
        <v>#N/A</v>
      </c>
      <c r="AL201" s="152" t="e">
        <f t="shared" ref="AL201:AL264" si="40">IFERROR(SUM(S201,T201*$AH$5),NA())</f>
        <v>#N/A</v>
      </c>
      <c r="AM201" s="152" t="e">
        <f t="shared" ref="AM201:AM264" si="41">IFERROR(T201*$AI$5,NA())</f>
        <v>#N/A</v>
      </c>
      <c r="AN201" s="152" t="e">
        <f t="shared" ref="AN201:AN264" si="42">IFERROR(SUM(V201,W201*$AH$5),NA())</f>
        <v>#N/A</v>
      </c>
      <c r="AO201" s="152" t="e">
        <f t="shared" ref="AO201:AO264" si="43">IFERROR(W201*$AI$5,NA())</f>
        <v>#N/A</v>
      </c>
      <c r="AP201" s="152" t="e">
        <f t="shared" ref="AP201:AP264" si="44">IFERROR(SUM(AA201,AB201*$AH$5),NA())</f>
        <v>#N/A</v>
      </c>
      <c r="AQ201" s="152" t="e">
        <f t="shared" ref="AQ201:AQ264" si="45">IFERROR(AB201*$AI$5,NA())</f>
        <v>#N/A</v>
      </c>
      <c r="AR201" s="152" t="e">
        <f t="shared" ref="AR201:AR264" si="46">IFERROR(SUM(AD201,AE201*$AH$5),NA())</f>
        <v>#N/A</v>
      </c>
      <c r="AS201" s="152" t="e">
        <f t="shared" ref="AS201:AS264" si="47">IFERROR(AE201*$AI$5,NA())</f>
        <v>#N/A</v>
      </c>
    </row>
    <row r="202" spans="8:45" ht="15.75" customHeight="1">
      <c r="H202" s="212" t="e">
        <v>#N/A</v>
      </c>
      <c r="I202" s="205" t="e">
        <v>#N/A</v>
      </c>
      <c r="J202" s="231" t="e">
        <v>#N/A</v>
      </c>
      <c r="K202" s="185" t="e">
        <v>#N/A</v>
      </c>
      <c r="L202" s="185" t="e">
        <v>#N/A</v>
      </c>
      <c r="M202" s="201" t="e">
        <v>#N/A</v>
      </c>
      <c r="N202" s="185" t="e">
        <v>#N/A</v>
      </c>
      <c r="O202" s="185" t="e">
        <v>#N/A</v>
      </c>
      <c r="P202" s="201" t="e">
        <v>#N/A</v>
      </c>
      <c r="Q202" s="205" t="e">
        <v>#N/A</v>
      </c>
      <c r="R202" s="231" t="e">
        <v>#N/A</v>
      </c>
      <c r="S202" s="185" t="e">
        <v>#N/A</v>
      </c>
      <c r="T202" s="185" t="e">
        <v>#N/A</v>
      </c>
      <c r="U202" s="201" t="e">
        <v>#N/A</v>
      </c>
      <c r="V202" s="185" t="e">
        <v>#N/A</v>
      </c>
      <c r="W202" s="185" t="e">
        <v>#N/A</v>
      </c>
      <c r="X202" s="201" t="e">
        <v>#N/A</v>
      </c>
      <c r="Y202" s="205" t="e">
        <v>#N/A</v>
      </c>
      <c r="Z202" s="231" t="e">
        <v>#N/A</v>
      </c>
      <c r="AA202" s="185" t="e">
        <v>#N/A</v>
      </c>
      <c r="AB202" s="185" t="e">
        <v>#N/A</v>
      </c>
      <c r="AC202" s="201" t="e">
        <v>#N/A</v>
      </c>
      <c r="AD202" s="185" t="e">
        <v>#N/A</v>
      </c>
      <c r="AE202" s="185" t="e">
        <v>#N/A</v>
      </c>
      <c r="AF202" s="201" t="e">
        <v>#N/A</v>
      </c>
      <c r="AH202" s="152" t="e">
        <f t="shared" si="36"/>
        <v>#N/A</v>
      </c>
      <c r="AI202" s="152" t="e">
        <f t="shared" si="37"/>
        <v>#N/A</v>
      </c>
      <c r="AJ202" s="152" t="e">
        <f t="shared" si="38"/>
        <v>#N/A</v>
      </c>
      <c r="AK202" s="152" t="e">
        <f t="shared" si="39"/>
        <v>#N/A</v>
      </c>
      <c r="AL202" s="152" t="e">
        <f t="shared" si="40"/>
        <v>#N/A</v>
      </c>
      <c r="AM202" s="152" t="e">
        <f t="shared" si="41"/>
        <v>#N/A</v>
      </c>
      <c r="AN202" s="152" t="e">
        <f t="shared" si="42"/>
        <v>#N/A</v>
      </c>
      <c r="AO202" s="152" t="e">
        <f t="shared" si="43"/>
        <v>#N/A</v>
      </c>
      <c r="AP202" s="152" t="e">
        <f t="shared" si="44"/>
        <v>#N/A</v>
      </c>
      <c r="AQ202" s="152" t="e">
        <f t="shared" si="45"/>
        <v>#N/A</v>
      </c>
      <c r="AR202" s="152" t="e">
        <f t="shared" si="46"/>
        <v>#N/A</v>
      </c>
      <c r="AS202" s="152" t="e">
        <f t="shared" si="47"/>
        <v>#N/A</v>
      </c>
    </row>
    <row r="203" spans="8:45" ht="15.75" customHeight="1">
      <c r="H203" s="212" t="e">
        <v>#N/A</v>
      </c>
      <c r="I203" s="205" t="e">
        <v>#N/A</v>
      </c>
      <c r="J203" s="231" t="e">
        <v>#N/A</v>
      </c>
      <c r="K203" s="185" t="e">
        <v>#N/A</v>
      </c>
      <c r="L203" s="185" t="e">
        <v>#N/A</v>
      </c>
      <c r="M203" s="201" t="e">
        <v>#N/A</v>
      </c>
      <c r="N203" s="185" t="e">
        <v>#N/A</v>
      </c>
      <c r="O203" s="185" t="e">
        <v>#N/A</v>
      </c>
      <c r="P203" s="201" t="e">
        <v>#N/A</v>
      </c>
      <c r="Q203" s="205" t="e">
        <v>#N/A</v>
      </c>
      <c r="R203" s="231" t="e">
        <v>#N/A</v>
      </c>
      <c r="S203" s="185" t="e">
        <v>#N/A</v>
      </c>
      <c r="T203" s="185" t="e">
        <v>#N/A</v>
      </c>
      <c r="U203" s="201" t="e">
        <v>#N/A</v>
      </c>
      <c r="V203" s="185" t="e">
        <v>#N/A</v>
      </c>
      <c r="W203" s="185" t="e">
        <v>#N/A</v>
      </c>
      <c r="X203" s="201" t="e">
        <v>#N/A</v>
      </c>
      <c r="Y203" s="205" t="e">
        <v>#N/A</v>
      </c>
      <c r="Z203" s="231" t="e">
        <v>#N/A</v>
      </c>
      <c r="AA203" s="185" t="e">
        <v>#N/A</v>
      </c>
      <c r="AB203" s="185" t="e">
        <v>#N/A</v>
      </c>
      <c r="AC203" s="201" t="e">
        <v>#N/A</v>
      </c>
      <c r="AD203" s="185" t="e">
        <v>#N/A</v>
      </c>
      <c r="AE203" s="185" t="e">
        <v>#N/A</v>
      </c>
      <c r="AF203" s="201" t="e">
        <v>#N/A</v>
      </c>
      <c r="AH203" s="152" t="e">
        <f t="shared" si="36"/>
        <v>#N/A</v>
      </c>
      <c r="AI203" s="152" t="e">
        <f t="shared" si="37"/>
        <v>#N/A</v>
      </c>
      <c r="AJ203" s="152" t="e">
        <f t="shared" si="38"/>
        <v>#N/A</v>
      </c>
      <c r="AK203" s="152" t="e">
        <f t="shared" si="39"/>
        <v>#N/A</v>
      </c>
      <c r="AL203" s="152" t="e">
        <f t="shared" si="40"/>
        <v>#N/A</v>
      </c>
      <c r="AM203" s="152" t="e">
        <f t="shared" si="41"/>
        <v>#N/A</v>
      </c>
      <c r="AN203" s="152" t="e">
        <f t="shared" si="42"/>
        <v>#N/A</v>
      </c>
      <c r="AO203" s="152" t="e">
        <f t="shared" si="43"/>
        <v>#N/A</v>
      </c>
      <c r="AP203" s="152" t="e">
        <f t="shared" si="44"/>
        <v>#N/A</v>
      </c>
      <c r="AQ203" s="152" t="e">
        <f t="shared" si="45"/>
        <v>#N/A</v>
      </c>
      <c r="AR203" s="152" t="e">
        <f t="shared" si="46"/>
        <v>#N/A</v>
      </c>
      <c r="AS203" s="152" t="e">
        <f t="shared" si="47"/>
        <v>#N/A</v>
      </c>
    </row>
    <row r="204" spans="8:45" ht="15.75" customHeight="1">
      <c r="H204" s="212" t="e">
        <v>#N/A</v>
      </c>
      <c r="I204" s="205" t="e">
        <v>#N/A</v>
      </c>
      <c r="J204" s="231" t="e">
        <v>#N/A</v>
      </c>
      <c r="K204" s="185" t="e">
        <v>#N/A</v>
      </c>
      <c r="L204" s="185" t="e">
        <v>#N/A</v>
      </c>
      <c r="M204" s="201" t="e">
        <v>#N/A</v>
      </c>
      <c r="N204" s="185" t="e">
        <v>#N/A</v>
      </c>
      <c r="O204" s="185" t="e">
        <v>#N/A</v>
      </c>
      <c r="P204" s="201" t="e">
        <v>#N/A</v>
      </c>
      <c r="Q204" s="205" t="e">
        <v>#N/A</v>
      </c>
      <c r="R204" s="231" t="e">
        <v>#N/A</v>
      </c>
      <c r="S204" s="185" t="e">
        <v>#N/A</v>
      </c>
      <c r="T204" s="185" t="e">
        <v>#N/A</v>
      </c>
      <c r="U204" s="201" t="e">
        <v>#N/A</v>
      </c>
      <c r="V204" s="185" t="e">
        <v>#N/A</v>
      </c>
      <c r="W204" s="185" t="e">
        <v>#N/A</v>
      </c>
      <c r="X204" s="201" t="e">
        <v>#N/A</v>
      </c>
      <c r="Y204" s="205" t="e">
        <v>#N/A</v>
      </c>
      <c r="Z204" s="231" t="e">
        <v>#N/A</v>
      </c>
      <c r="AA204" s="185" t="e">
        <v>#N/A</v>
      </c>
      <c r="AB204" s="185" t="e">
        <v>#N/A</v>
      </c>
      <c r="AC204" s="201" t="e">
        <v>#N/A</v>
      </c>
      <c r="AD204" s="185" t="e">
        <v>#N/A</v>
      </c>
      <c r="AE204" s="185" t="e">
        <v>#N/A</v>
      </c>
      <c r="AF204" s="201" t="e">
        <v>#N/A</v>
      </c>
      <c r="AH204" s="152" t="e">
        <f t="shared" si="36"/>
        <v>#N/A</v>
      </c>
      <c r="AI204" s="152" t="e">
        <f t="shared" si="37"/>
        <v>#N/A</v>
      </c>
      <c r="AJ204" s="152" t="e">
        <f t="shared" si="38"/>
        <v>#N/A</v>
      </c>
      <c r="AK204" s="152" t="e">
        <f t="shared" si="39"/>
        <v>#N/A</v>
      </c>
      <c r="AL204" s="152" t="e">
        <f t="shared" si="40"/>
        <v>#N/A</v>
      </c>
      <c r="AM204" s="152" t="e">
        <f t="shared" si="41"/>
        <v>#N/A</v>
      </c>
      <c r="AN204" s="152" t="e">
        <f t="shared" si="42"/>
        <v>#N/A</v>
      </c>
      <c r="AO204" s="152" t="e">
        <f t="shared" si="43"/>
        <v>#N/A</v>
      </c>
      <c r="AP204" s="152" t="e">
        <f t="shared" si="44"/>
        <v>#N/A</v>
      </c>
      <c r="AQ204" s="152" t="e">
        <f t="shared" si="45"/>
        <v>#N/A</v>
      </c>
      <c r="AR204" s="152" t="e">
        <f t="shared" si="46"/>
        <v>#N/A</v>
      </c>
      <c r="AS204" s="152" t="e">
        <f t="shared" si="47"/>
        <v>#N/A</v>
      </c>
    </row>
    <row r="205" spans="8:45" ht="15.75" customHeight="1">
      <c r="H205" s="212" t="e">
        <v>#N/A</v>
      </c>
      <c r="I205" s="205" t="e">
        <v>#N/A</v>
      </c>
      <c r="J205" s="231" t="e">
        <v>#N/A</v>
      </c>
      <c r="K205" s="185" t="e">
        <v>#N/A</v>
      </c>
      <c r="L205" s="185" t="e">
        <v>#N/A</v>
      </c>
      <c r="M205" s="201" t="e">
        <v>#N/A</v>
      </c>
      <c r="N205" s="185" t="e">
        <v>#N/A</v>
      </c>
      <c r="O205" s="185" t="e">
        <v>#N/A</v>
      </c>
      <c r="P205" s="201" t="e">
        <v>#N/A</v>
      </c>
      <c r="Q205" s="205" t="e">
        <v>#N/A</v>
      </c>
      <c r="R205" s="231" t="e">
        <v>#N/A</v>
      </c>
      <c r="S205" s="185" t="e">
        <v>#N/A</v>
      </c>
      <c r="T205" s="185" t="e">
        <v>#N/A</v>
      </c>
      <c r="U205" s="201" t="e">
        <v>#N/A</v>
      </c>
      <c r="V205" s="185" t="e">
        <v>#N/A</v>
      </c>
      <c r="W205" s="185" t="e">
        <v>#N/A</v>
      </c>
      <c r="X205" s="201" t="e">
        <v>#N/A</v>
      </c>
      <c r="Y205" s="205" t="e">
        <v>#N/A</v>
      </c>
      <c r="Z205" s="231" t="e">
        <v>#N/A</v>
      </c>
      <c r="AA205" s="185" t="e">
        <v>#N/A</v>
      </c>
      <c r="AB205" s="185" t="e">
        <v>#N/A</v>
      </c>
      <c r="AC205" s="201" t="e">
        <v>#N/A</v>
      </c>
      <c r="AD205" s="185" t="e">
        <v>#N/A</v>
      </c>
      <c r="AE205" s="185" t="e">
        <v>#N/A</v>
      </c>
      <c r="AF205" s="201" t="e">
        <v>#N/A</v>
      </c>
      <c r="AH205" s="152" t="e">
        <f t="shared" si="36"/>
        <v>#N/A</v>
      </c>
      <c r="AI205" s="152" t="e">
        <f t="shared" si="37"/>
        <v>#N/A</v>
      </c>
      <c r="AJ205" s="152" t="e">
        <f t="shared" si="38"/>
        <v>#N/A</v>
      </c>
      <c r="AK205" s="152" t="e">
        <f t="shared" si="39"/>
        <v>#N/A</v>
      </c>
      <c r="AL205" s="152" t="e">
        <f t="shared" si="40"/>
        <v>#N/A</v>
      </c>
      <c r="AM205" s="152" t="e">
        <f t="shared" si="41"/>
        <v>#N/A</v>
      </c>
      <c r="AN205" s="152" t="e">
        <f t="shared" si="42"/>
        <v>#N/A</v>
      </c>
      <c r="AO205" s="152" t="e">
        <f t="shared" si="43"/>
        <v>#N/A</v>
      </c>
      <c r="AP205" s="152" t="e">
        <f t="shared" si="44"/>
        <v>#N/A</v>
      </c>
      <c r="AQ205" s="152" t="e">
        <f t="shared" si="45"/>
        <v>#N/A</v>
      </c>
      <c r="AR205" s="152" t="e">
        <f t="shared" si="46"/>
        <v>#N/A</v>
      </c>
      <c r="AS205" s="152" t="e">
        <f t="shared" si="47"/>
        <v>#N/A</v>
      </c>
    </row>
    <row r="206" spans="8:45" ht="15.75" customHeight="1">
      <c r="H206" s="212" t="e">
        <v>#N/A</v>
      </c>
      <c r="I206" s="205" t="e">
        <v>#N/A</v>
      </c>
      <c r="J206" s="231" t="e">
        <v>#N/A</v>
      </c>
      <c r="K206" s="185" t="e">
        <v>#N/A</v>
      </c>
      <c r="L206" s="185" t="e">
        <v>#N/A</v>
      </c>
      <c r="M206" s="201" t="e">
        <v>#N/A</v>
      </c>
      <c r="N206" s="185" t="e">
        <v>#N/A</v>
      </c>
      <c r="O206" s="185" t="e">
        <v>#N/A</v>
      </c>
      <c r="P206" s="201" t="e">
        <v>#N/A</v>
      </c>
      <c r="Q206" s="205" t="e">
        <v>#N/A</v>
      </c>
      <c r="R206" s="231" t="e">
        <v>#N/A</v>
      </c>
      <c r="S206" s="185" t="e">
        <v>#N/A</v>
      </c>
      <c r="T206" s="185" t="e">
        <v>#N/A</v>
      </c>
      <c r="U206" s="201" t="e">
        <v>#N/A</v>
      </c>
      <c r="V206" s="185" t="e">
        <v>#N/A</v>
      </c>
      <c r="W206" s="185" t="e">
        <v>#N/A</v>
      </c>
      <c r="X206" s="201" t="e">
        <v>#N/A</v>
      </c>
      <c r="Y206" s="205" t="e">
        <v>#N/A</v>
      </c>
      <c r="Z206" s="231" t="e">
        <v>#N/A</v>
      </c>
      <c r="AA206" s="185" t="e">
        <v>#N/A</v>
      </c>
      <c r="AB206" s="185" t="e">
        <v>#N/A</v>
      </c>
      <c r="AC206" s="201" t="e">
        <v>#N/A</v>
      </c>
      <c r="AD206" s="185" t="e">
        <v>#N/A</v>
      </c>
      <c r="AE206" s="185" t="e">
        <v>#N/A</v>
      </c>
      <c r="AF206" s="201" t="e">
        <v>#N/A</v>
      </c>
      <c r="AH206" s="152" t="e">
        <f t="shared" si="36"/>
        <v>#N/A</v>
      </c>
      <c r="AI206" s="152" t="e">
        <f t="shared" si="37"/>
        <v>#N/A</v>
      </c>
      <c r="AJ206" s="152" t="e">
        <f t="shared" si="38"/>
        <v>#N/A</v>
      </c>
      <c r="AK206" s="152" t="e">
        <f t="shared" si="39"/>
        <v>#N/A</v>
      </c>
      <c r="AL206" s="152" t="e">
        <f t="shared" si="40"/>
        <v>#N/A</v>
      </c>
      <c r="AM206" s="152" t="e">
        <f t="shared" si="41"/>
        <v>#N/A</v>
      </c>
      <c r="AN206" s="152" t="e">
        <f t="shared" si="42"/>
        <v>#N/A</v>
      </c>
      <c r="AO206" s="152" t="e">
        <f t="shared" si="43"/>
        <v>#N/A</v>
      </c>
      <c r="AP206" s="152" t="e">
        <f t="shared" si="44"/>
        <v>#N/A</v>
      </c>
      <c r="AQ206" s="152" t="e">
        <f t="shared" si="45"/>
        <v>#N/A</v>
      </c>
      <c r="AR206" s="152" t="e">
        <f t="shared" si="46"/>
        <v>#N/A</v>
      </c>
      <c r="AS206" s="152" t="e">
        <f t="shared" si="47"/>
        <v>#N/A</v>
      </c>
    </row>
    <row r="207" spans="8:45" ht="15.75" customHeight="1">
      <c r="H207" s="212" t="e">
        <v>#N/A</v>
      </c>
      <c r="I207" s="205" t="e">
        <v>#N/A</v>
      </c>
      <c r="J207" s="231" t="e">
        <v>#N/A</v>
      </c>
      <c r="K207" s="185" t="e">
        <v>#N/A</v>
      </c>
      <c r="L207" s="185" t="e">
        <v>#N/A</v>
      </c>
      <c r="M207" s="201" t="e">
        <v>#N/A</v>
      </c>
      <c r="N207" s="185" t="e">
        <v>#N/A</v>
      </c>
      <c r="O207" s="185" t="e">
        <v>#N/A</v>
      </c>
      <c r="P207" s="201" t="e">
        <v>#N/A</v>
      </c>
      <c r="Q207" s="205" t="e">
        <v>#N/A</v>
      </c>
      <c r="R207" s="231" t="e">
        <v>#N/A</v>
      </c>
      <c r="S207" s="185" t="e">
        <v>#N/A</v>
      </c>
      <c r="T207" s="185" t="e">
        <v>#N/A</v>
      </c>
      <c r="U207" s="201" t="e">
        <v>#N/A</v>
      </c>
      <c r="V207" s="185" t="e">
        <v>#N/A</v>
      </c>
      <c r="W207" s="185" t="e">
        <v>#N/A</v>
      </c>
      <c r="X207" s="201" t="e">
        <v>#N/A</v>
      </c>
      <c r="Y207" s="205" t="e">
        <v>#N/A</v>
      </c>
      <c r="Z207" s="231" t="e">
        <v>#N/A</v>
      </c>
      <c r="AA207" s="185" t="e">
        <v>#N/A</v>
      </c>
      <c r="AB207" s="185" t="e">
        <v>#N/A</v>
      </c>
      <c r="AC207" s="201" t="e">
        <v>#N/A</v>
      </c>
      <c r="AD207" s="185" t="e">
        <v>#N/A</v>
      </c>
      <c r="AE207" s="185" t="e">
        <v>#N/A</v>
      </c>
      <c r="AF207" s="201" t="e">
        <v>#N/A</v>
      </c>
      <c r="AH207" s="152" t="e">
        <f t="shared" si="36"/>
        <v>#N/A</v>
      </c>
      <c r="AI207" s="152" t="e">
        <f t="shared" si="37"/>
        <v>#N/A</v>
      </c>
      <c r="AJ207" s="152" t="e">
        <f t="shared" si="38"/>
        <v>#N/A</v>
      </c>
      <c r="AK207" s="152" t="e">
        <f t="shared" si="39"/>
        <v>#N/A</v>
      </c>
      <c r="AL207" s="152" t="e">
        <f t="shared" si="40"/>
        <v>#N/A</v>
      </c>
      <c r="AM207" s="152" t="e">
        <f t="shared" si="41"/>
        <v>#N/A</v>
      </c>
      <c r="AN207" s="152" t="e">
        <f t="shared" si="42"/>
        <v>#N/A</v>
      </c>
      <c r="AO207" s="152" t="e">
        <f t="shared" si="43"/>
        <v>#N/A</v>
      </c>
      <c r="AP207" s="152" t="e">
        <f t="shared" si="44"/>
        <v>#N/A</v>
      </c>
      <c r="AQ207" s="152" t="e">
        <f t="shared" si="45"/>
        <v>#N/A</v>
      </c>
      <c r="AR207" s="152" t="e">
        <f t="shared" si="46"/>
        <v>#N/A</v>
      </c>
      <c r="AS207" s="152" t="e">
        <f t="shared" si="47"/>
        <v>#N/A</v>
      </c>
    </row>
    <row r="208" spans="8:45" ht="15.75" customHeight="1">
      <c r="H208" s="212" t="e">
        <v>#N/A</v>
      </c>
      <c r="I208" s="205" t="e">
        <v>#N/A</v>
      </c>
      <c r="J208" s="231" t="e">
        <v>#N/A</v>
      </c>
      <c r="K208" s="185" t="e">
        <v>#N/A</v>
      </c>
      <c r="L208" s="185" t="e">
        <v>#N/A</v>
      </c>
      <c r="M208" s="201" t="e">
        <v>#N/A</v>
      </c>
      <c r="N208" s="185" t="e">
        <v>#N/A</v>
      </c>
      <c r="O208" s="185" t="e">
        <v>#N/A</v>
      </c>
      <c r="P208" s="201" t="e">
        <v>#N/A</v>
      </c>
      <c r="Q208" s="205" t="e">
        <v>#N/A</v>
      </c>
      <c r="R208" s="231" t="e">
        <v>#N/A</v>
      </c>
      <c r="S208" s="185" t="e">
        <v>#N/A</v>
      </c>
      <c r="T208" s="185" t="e">
        <v>#N/A</v>
      </c>
      <c r="U208" s="201" t="e">
        <v>#N/A</v>
      </c>
      <c r="V208" s="185" t="e">
        <v>#N/A</v>
      </c>
      <c r="W208" s="185" t="e">
        <v>#N/A</v>
      </c>
      <c r="X208" s="201" t="e">
        <v>#N/A</v>
      </c>
      <c r="Y208" s="205" t="e">
        <v>#N/A</v>
      </c>
      <c r="Z208" s="231" t="e">
        <v>#N/A</v>
      </c>
      <c r="AA208" s="185" t="e">
        <v>#N/A</v>
      </c>
      <c r="AB208" s="185" t="e">
        <v>#N/A</v>
      </c>
      <c r="AC208" s="201" t="e">
        <v>#N/A</v>
      </c>
      <c r="AD208" s="185" t="e">
        <v>#N/A</v>
      </c>
      <c r="AE208" s="185" t="e">
        <v>#N/A</v>
      </c>
      <c r="AF208" s="201" t="e">
        <v>#N/A</v>
      </c>
      <c r="AH208" s="152" t="e">
        <f t="shared" si="36"/>
        <v>#N/A</v>
      </c>
      <c r="AI208" s="152" t="e">
        <f t="shared" si="37"/>
        <v>#N/A</v>
      </c>
      <c r="AJ208" s="152" t="e">
        <f t="shared" si="38"/>
        <v>#N/A</v>
      </c>
      <c r="AK208" s="152" t="e">
        <f t="shared" si="39"/>
        <v>#N/A</v>
      </c>
      <c r="AL208" s="152" t="e">
        <f t="shared" si="40"/>
        <v>#N/A</v>
      </c>
      <c r="AM208" s="152" t="e">
        <f t="shared" si="41"/>
        <v>#N/A</v>
      </c>
      <c r="AN208" s="152" t="e">
        <f t="shared" si="42"/>
        <v>#N/A</v>
      </c>
      <c r="AO208" s="152" t="e">
        <f t="shared" si="43"/>
        <v>#N/A</v>
      </c>
      <c r="AP208" s="152" t="e">
        <f t="shared" si="44"/>
        <v>#N/A</v>
      </c>
      <c r="AQ208" s="152" t="e">
        <f t="shared" si="45"/>
        <v>#N/A</v>
      </c>
      <c r="AR208" s="152" t="e">
        <f t="shared" si="46"/>
        <v>#N/A</v>
      </c>
      <c r="AS208" s="152" t="e">
        <f t="shared" si="47"/>
        <v>#N/A</v>
      </c>
    </row>
    <row r="209" spans="8:45" ht="15.75" customHeight="1">
      <c r="H209" s="212" t="e">
        <v>#N/A</v>
      </c>
      <c r="I209" s="205" t="e">
        <v>#N/A</v>
      </c>
      <c r="J209" s="231" t="e">
        <v>#N/A</v>
      </c>
      <c r="K209" s="185" t="e">
        <v>#N/A</v>
      </c>
      <c r="L209" s="185" t="e">
        <v>#N/A</v>
      </c>
      <c r="M209" s="201" t="e">
        <v>#N/A</v>
      </c>
      <c r="N209" s="185" t="e">
        <v>#N/A</v>
      </c>
      <c r="O209" s="185" t="e">
        <v>#N/A</v>
      </c>
      <c r="P209" s="201" t="e">
        <v>#N/A</v>
      </c>
      <c r="Q209" s="205" t="e">
        <v>#N/A</v>
      </c>
      <c r="R209" s="231" t="e">
        <v>#N/A</v>
      </c>
      <c r="S209" s="185" t="e">
        <v>#N/A</v>
      </c>
      <c r="T209" s="185" t="e">
        <v>#N/A</v>
      </c>
      <c r="U209" s="201" t="e">
        <v>#N/A</v>
      </c>
      <c r="V209" s="185" t="e">
        <v>#N/A</v>
      </c>
      <c r="W209" s="185" t="e">
        <v>#N/A</v>
      </c>
      <c r="X209" s="201" t="e">
        <v>#N/A</v>
      </c>
      <c r="Y209" s="205" t="e">
        <v>#N/A</v>
      </c>
      <c r="Z209" s="231" t="e">
        <v>#N/A</v>
      </c>
      <c r="AA209" s="185" t="e">
        <v>#N/A</v>
      </c>
      <c r="AB209" s="185" t="e">
        <v>#N/A</v>
      </c>
      <c r="AC209" s="201" t="e">
        <v>#N/A</v>
      </c>
      <c r="AD209" s="185" t="e">
        <v>#N/A</v>
      </c>
      <c r="AE209" s="185" t="e">
        <v>#N/A</v>
      </c>
      <c r="AF209" s="201" t="e">
        <v>#N/A</v>
      </c>
      <c r="AH209" s="152" t="e">
        <f t="shared" si="36"/>
        <v>#N/A</v>
      </c>
      <c r="AI209" s="152" t="e">
        <f t="shared" si="37"/>
        <v>#N/A</v>
      </c>
      <c r="AJ209" s="152" t="e">
        <f t="shared" si="38"/>
        <v>#N/A</v>
      </c>
      <c r="AK209" s="152" t="e">
        <f t="shared" si="39"/>
        <v>#N/A</v>
      </c>
      <c r="AL209" s="152" t="e">
        <f t="shared" si="40"/>
        <v>#N/A</v>
      </c>
      <c r="AM209" s="152" t="e">
        <f t="shared" si="41"/>
        <v>#N/A</v>
      </c>
      <c r="AN209" s="152" t="e">
        <f t="shared" si="42"/>
        <v>#N/A</v>
      </c>
      <c r="AO209" s="152" t="e">
        <f t="shared" si="43"/>
        <v>#N/A</v>
      </c>
      <c r="AP209" s="152" t="e">
        <f t="shared" si="44"/>
        <v>#N/A</v>
      </c>
      <c r="AQ209" s="152" t="e">
        <f t="shared" si="45"/>
        <v>#N/A</v>
      </c>
      <c r="AR209" s="152" t="e">
        <f t="shared" si="46"/>
        <v>#N/A</v>
      </c>
      <c r="AS209" s="152" t="e">
        <f t="shared" si="47"/>
        <v>#N/A</v>
      </c>
    </row>
    <row r="210" spans="8:45" ht="15.75" customHeight="1">
      <c r="H210" s="212" t="e">
        <v>#N/A</v>
      </c>
      <c r="I210" s="205" t="e">
        <v>#N/A</v>
      </c>
      <c r="J210" s="231" t="e">
        <v>#N/A</v>
      </c>
      <c r="K210" s="185" t="e">
        <v>#N/A</v>
      </c>
      <c r="L210" s="185" t="e">
        <v>#N/A</v>
      </c>
      <c r="M210" s="201" t="e">
        <v>#N/A</v>
      </c>
      <c r="N210" s="185" t="e">
        <v>#N/A</v>
      </c>
      <c r="O210" s="185" t="e">
        <v>#N/A</v>
      </c>
      <c r="P210" s="201" t="e">
        <v>#N/A</v>
      </c>
      <c r="Q210" s="205" t="e">
        <v>#N/A</v>
      </c>
      <c r="R210" s="231" t="e">
        <v>#N/A</v>
      </c>
      <c r="S210" s="185" t="e">
        <v>#N/A</v>
      </c>
      <c r="T210" s="185" t="e">
        <v>#N/A</v>
      </c>
      <c r="U210" s="201" t="e">
        <v>#N/A</v>
      </c>
      <c r="V210" s="185" t="e">
        <v>#N/A</v>
      </c>
      <c r="W210" s="185" t="e">
        <v>#N/A</v>
      </c>
      <c r="X210" s="201" t="e">
        <v>#N/A</v>
      </c>
      <c r="Y210" s="205" t="e">
        <v>#N/A</v>
      </c>
      <c r="Z210" s="231" t="e">
        <v>#N/A</v>
      </c>
      <c r="AA210" s="185" t="e">
        <v>#N/A</v>
      </c>
      <c r="AB210" s="185" t="e">
        <v>#N/A</v>
      </c>
      <c r="AC210" s="201" t="e">
        <v>#N/A</v>
      </c>
      <c r="AD210" s="185" t="e">
        <v>#N/A</v>
      </c>
      <c r="AE210" s="185" t="e">
        <v>#N/A</v>
      </c>
      <c r="AF210" s="201" t="e">
        <v>#N/A</v>
      </c>
      <c r="AH210" s="152" t="e">
        <f t="shared" si="36"/>
        <v>#N/A</v>
      </c>
      <c r="AI210" s="152" t="e">
        <f t="shared" si="37"/>
        <v>#N/A</v>
      </c>
      <c r="AJ210" s="152" t="e">
        <f t="shared" si="38"/>
        <v>#N/A</v>
      </c>
      <c r="AK210" s="152" t="e">
        <f t="shared" si="39"/>
        <v>#N/A</v>
      </c>
      <c r="AL210" s="152" t="e">
        <f t="shared" si="40"/>
        <v>#N/A</v>
      </c>
      <c r="AM210" s="152" t="e">
        <f t="shared" si="41"/>
        <v>#N/A</v>
      </c>
      <c r="AN210" s="152" t="e">
        <f t="shared" si="42"/>
        <v>#N/A</v>
      </c>
      <c r="AO210" s="152" t="e">
        <f t="shared" si="43"/>
        <v>#N/A</v>
      </c>
      <c r="AP210" s="152" t="e">
        <f t="shared" si="44"/>
        <v>#N/A</v>
      </c>
      <c r="AQ210" s="152" t="e">
        <f t="shared" si="45"/>
        <v>#N/A</v>
      </c>
      <c r="AR210" s="152" t="e">
        <f t="shared" si="46"/>
        <v>#N/A</v>
      </c>
      <c r="AS210" s="152" t="e">
        <f t="shared" si="47"/>
        <v>#N/A</v>
      </c>
    </row>
    <row r="211" spans="8:45" ht="15.75" customHeight="1">
      <c r="H211" s="212" t="e">
        <v>#N/A</v>
      </c>
      <c r="I211" s="205" t="e">
        <v>#N/A</v>
      </c>
      <c r="J211" s="231" t="e">
        <v>#N/A</v>
      </c>
      <c r="K211" s="185" t="e">
        <v>#N/A</v>
      </c>
      <c r="L211" s="185" t="e">
        <v>#N/A</v>
      </c>
      <c r="M211" s="201" t="e">
        <v>#N/A</v>
      </c>
      <c r="N211" s="185" t="e">
        <v>#N/A</v>
      </c>
      <c r="O211" s="185" t="e">
        <v>#N/A</v>
      </c>
      <c r="P211" s="201" t="e">
        <v>#N/A</v>
      </c>
      <c r="Q211" s="205" t="e">
        <v>#N/A</v>
      </c>
      <c r="R211" s="231" t="e">
        <v>#N/A</v>
      </c>
      <c r="S211" s="185" t="e">
        <v>#N/A</v>
      </c>
      <c r="T211" s="185" t="e">
        <v>#N/A</v>
      </c>
      <c r="U211" s="201" t="e">
        <v>#N/A</v>
      </c>
      <c r="V211" s="185" t="e">
        <v>#N/A</v>
      </c>
      <c r="W211" s="185" t="e">
        <v>#N/A</v>
      </c>
      <c r="X211" s="201" t="e">
        <v>#N/A</v>
      </c>
      <c r="Y211" s="205" t="e">
        <v>#N/A</v>
      </c>
      <c r="Z211" s="231" t="e">
        <v>#N/A</v>
      </c>
      <c r="AA211" s="185" t="e">
        <v>#N/A</v>
      </c>
      <c r="AB211" s="185" t="e">
        <v>#N/A</v>
      </c>
      <c r="AC211" s="201" t="e">
        <v>#N/A</v>
      </c>
      <c r="AD211" s="185" t="e">
        <v>#N/A</v>
      </c>
      <c r="AE211" s="185" t="e">
        <v>#N/A</v>
      </c>
      <c r="AF211" s="201" t="e">
        <v>#N/A</v>
      </c>
      <c r="AH211" s="152" t="e">
        <f t="shared" si="36"/>
        <v>#N/A</v>
      </c>
      <c r="AI211" s="152" t="e">
        <f t="shared" si="37"/>
        <v>#N/A</v>
      </c>
      <c r="AJ211" s="152" t="e">
        <f t="shared" si="38"/>
        <v>#N/A</v>
      </c>
      <c r="AK211" s="152" t="e">
        <f t="shared" si="39"/>
        <v>#N/A</v>
      </c>
      <c r="AL211" s="152" t="e">
        <f t="shared" si="40"/>
        <v>#N/A</v>
      </c>
      <c r="AM211" s="152" t="e">
        <f t="shared" si="41"/>
        <v>#N/A</v>
      </c>
      <c r="AN211" s="152" t="e">
        <f t="shared" si="42"/>
        <v>#N/A</v>
      </c>
      <c r="AO211" s="152" t="e">
        <f t="shared" si="43"/>
        <v>#N/A</v>
      </c>
      <c r="AP211" s="152" t="e">
        <f t="shared" si="44"/>
        <v>#N/A</v>
      </c>
      <c r="AQ211" s="152" t="e">
        <f t="shared" si="45"/>
        <v>#N/A</v>
      </c>
      <c r="AR211" s="152" t="e">
        <f t="shared" si="46"/>
        <v>#N/A</v>
      </c>
      <c r="AS211" s="152" t="e">
        <f t="shared" si="47"/>
        <v>#N/A</v>
      </c>
    </row>
    <row r="212" spans="8:45" ht="15.75" customHeight="1">
      <c r="H212" s="212" t="e">
        <v>#N/A</v>
      </c>
      <c r="I212" s="205" t="e">
        <v>#N/A</v>
      </c>
      <c r="J212" s="231" t="e">
        <v>#N/A</v>
      </c>
      <c r="K212" s="185" t="e">
        <v>#N/A</v>
      </c>
      <c r="L212" s="185" t="e">
        <v>#N/A</v>
      </c>
      <c r="M212" s="201" t="e">
        <v>#N/A</v>
      </c>
      <c r="N212" s="185" t="e">
        <v>#N/A</v>
      </c>
      <c r="O212" s="185" t="e">
        <v>#N/A</v>
      </c>
      <c r="P212" s="201" t="e">
        <v>#N/A</v>
      </c>
      <c r="Q212" s="205" t="e">
        <v>#N/A</v>
      </c>
      <c r="R212" s="231" t="e">
        <v>#N/A</v>
      </c>
      <c r="S212" s="185" t="e">
        <v>#N/A</v>
      </c>
      <c r="T212" s="185" t="e">
        <v>#N/A</v>
      </c>
      <c r="U212" s="201" t="e">
        <v>#N/A</v>
      </c>
      <c r="V212" s="185" t="e">
        <v>#N/A</v>
      </c>
      <c r="W212" s="185" t="e">
        <v>#N/A</v>
      </c>
      <c r="X212" s="201" t="e">
        <v>#N/A</v>
      </c>
      <c r="Y212" s="205" t="e">
        <v>#N/A</v>
      </c>
      <c r="Z212" s="231" t="e">
        <v>#N/A</v>
      </c>
      <c r="AA212" s="185" t="e">
        <v>#N/A</v>
      </c>
      <c r="AB212" s="185" t="e">
        <v>#N/A</v>
      </c>
      <c r="AC212" s="201" t="e">
        <v>#N/A</v>
      </c>
      <c r="AD212" s="185" t="e">
        <v>#N/A</v>
      </c>
      <c r="AE212" s="185" t="e">
        <v>#N/A</v>
      </c>
      <c r="AF212" s="201" t="e">
        <v>#N/A</v>
      </c>
      <c r="AH212" s="152" t="e">
        <f t="shared" si="36"/>
        <v>#N/A</v>
      </c>
      <c r="AI212" s="152" t="e">
        <f t="shared" si="37"/>
        <v>#N/A</v>
      </c>
      <c r="AJ212" s="152" t="e">
        <f t="shared" si="38"/>
        <v>#N/A</v>
      </c>
      <c r="AK212" s="152" t="e">
        <f t="shared" si="39"/>
        <v>#N/A</v>
      </c>
      <c r="AL212" s="152" t="e">
        <f t="shared" si="40"/>
        <v>#N/A</v>
      </c>
      <c r="AM212" s="152" t="e">
        <f t="shared" si="41"/>
        <v>#N/A</v>
      </c>
      <c r="AN212" s="152" t="e">
        <f t="shared" si="42"/>
        <v>#N/A</v>
      </c>
      <c r="AO212" s="152" t="e">
        <f t="shared" si="43"/>
        <v>#N/A</v>
      </c>
      <c r="AP212" s="152" t="e">
        <f t="shared" si="44"/>
        <v>#N/A</v>
      </c>
      <c r="AQ212" s="152" t="e">
        <f t="shared" si="45"/>
        <v>#N/A</v>
      </c>
      <c r="AR212" s="152" t="e">
        <f t="shared" si="46"/>
        <v>#N/A</v>
      </c>
      <c r="AS212" s="152" t="e">
        <f t="shared" si="47"/>
        <v>#N/A</v>
      </c>
    </row>
    <row r="213" spans="8:45" ht="15.75" customHeight="1">
      <c r="H213" s="212" t="e">
        <v>#N/A</v>
      </c>
      <c r="I213" s="205" t="e">
        <v>#N/A</v>
      </c>
      <c r="J213" s="231" t="e">
        <v>#N/A</v>
      </c>
      <c r="K213" s="185" t="e">
        <v>#N/A</v>
      </c>
      <c r="L213" s="185" t="e">
        <v>#N/A</v>
      </c>
      <c r="M213" s="201" t="e">
        <v>#N/A</v>
      </c>
      <c r="N213" s="185" t="e">
        <v>#N/A</v>
      </c>
      <c r="O213" s="185" t="e">
        <v>#N/A</v>
      </c>
      <c r="P213" s="201" t="e">
        <v>#N/A</v>
      </c>
      <c r="Q213" s="205" t="e">
        <v>#N/A</v>
      </c>
      <c r="R213" s="231" t="e">
        <v>#N/A</v>
      </c>
      <c r="S213" s="185" t="e">
        <v>#N/A</v>
      </c>
      <c r="T213" s="185" t="e">
        <v>#N/A</v>
      </c>
      <c r="U213" s="201" t="e">
        <v>#N/A</v>
      </c>
      <c r="V213" s="185" t="e">
        <v>#N/A</v>
      </c>
      <c r="W213" s="185" t="e">
        <v>#N/A</v>
      </c>
      <c r="X213" s="201" t="e">
        <v>#N/A</v>
      </c>
      <c r="Y213" s="205" t="e">
        <v>#N/A</v>
      </c>
      <c r="Z213" s="231" t="e">
        <v>#N/A</v>
      </c>
      <c r="AA213" s="185" t="e">
        <v>#N/A</v>
      </c>
      <c r="AB213" s="185" t="e">
        <v>#N/A</v>
      </c>
      <c r="AC213" s="201" t="e">
        <v>#N/A</v>
      </c>
      <c r="AD213" s="185" t="e">
        <v>#N/A</v>
      </c>
      <c r="AE213" s="185" t="e">
        <v>#N/A</v>
      </c>
      <c r="AF213" s="201" t="e">
        <v>#N/A</v>
      </c>
      <c r="AH213" s="152" t="e">
        <f t="shared" si="36"/>
        <v>#N/A</v>
      </c>
      <c r="AI213" s="152" t="e">
        <f t="shared" si="37"/>
        <v>#N/A</v>
      </c>
      <c r="AJ213" s="152" t="e">
        <f t="shared" si="38"/>
        <v>#N/A</v>
      </c>
      <c r="AK213" s="152" t="e">
        <f t="shared" si="39"/>
        <v>#N/A</v>
      </c>
      <c r="AL213" s="152" t="e">
        <f t="shared" si="40"/>
        <v>#N/A</v>
      </c>
      <c r="AM213" s="152" t="e">
        <f t="shared" si="41"/>
        <v>#N/A</v>
      </c>
      <c r="AN213" s="152" t="e">
        <f t="shared" si="42"/>
        <v>#N/A</v>
      </c>
      <c r="AO213" s="152" t="e">
        <f t="shared" si="43"/>
        <v>#N/A</v>
      </c>
      <c r="AP213" s="152" t="e">
        <f t="shared" si="44"/>
        <v>#N/A</v>
      </c>
      <c r="AQ213" s="152" t="e">
        <f t="shared" si="45"/>
        <v>#N/A</v>
      </c>
      <c r="AR213" s="152" t="e">
        <f t="shared" si="46"/>
        <v>#N/A</v>
      </c>
      <c r="AS213" s="152" t="e">
        <f t="shared" si="47"/>
        <v>#N/A</v>
      </c>
    </row>
    <row r="214" spans="8:45" ht="15.75" customHeight="1">
      <c r="H214" s="212" t="e">
        <v>#N/A</v>
      </c>
      <c r="I214" s="205" t="e">
        <v>#N/A</v>
      </c>
      <c r="J214" s="231" t="e">
        <v>#N/A</v>
      </c>
      <c r="K214" s="185" t="e">
        <v>#N/A</v>
      </c>
      <c r="L214" s="185" t="e">
        <v>#N/A</v>
      </c>
      <c r="M214" s="201" t="e">
        <v>#N/A</v>
      </c>
      <c r="N214" s="185" t="e">
        <v>#N/A</v>
      </c>
      <c r="O214" s="185" t="e">
        <v>#N/A</v>
      </c>
      <c r="P214" s="201" t="e">
        <v>#N/A</v>
      </c>
      <c r="Q214" s="205" t="e">
        <v>#N/A</v>
      </c>
      <c r="R214" s="231" t="e">
        <v>#N/A</v>
      </c>
      <c r="S214" s="185" t="e">
        <v>#N/A</v>
      </c>
      <c r="T214" s="185" t="e">
        <v>#N/A</v>
      </c>
      <c r="U214" s="201" t="e">
        <v>#N/A</v>
      </c>
      <c r="V214" s="185" t="e">
        <v>#N/A</v>
      </c>
      <c r="W214" s="185" t="e">
        <v>#N/A</v>
      </c>
      <c r="X214" s="201" t="e">
        <v>#N/A</v>
      </c>
      <c r="Y214" s="205" t="e">
        <v>#N/A</v>
      </c>
      <c r="Z214" s="231" t="e">
        <v>#N/A</v>
      </c>
      <c r="AA214" s="185" t="e">
        <v>#N/A</v>
      </c>
      <c r="AB214" s="185" t="e">
        <v>#N/A</v>
      </c>
      <c r="AC214" s="201" t="e">
        <v>#N/A</v>
      </c>
      <c r="AD214" s="185" t="e">
        <v>#N/A</v>
      </c>
      <c r="AE214" s="185" t="e">
        <v>#N/A</v>
      </c>
      <c r="AF214" s="201" t="e">
        <v>#N/A</v>
      </c>
      <c r="AH214" s="152" t="e">
        <f t="shared" si="36"/>
        <v>#N/A</v>
      </c>
      <c r="AI214" s="152" t="e">
        <f t="shared" si="37"/>
        <v>#N/A</v>
      </c>
      <c r="AJ214" s="152" t="e">
        <f t="shared" si="38"/>
        <v>#N/A</v>
      </c>
      <c r="AK214" s="152" t="e">
        <f t="shared" si="39"/>
        <v>#N/A</v>
      </c>
      <c r="AL214" s="152" t="e">
        <f t="shared" si="40"/>
        <v>#N/A</v>
      </c>
      <c r="AM214" s="152" t="e">
        <f t="shared" si="41"/>
        <v>#N/A</v>
      </c>
      <c r="AN214" s="152" t="e">
        <f t="shared" si="42"/>
        <v>#N/A</v>
      </c>
      <c r="AO214" s="152" t="e">
        <f t="shared" si="43"/>
        <v>#N/A</v>
      </c>
      <c r="AP214" s="152" t="e">
        <f t="shared" si="44"/>
        <v>#N/A</v>
      </c>
      <c r="AQ214" s="152" t="e">
        <f t="shared" si="45"/>
        <v>#N/A</v>
      </c>
      <c r="AR214" s="152" t="e">
        <f t="shared" si="46"/>
        <v>#N/A</v>
      </c>
      <c r="AS214" s="152" t="e">
        <f t="shared" si="47"/>
        <v>#N/A</v>
      </c>
    </row>
    <row r="215" spans="8:45" ht="15.75" customHeight="1">
      <c r="H215" s="212" t="e">
        <v>#N/A</v>
      </c>
      <c r="I215" s="205" t="e">
        <v>#N/A</v>
      </c>
      <c r="J215" s="231" t="e">
        <v>#N/A</v>
      </c>
      <c r="K215" s="185" t="e">
        <v>#N/A</v>
      </c>
      <c r="L215" s="185" t="e">
        <v>#N/A</v>
      </c>
      <c r="M215" s="201" t="e">
        <v>#N/A</v>
      </c>
      <c r="N215" s="185" t="e">
        <v>#N/A</v>
      </c>
      <c r="O215" s="185" t="e">
        <v>#N/A</v>
      </c>
      <c r="P215" s="201" t="e">
        <v>#N/A</v>
      </c>
      <c r="Q215" s="205" t="e">
        <v>#N/A</v>
      </c>
      <c r="R215" s="231" t="e">
        <v>#N/A</v>
      </c>
      <c r="S215" s="185" t="e">
        <v>#N/A</v>
      </c>
      <c r="T215" s="185" t="e">
        <v>#N/A</v>
      </c>
      <c r="U215" s="201" t="e">
        <v>#N/A</v>
      </c>
      <c r="V215" s="185" t="e">
        <v>#N/A</v>
      </c>
      <c r="W215" s="185" t="e">
        <v>#N/A</v>
      </c>
      <c r="X215" s="201" t="e">
        <v>#N/A</v>
      </c>
      <c r="Y215" s="205" t="e">
        <v>#N/A</v>
      </c>
      <c r="Z215" s="231" t="e">
        <v>#N/A</v>
      </c>
      <c r="AA215" s="185" t="e">
        <v>#N/A</v>
      </c>
      <c r="AB215" s="185" t="e">
        <v>#N/A</v>
      </c>
      <c r="AC215" s="201" t="e">
        <v>#N/A</v>
      </c>
      <c r="AD215" s="185" t="e">
        <v>#N/A</v>
      </c>
      <c r="AE215" s="185" t="e">
        <v>#N/A</v>
      </c>
      <c r="AF215" s="201" t="e">
        <v>#N/A</v>
      </c>
      <c r="AH215" s="152" t="e">
        <f t="shared" si="36"/>
        <v>#N/A</v>
      </c>
      <c r="AI215" s="152" t="e">
        <f t="shared" si="37"/>
        <v>#N/A</v>
      </c>
      <c r="AJ215" s="152" t="e">
        <f t="shared" si="38"/>
        <v>#N/A</v>
      </c>
      <c r="AK215" s="152" t="e">
        <f t="shared" si="39"/>
        <v>#N/A</v>
      </c>
      <c r="AL215" s="152" t="e">
        <f t="shared" si="40"/>
        <v>#N/A</v>
      </c>
      <c r="AM215" s="152" t="e">
        <f t="shared" si="41"/>
        <v>#N/A</v>
      </c>
      <c r="AN215" s="152" t="e">
        <f t="shared" si="42"/>
        <v>#N/A</v>
      </c>
      <c r="AO215" s="152" t="e">
        <f t="shared" si="43"/>
        <v>#N/A</v>
      </c>
      <c r="AP215" s="152" t="e">
        <f t="shared" si="44"/>
        <v>#N/A</v>
      </c>
      <c r="AQ215" s="152" t="e">
        <f t="shared" si="45"/>
        <v>#N/A</v>
      </c>
      <c r="AR215" s="152" t="e">
        <f t="shared" si="46"/>
        <v>#N/A</v>
      </c>
      <c r="AS215" s="152" t="e">
        <f t="shared" si="47"/>
        <v>#N/A</v>
      </c>
    </row>
    <row r="216" spans="8:45" ht="15.75" customHeight="1">
      <c r="H216" s="212" t="e">
        <v>#N/A</v>
      </c>
      <c r="I216" s="205" t="e">
        <v>#N/A</v>
      </c>
      <c r="J216" s="231" t="e">
        <v>#N/A</v>
      </c>
      <c r="K216" s="185" t="e">
        <v>#N/A</v>
      </c>
      <c r="L216" s="185" t="e">
        <v>#N/A</v>
      </c>
      <c r="M216" s="201" t="e">
        <v>#N/A</v>
      </c>
      <c r="N216" s="185" t="e">
        <v>#N/A</v>
      </c>
      <c r="O216" s="185" t="e">
        <v>#N/A</v>
      </c>
      <c r="P216" s="201" t="e">
        <v>#N/A</v>
      </c>
      <c r="Q216" s="205" t="e">
        <v>#N/A</v>
      </c>
      <c r="R216" s="231" t="e">
        <v>#N/A</v>
      </c>
      <c r="S216" s="185" t="e">
        <v>#N/A</v>
      </c>
      <c r="T216" s="185" t="e">
        <v>#N/A</v>
      </c>
      <c r="U216" s="201" t="e">
        <v>#N/A</v>
      </c>
      <c r="V216" s="185" t="e">
        <v>#N/A</v>
      </c>
      <c r="W216" s="185" t="e">
        <v>#N/A</v>
      </c>
      <c r="X216" s="201" t="e">
        <v>#N/A</v>
      </c>
      <c r="Y216" s="205" t="e">
        <v>#N/A</v>
      </c>
      <c r="Z216" s="231" t="e">
        <v>#N/A</v>
      </c>
      <c r="AA216" s="185" t="e">
        <v>#N/A</v>
      </c>
      <c r="AB216" s="185" t="e">
        <v>#N/A</v>
      </c>
      <c r="AC216" s="201" t="e">
        <v>#N/A</v>
      </c>
      <c r="AD216" s="185" t="e">
        <v>#N/A</v>
      </c>
      <c r="AE216" s="185" t="e">
        <v>#N/A</v>
      </c>
      <c r="AF216" s="201" t="e">
        <v>#N/A</v>
      </c>
      <c r="AH216" s="152" t="e">
        <f t="shared" si="36"/>
        <v>#N/A</v>
      </c>
      <c r="AI216" s="152" t="e">
        <f t="shared" si="37"/>
        <v>#N/A</v>
      </c>
      <c r="AJ216" s="152" t="e">
        <f t="shared" si="38"/>
        <v>#N/A</v>
      </c>
      <c r="AK216" s="152" t="e">
        <f t="shared" si="39"/>
        <v>#N/A</v>
      </c>
      <c r="AL216" s="152" t="e">
        <f t="shared" si="40"/>
        <v>#N/A</v>
      </c>
      <c r="AM216" s="152" t="e">
        <f t="shared" si="41"/>
        <v>#N/A</v>
      </c>
      <c r="AN216" s="152" t="e">
        <f t="shared" si="42"/>
        <v>#N/A</v>
      </c>
      <c r="AO216" s="152" t="e">
        <f t="shared" si="43"/>
        <v>#N/A</v>
      </c>
      <c r="AP216" s="152" t="e">
        <f t="shared" si="44"/>
        <v>#N/A</v>
      </c>
      <c r="AQ216" s="152" t="e">
        <f t="shared" si="45"/>
        <v>#N/A</v>
      </c>
      <c r="AR216" s="152" t="e">
        <f t="shared" si="46"/>
        <v>#N/A</v>
      </c>
      <c r="AS216" s="152" t="e">
        <f t="shared" si="47"/>
        <v>#N/A</v>
      </c>
    </row>
    <row r="217" spans="8:45" ht="15.75" customHeight="1">
      <c r="H217" s="212" t="e">
        <v>#N/A</v>
      </c>
      <c r="I217" s="205" t="e">
        <v>#N/A</v>
      </c>
      <c r="J217" s="231" t="e">
        <v>#N/A</v>
      </c>
      <c r="K217" s="185" t="e">
        <v>#N/A</v>
      </c>
      <c r="L217" s="185" t="e">
        <v>#N/A</v>
      </c>
      <c r="M217" s="201" t="e">
        <v>#N/A</v>
      </c>
      <c r="N217" s="185" t="e">
        <v>#N/A</v>
      </c>
      <c r="O217" s="185" t="e">
        <v>#N/A</v>
      </c>
      <c r="P217" s="201" t="e">
        <v>#N/A</v>
      </c>
      <c r="Q217" s="205" t="e">
        <v>#N/A</v>
      </c>
      <c r="R217" s="231" t="e">
        <v>#N/A</v>
      </c>
      <c r="S217" s="185" t="e">
        <v>#N/A</v>
      </c>
      <c r="T217" s="185" t="e">
        <v>#N/A</v>
      </c>
      <c r="U217" s="201" t="e">
        <v>#N/A</v>
      </c>
      <c r="V217" s="185" t="e">
        <v>#N/A</v>
      </c>
      <c r="W217" s="185" t="e">
        <v>#N/A</v>
      </c>
      <c r="X217" s="201" t="e">
        <v>#N/A</v>
      </c>
      <c r="Y217" s="205" t="e">
        <v>#N/A</v>
      </c>
      <c r="Z217" s="231" t="e">
        <v>#N/A</v>
      </c>
      <c r="AA217" s="185" t="e">
        <v>#N/A</v>
      </c>
      <c r="AB217" s="185" t="e">
        <v>#N/A</v>
      </c>
      <c r="AC217" s="201" t="e">
        <v>#N/A</v>
      </c>
      <c r="AD217" s="185" t="e">
        <v>#N/A</v>
      </c>
      <c r="AE217" s="185" t="e">
        <v>#N/A</v>
      </c>
      <c r="AF217" s="201" t="e">
        <v>#N/A</v>
      </c>
      <c r="AH217" s="152" t="e">
        <f t="shared" si="36"/>
        <v>#N/A</v>
      </c>
      <c r="AI217" s="152" t="e">
        <f t="shared" si="37"/>
        <v>#N/A</v>
      </c>
      <c r="AJ217" s="152" t="e">
        <f t="shared" si="38"/>
        <v>#N/A</v>
      </c>
      <c r="AK217" s="152" t="e">
        <f t="shared" si="39"/>
        <v>#N/A</v>
      </c>
      <c r="AL217" s="152" t="e">
        <f t="shared" si="40"/>
        <v>#N/A</v>
      </c>
      <c r="AM217" s="152" t="e">
        <f t="shared" si="41"/>
        <v>#N/A</v>
      </c>
      <c r="AN217" s="152" t="e">
        <f t="shared" si="42"/>
        <v>#N/A</v>
      </c>
      <c r="AO217" s="152" t="e">
        <f t="shared" si="43"/>
        <v>#N/A</v>
      </c>
      <c r="AP217" s="152" t="e">
        <f t="shared" si="44"/>
        <v>#N/A</v>
      </c>
      <c r="AQ217" s="152" t="e">
        <f t="shared" si="45"/>
        <v>#N/A</v>
      </c>
      <c r="AR217" s="152" t="e">
        <f t="shared" si="46"/>
        <v>#N/A</v>
      </c>
      <c r="AS217" s="152" t="e">
        <f t="shared" si="47"/>
        <v>#N/A</v>
      </c>
    </row>
    <row r="218" spans="8:45" ht="15.75" customHeight="1">
      <c r="H218" s="212" t="e">
        <v>#N/A</v>
      </c>
      <c r="I218" s="205" t="e">
        <v>#N/A</v>
      </c>
      <c r="J218" s="231" t="e">
        <v>#N/A</v>
      </c>
      <c r="K218" s="185" t="e">
        <v>#N/A</v>
      </c>
      <c r="L218" s="185" t="e">
        <v>#N/A</v>
      </c>
      <c r="M218" s="201" t="e">
        <v>#N/A</v>
      </c>
      <c r="N218" s="185" t="e">
        <v>#N/A</v>
      </c>
      <c r="O218" s="185" t="e">
        <v>#N/A</v>
      </c>
      <c r="P218" s="201" t="e">
        <v>#N/A</v>
      </c>
      <c r="Q218" s="205" t="e">
        <v>#N/A</v>
      </c>
      <c r="R218" s="231" t="e">
        <v>#N/A</v>
      </c>
      <c r="S218" s="185" t="e">
        <v>#N/A</v>
      </c>
      <c r="T218" s="185" t="e">
        <v>#N/A</v>
      </c>
      <c r="U218" s="201" t="e">
        <v>#N/A</v>
      </c>
      <c r="V218" s="185" t="e">
        <v>#N/A</v>
      </c>
      <c r="W218" s="185" t="e">
        <v>#N/A</v>
      </c>
      <c r="X218" s="201" t="e">
        <v>#N/A</v>
      </c>
      <c r="Y218" s="205" t="e">
        <v>#N/A</v>
      </c>
      <c r="Z218" s="231" t="e">
        <v>#N/A</v>
      </c>
      <c r="AA218" s="185" t="e">
        <v>#N/A</v>
      </c>
      <c r="AB218" s="185" t="e">
        <v>#N/A</v>
      </c>
      <c r="AC218" s="201" t="e">
        <v>#N/A</v>
      </c>
      <c r="AD218" s="185" t="e">
        <v>#N/A</v>
      </c>
      <c r="AE218" s="185" t="e">
        <v>#N/A</v>
      </c>
      <c r="AF218" s="201" t="e">
        <v>#N/A</v>
      </c>
      <c r="AH218" s="152" t="e">
        <f t="shared" si="36"/>
        <v>#N/A</v>
      </c>
      <c r="AI218" s="152" t="e">
        <f t="shared" si="37"/>
        <v>#N/A</v>
      </c>
      <c r="AJ218" s="152" t="e">
        <f t="shared" si="38"/>
        <v>#N/A</v>
      </c>
      <c r="AK218" s="152" t="e">
        <f t="shared" si="39"/>
        <v>#N/A</v>
      </c>
      <c r="AL218" s="152" t="e">
        <f t="shared" si="40"/>
        <v>#N/A</v>
      </c>
      <c r="AM218" s="152" t="e">
        <f t="shared" si="41"/>
        <v>#N/A</v>
      </c>
      <c r="AN218" s="152" t="e">
        <f t="shared" si="42"/>
        <v>#N/A</v>
      </c>
      <c r="AO218" s="152" t="e">
        <f t="shared" si="43"/>
        <v>#N/A</v>
      </c>
      <c r="AP218" s="152" t="e">
        <f t="shared" si="44"/>
        <v>#N/A</v>
      </c>
      <c r="AQ218" s="152" t="e">
        <f t="shared" si="45"/>
        <v>#N/A</v>
      </c>
      <c r="AR218" s="152" t="e">
        <f t="shared" si="46"/>
        <v>#N/A</v>
      </c>
      <c r="AS218" s="152" t="e">
        <f t="shared" si="47"/>
        <v>#N/A</v>
      </c>
    </row>
    <row r="219" spans="8:45" ht="15.75" customHeight="1">
      <c r="H219" s="212" t="e">
        <v>#N/A</v>
      </c>
      <c r="I219" s="205" t="e">
        <v>#N/A</v>
      </c>
      <c r="J219" s="231" t="e">
        <v>#N/A</v>
      </c>
      <c r="K219" s="185" t="e">
        <v>#N/A</v>
      </c>
      <c r="L219" s="185" t="e">
        <v>#N/A</v>
      </c>
      <c r="M219" s="201" t="e">
        <v>#N/A</v>
      </c>
      <c r="N219" s="185" t="e">
        <v>#N/A</v>
      </c>
      <c r="O219" s="185" t="e">
        <v>#N/A</v>
      </c>
      <c r="P219" s="201" t="e">
        <v>#N/A</v>
      </c>
      <c r="Q219" s="205" t="e">
        <v>#N/A</v>
      </c>
      <c r="R219" s="231" t="e">
        <v>#N/A</v>
      </c>
      <c r="S219" s="185" t="e">
        <v>#N/A</v>
      </c>
      <c r="T219" s="185" t="e">
        <v>#N/A</v>
      </c>
      <c r="U219" s="201" t="e">
        <v>#N/A</v>
      </c>
      <c r="V219" s="185" t="e">
        <v>#N/A</v>
      </c>
      <c r="W219" s="185" t="e">
        <v>#N/A</v>
      </c>
      <c r="X219" s="201" t="e">
        <v>#N/A</v>
      </c>
      <c r="Y219" s="205" t="e">
        <v>#N/A</v>
      </c>
      <c r="Z219" s="231" t="e">
        <v>#N/A</v>
      </c>
      <c r="AA219" s="185" t="e">
        <v>#N/A</v>
      </c>
      <c r="AB219" s="185" t="e">
        <v>#N/A</v>
      </c>
      <c r="AC219" s="201" t="e">
        <v>#N/A</v>
      </c>
      <c r="AD219" s="185" t="e">
        <v>#N/A</v>
      </c>
      <c r="AE219" s="185" t="e">
        <v>#N/A</v>
      </c>
      <c r="AF219" s="201" t="e">
        <v>#N/A</v>
      </c>
      <c r="AH219" s="152" t="e">
        <f t="shared" si="36"/>
        <v>#N/A</v>
      </c>
      <c r="AI219" s="152" t="e">
        <f t="shared" si="37"/>
        <v>#N/A</v>
      </c>
      <c r="AJ219" s="152" t="e">
        <f t="shared" si="38"/>
        <v>#N/A</v>
      </c>
      <c r="AK219" s="152" t="e">
        <f t="shared" si="39"/>
        <v>#N/A</v>
      </c>
      <c r="AL219" s="152" t="e">
        <f t="shared" si="40"/>
        <v>#N/A</v>
      </c>
      <c r="AM219" s="152" t="e">
        <f t="shared" si="41"/>
        <v>#N/A</v>
      </c>
      <c r="AN219" s="152" t="e">
        <f t="shared" si="42"/>
        <v>#N/A</v>
      </c>
      <c r="AO219" s="152" t="e">
        <f t="shared" si="43"/>
        <v>#N/A</v>
      </c>
      <c r="AP219" s="152" t="e">
        <f t="shared" si="44"/>
        <v>#N/A</v>
      </c>
      <c r="AQ219" s="152" t="e">
        <f t="shared" si="45"/>
        <v>#N/A</v>
      </c>
      <c r="AR219" s="152" t="e">
        <f t="shared" si="46"/>
        <v>#N/A</v>
      </c>
      <c r="AS219" s="152" t="e">
        <f t="shared" si="47"/>
        <v>#N/A</v>
      </c>
    </row>
    <row r="220" spans="8:45" ht="15.75" customHeight="1">
      <c r="H220" s="212" t="e">
        <v>#N/A</v>
      </c>
      <c r="I220" s="205" t="e">
        <v>#N/A</v>
      </c>
      <c r="J220" s="231" t="e">
        <v>#N/A</v>
      </c>
      <c r="K220" s="185" t="e">
        <v>#N/A</v>
      </c>
      <c r="L220" s="185" t="e">
        <v>#N/A</v>
      </c>
      <c r="M220" s="201" t="e">
        <v>#N/A</v>
      </c>
      <c r="N220" s="185" t="e">
        <v>#N/A</v>
      </c>
      <c r="O220" s="185" t="e">
        <v>#N/A</v>
      </c>
      <c r="P220" s="201" t="e">
        <v>#N/A</v>
      </c>
      <c r="Q220" s="205" t="e">
        <v>#N/A</v>
      </c>
      <c r="R220" s="231" t="e">
        <v>#N/A</v>
      </c>
      <c r="S220" s="185" t="e">
        <v>#N/A</v>
      </c>
      <c r="T220" s="185" t="e">
        <v>#N/A</v>
      </c>
      <c r="U220" s="201" t="e">
        <v>#N/A</v>
      </c>
      <c r="V220" s="185" t="e">
        <v>#N/A</v>
      </c>
      <c r="W220" s="185" t="e">
        <v>#N/A</v>
      </c>
      <c r="X220" s="201" t="e">
        <v>#N/A</v>
      </c>
      <c r="Y220" s="205" t="e">
        <v>#N/A</v>
      </c>
      <c r="Z220" s="231" t="e">
        <v>#N/A</v>
      </c>
      <c r="AA220" s="185" t="e">
        <v>#N/A</v>
      </c>
      <c r="AB220" s="185" t="e">
        <v>#N/A</v>
      </c>
      <c r="AC220" s="201" t="e">
        <v>#N/A</v>
      </c>
      <c r="AD220" s="185" t="e">
        <v>#N/A</v>
      </c>
      <c r="AE220" s="185" t="e">
        <v>#N/A</v>
      </c>
      <c r="AF220" s="201" t="e">
        <v>#N/A</v>
      </c>
      <c r="AH220" s="152" t="e">
        <f t="shared" si="36"/>
        <v>#N/A</v>
      </c>
      <c r="AI220" s="152" t="e">
        <f t="shared" si="37"/>
        <v>#N/A</v>
      </c>
      <c r="AJ220" s="152" t="e">
        <f t="shared" si="38"/>
        <v>#N/A</v>
      </c>
      <c r="AK220" s="152" t="e">
        <f t="shared" si="39"/>
        <v>#N/A</v>
      </c>
      <c r="AL220" s="152" t="e">
        <f t="shared" si="40"/>
        <v>#N/A</v>
      </c>
      <c r="AM220" s="152" t="e">
        <f t="shared" si="41"/>
        <v>#N/A</v>
      </c>
      <c r="AN220" s="152" t="e">
        <f t="shared" si="42"/>
        <v>#N/A</v>
      </c>
      <c r="AO220" s="152" t="e">
        <f t="shared" si="43"/>
        <v>#N/A</v>
      </c>
      <c r="AP220" s="152" t="e">
        <f t="shared" si="44"/>
        <v>#N/A</v>
      </c>
      <c r="AQ220" s="152" t="e">
        <f t="shared" si="45"/>
        <v>#N/A</v>
      </c>
      <c r="AR220" s="152" t="e">
        <f t="shared" si="46"/>
        <v>#N/A</v>
      </c>
      <c r="AS220" s="152" t="e">
        <f t="shared" si="47"/>
        <v>#N/A</v>
      </c>
    </row>
    <row r="221" spans="8:45" ht="15.75" customHeight="1">
      <c r="H221" s="212" t="e">
        <v>#N/A</v>
      </c>
      <c r="I221" s="205" t="e">
        <v>#N/A</v>
      </c>
      <c r="J221" s="231" t="e">
        <v>#N/A</v>
      </c>
      <c r="K221" s="185" t="e">
        <v>#N/A</v>
      </c>
      <c r="L221" s="185" t="e">
        <v>#N/A</v>
      </c>
      <c r="M221" s="201" t="e">
        <v>#N/A</v>
      </c>
      <c r="N221" s="185" t="e">
        <v>#N/A</v>
      </c>
      <c r="O221" s="185" t="e">
        <v>#N/A</v>
      </c>
      <c r="P221" s="201" t="e">
        <v>#N/A</v>
      </c>
      <c r="Q221" s="205" t="e">
        <v>#N/A</v>
      </c>
      <c r="R221" s="231" t="e">
        <v>#N/A</v>
      </c>
      <c r="S221" s="185" t="e">
        <v>#N/A</v>
      </c>
      <c r="T221" s="185" t="e">
        <v>#N/A</v>
      </c>
      <c r="U221" s="201" t="e">
        <v>#N/A</v>
      </c>
      <c r="V221" s="185" t="e">
        <v>#N/A</v>
      </c>
      <c r="W221" s="185" t="e">
        <v>#N/A</v>
      </c>
      <c r="X221" s="201" t="e">
        <v>#N/A</v>
      </c>
      <c r="Y221" s="205" t="e">
        <v>#N/A</v>
      </c>
      <c r="Z221" s="231" t="e">
        <v>#N/A</v>
      </c>
      <c r="AA221" s="185" t="e">
        <v>#N/A</v>
      </c>
      <c r="AB221" s="185" t="e">
        <v>#N/A</v>
      </c>
      <c r="AC221" s="201" t="e">
        <v>#N/A</v>
      </c>
      <c r="AD221" s="185" t="e">
        <v>#N/A</v>
      </c>
      <c r="AE221" s="185" t="e">
        <v>#N/A</v>
      </c>
      <c r="AF221" s="201" t="e">
        <v>#N/A</v>
      </c>
      <c r="AH221" s="152" t="e">
        <f t="shared" si="36"/>
        <v>#N/A</v>
      </c>
      <c r="AI221" s="152" t="e">
        <f t="shared" si="37"/>
        <v>#N/A</v>
      </c>
      <c r="AJ221" s="152" t="e">
        <f t="shared" si="38"/>
        <v>#N/A</v>
      </c>
      <c r="AK221" s="152" t="e">
        <f t="shared" si="39"/>
        <v>#N/A</v>
      </c>
      <c r="AL221" s="152" t="e">
        <f t="shared" si="40"/>
        <v>#N/A</v>
      </c>
      <c r="AM221" s="152" t="e">
        <f t="shared" si="41"/>
        <v>#N/A</v>
      </c>
      <c r="AN221" s="152" t="e">
        <f t="shared" si="42"/>
        <v>#N/A</v>
      </c>
      <c r="AO221" s="152" t="e">
        <f t="shared" si="43"/>
        <v>#N/A</v>
      </c>
      <c r="AP221" s="152" t="e">
        <f t="shared" si="44"/>
        <v>#N/A</v>
      </c>
      <c r="AQ221" s="152" t="e">
        <f t="shared" si="45"/>
        <v>#N/A</v>
      </c>
      <c r="AR221" s="152" t="e">
        <f t="shared" si="46"/>
        <v>#N/A</v>
      </c>
      <c r="AS221" s="152" t="e">
        <f t="shared" si="47"/>
        <v>#N/A</v>
      </c>
    </row>
    <row r="222" spans="8:45" ht="15.75" customHeight="1">
      <c r="H222" s="212" t="e">
        <v>#N/A</v>
      </c>
      <c r="I222" s="205" t="e">
        <v>#N/A</v>
      </c>
      <c r="J222" s="231" t="e">
        <v>#N/A</v>
      </c>
      <c r="K222" s="185" t="e">
        <v>#N/A</v>
      </c>
      <c r="L222" s="185" t="e">
        <v>#N/A</v>
      </c>
      <c r="M222" s="201" t="e">
        <v>#N/A</v>
      </c>
      <c r="N222" s="185" t="e">
        <v>#N/A</v>
      </c>
      <c r="O222" s="185" t="e">
        <v>#N/A</v>
      </c>
      <c r="P222" s="201" t="e">
        <v>#N/A</v>
      </c>
      <c r="Q222" s="205" t="e">
        <v>#N/A</v>
      </c>
      <c r="R222" s="231" t="e">
        <v>#N/A</v>
      </c>
      <c r="S222" s="185" t="e">
        <v>#N/A</v>
      </c>
      <c r="T222" s="185" t="e">
        <v>#N/A</v>
      </c>
      <c r="U222" s="201" t="e">
        <v>#N/A</v>
      </c>
      <c r="V222" s="185" t="e">
        <v>#N/A</v>
      </c>
      <c r="W222" s="185" t="e">
        <v>#N/A</v>
      </c>
      <c r="X222" s="201" t="e">
        <v>#N/A</v>
      </c>
      <c r="Y222" s="205" t="e">
        <v>#N/A</v>
      </c>
      <c r="Z222" s="231" t="e">
        <v>#N/A</v>
      </c>
      <c r="AA222" s="185" t="e">
        <v>#N/A</v>
      </c>
      <c r="AB222" s="185" t="e">
        <v>#N/A</v>
      </c>
      <c r="AC222" s="201" t="e">
        <v>#N/A</v>
      </c>
      <c r="AD222" s="185" t="e">
        <v>#N/A</v>
      </c>
      <c r="AE222" s="185" t="e">
        <v>#N/A</v>
      </c>
      <c r="AF222" s="201" t="e">
        <v>#N/A</v>
      </c>
      <c r="AH222" s="152" t="e">
        <f t="shared" si="36"/>
        <v>#N/A</v>
      </c>
      <c r="AI222" s="152" t="e">
        <f t="shared" si="37"/>
        <v>#N/A</v>
      </c>
      <c r="AJ222" s="152" t="e">
        <f t="shared" si="38"/>
        <v>#N/A</v>
      </c>
      <c r="AK222" s="152" t="e">
        <f t="shared" si="39"/>
        <v>#N/A</v>
      </c>
      <c r="AL222" s="152" t="e">
        <f t="shared" si="40"/>
        <v>#N/A</v>
      </c>
      <c r="AM222" s="152" t="e">
        <f t="shared" si="41"/>
        <v>#N/A</v>
      </c>
      <c r="AN222" s="152" t="e">
        <f t="shared" si="42"/>
        <v>#N/A</v>
      </c>
      <c r="AO222" s="152" t="e">
        <f t="shared" si="43"/>
        <v>#N/A</v>
      </c>
      <c r="AP222" s="152" t="e">
        <f t="shared" si="44"/>
        <v>#N/A</v>
      </c>
      <c r="AQ222" s="152" t="e">
        <f t="shared" si="45"/>
        <v>#N/A</v>
      </c>
      <c r="AR222" s="152" t="e">
        <f t="shared" si="46"/>
        <v>#N/A</v>
      </c>
      <c r="AS222" s="152" t="e">
        <f t="shared" si="47"/>
        <v>#N/A</v>
      </c>
    </row>
    <row r="223" spans="8:45" ht="15.75" customHeight="1">
      <c r="H223" s="212" t="e">
        <v>#N/A</v>
      </c>
      <c r="I223" s="205" t="e">
        <v>#N/A</v>
      </c>
      <c r="J223" s="231" t="e">
        <v>#N/A</v>
      </c>
      <c r="K223" s="185" t="e">
        <v>#N/A</v>
      </c>
      <c r="L223" s="185" t="e">
        <v>#N/A</v>
      </c>
      <c r="M223" s="201" t="e">
        <v>#N/A</v>
      </c>
      <c r="N223" s="185" t="e">
        <v>#N/A</v>
      </c>
      <c r="O223" s="185" t="e">
        <v>#N/A</v>
      </c>
      <c r="P223" s="201" t="e">
        <v>#N/A</v>
      </c>
      <c r="Q223" s="205" t="e">
        <v>#N/A</v>
      </c>
      <c r="R223" s="231" t="e">
        <v>#N/A</v>
      </c>
      <c r="S223" s="185" t="e">
        <v>#N/A</v>
      </c>
      <c r="T223" s="185" t="e">
        <v>#N/A</v>
      </c>
      <c r="U223" s="201" t="e">
        <v>#N/A</v>
      </c>
      <c r="V223" s="185" t="e">
        <v>#N/A</v>
      </c>
      <c r="W223" s="185" t="e">
        <v>#N/A</v>
      </c>
      <c r="X223" s="201" t="e">
        <v>#N/A</v>
      </c>
      <c r="Y223" s="205" t="e">
        <v>#N/A</v>
      </c>
      <c r="Z223" s="231" t="e">
        <v>#N/A</v>
      </c>
      <c r="AA223" s="185" t="e">
        <v>#N/A</v>
      </c>
      <c r="AB223" s="185" t="e">
        <v>#N/A</v>
      </c>
      <c r="AC223" s="201" t="e">
        <v>#N/A</v>
      </c>
      <c r="AD223" s="185" t="e">
        <v>#N/A</v>
      </c>
      <c r="AE223" s="185" t="e">
        <v>#N/A</v>
      </c>
      <c r="AF223" s="201" t="e">
        <v>#N/A</v>
      </c>
      <c r="AH223" s="152" t="e">
        <f t="shared" si="36"/>
        <v>#N/A</v>
      </c>
      <c r="AI223" s="152" t="e">
        <f t="shared" si="37"/>
        <v>#N/A</v>
      </c>
      <c r="AJ223" s="152" t="e">
        <f t="shared" si="38"/>
        <v>#N/A</v>
      </c>
      <c r="AK223" s="152" t="e">
        <f t="shared" si="39"/>
        <v>#N/A</v>
      </c>
      <c r="AL223" s="152" t="e">
        <f t="shared" si="40"/>
        <v>#N/A</v>
      </c>
      <c r="AM223" s="152" t="e">
        <f t="shared" si="41"/>
        <v>#N/A</v>
      </c>
      <c r="AN223" s="152" t="e">
        <f t="shared" si="42"/>
        <v>#N/A</v>
      </c>
      <c r="AO223" s="152" t="e">
        <f t="shared" si="43"/>
        <v>#N/A</v>
      </c>
      <c r="AP223" s="152" t="e">
        <f t="shared" si="44"/>
        <v>#N/A</v>
      </c>
      <c r="AQ223" s="152" t="e">
        <f t="shared" si="45"/>
        <v>#N/A</v>
      </c>
      <c r="AR223" s="152" t="e">
        <f t="shared" si="46"/>
        <v>#N/A</v>
      </c>
      <c r="AS223" s="152" t="e">
        <f t="shared" si="47"/>
        <v>#N/A</v>
      </c>
    </row>
    <row r="224" spans="8:45" ht="15.75" customHeight="1">
      <c r="H224" s="212" t="e">
        <v>#N/A</v>
      </c>
      <c r="I224" s="205" t="e">
        <v>#N/A</v>
      </c>
      <c r="J224" s="231" t="e">
        <v>#N/A</v>
      </c>
      <c r="K224" s="185" t="e">
        <v>#N/A</v>
      </c>
      <c r="L224" s="185" t="e">
        <v>#N/A</v>
      </c>
      <c r="M224" s="201" t="e">
        <v>#N/A</v>
      </c>
      <c r="N224" s="185" t="e">
        <v>#N/A</v>
      </c>
      <c r="O224" s="185" t="e">
        <v>#N/A</v>
      </c>
      <c r="P224" s="201" t="e">
        <v>#N/A</v>
      </c>
      <c r="Q224" s="205" t="e">
        <v>#N/A</v>
      </c>
      <c r="R224" s="231" t="e">
        <v>#N/A</v>
      </c>
      <c r="S224" s="185" t="e">
        <v>#N/A</v>
      </c>
      <c r="T224" s="185" t="e">
        <v>#N/A</v>
      </c>
      <c r="U224" s="201" t="e">
        <v>#N/A</v>
      </c>
      <c r="V224" s="185" t="e">
        <v>#N/A</v>
      </c>
      <c r="W224" s="185" t="e">
        <v>#N/A</v>
      </c>
      <c r="X224" s="201" t="e">
        <v>#N/A</v>
      </c>
      <c r="Y224" s="205" t="e">
        <v>#N/A</v>
      </c>
      <c r="Z224" s="231" t="e">
        <v>#N/A</v>
      </c>
      <c r="AA224" s="185" t="e">
        <v>#N/A</v>
      </c>
      <c r="AB224" s="185" t="e">
        <v>#N/A</v>
      </c>
      <c r="AC224" s="201" t="e">
        <v>#N/A</v>
      </c>
      <c r="AD224" s="185" t="e">
        <v>#N/A</v>
      </c>
      <c r="AE224" s="185" t="e">
        <v>#N/A</v>
      </c>
      <c r="AF224" s="201" t="e">
        <v>#N/A</v>
      </c>
      <c r="AH224" s="152" t="e">
        <f t="shared" si="36"/>
        <v>#N/A</v>
      </c>
      <c r="AI224" s="152" t="e">
        <f t="shared" si="37"/>
        <v>#N/A</v>
      </c>
      <c r="AJ224" s="152" t="e">
        <f t="shared" si="38"/>
        <v>#N/A</v>
      </c>
      <c r="AK224" s="152" t="e">
        <f t="shared" si="39"/>
        <v>#N/A</v>
      </c>
      <c r="AL224" s="152" t="e">
        <f t="shared" si="40"/>
        <v>#N/A</v>
      </c>
      <c r="AM224" s="152" t="e">
        <f t="shared" si="41"/>
        <v>#N/A</v>
      </c>
      <c r="AN224" s="152" t="e">
        <f t="shared" si="42"/>
        <v>#N/A</v>
      </c>
      <c r="AO224" s="152" t="e">
        <f t="shared" si="43"/>
        <v>#N/A</v>
      </c>
      <c r="AP224" s="152" t="e">
        <f t="shared" si="44"/>
        <v>#N/A</v>
      </c>
      <c r="AQ224" s="152" t="e">
        <f t="shared" si="45"/>
        <v>#N/A</v>
      </c>
      <c r="AR224" s="152" t="e">
        <f t="shared" si="46"/>
        <v>#N/A</v>
      </c>
      <c r="AS224" s="152" t="e">
        <f t="shared" si="47"/>
        <v>#N/A</v>
      </c>
    </row>
    <row r="225" spans="8:45" ht="15.75" customHeight="1">
      <c r="H225" s="212" t="e">
        <v>#N/A</v>
      </c>
      <c r="I225" s="205" t="e">
        <v>#N/A</v>
      </c>
      <c r="J225" s="231" t="e">
        <v>#N/A</v>
      </c>
      <c r="K225" s="185" t="e">
        <v>#N/A</v>
      </c>
      <c r="L225" s="185" t="e">
        <v>#N/A</v>
      </c>
      <c r="M225" s="201" t="e">
        <v>#N/A</v>
      </c>
      <c r="N225" s="185" t="e">
        <v>#N/A</v>
      </c>
      <c r="O225" s="185" t="e">
        <v>#N/A</v>
      </c>
      <c r="P225" s="201" t="e">
        <v>#N/A</v>
      </c>
      <c r="Q225" s="205" t="e">
        <v>#N/A</v>
      </c>
      <c r="R225" s="231" t="e">
        <v>#N/A</v>
      </c>
      <c r="S225" s="185" t="e">
        <v>#N/A</v>
      </c>
      <c r="T225" s="185" t="e">
        <v>#N/A</v>
      </c>
      <c r="U225" s="201" t="e">
        <v>#N/A</v>
      </c>
      <c r="V225" s="185" t="e">
        <v>#N/A</v>
      </c>
      <c r="W225" s="185" t="e">
        <v>#N/A</v>
      </c>
      <c r="X225" s="201" t="e">
        <v>#N/A</v>
      </c>
      <c r="Y225" s="205" t="e">
        <v>#N/A</v>
      </c>
      <c r="Z225" s="231" t="e">
        <v>#N/A</v>
      </c>
      <c r="AA225" s="185" t="e">
        <v>#N/A</v>
      </c>
      <c r="AB225" s="185" t="e">
        <v>#N/A</v>
      </c>
      <c r="AC225" s="201" t="e">
        <v>#N/A</v>
      </c>
      <c r="AD225" s="185" t="e">
        <v>#N/A</v>
      </c>
      <c r="AE225" s="185" t="e">
        <v>#N/A</v>
      </c>
      <c r="AF225" s="201" t="e">
        <v>#N/A</v>
      </c>
      <c r="AH225" s="152" t="e">
        <f t="shared" si="36"/>
        <v>#N/A</v>
      </c>
      <c r="AI225" s="152" t="e">
        <f t="shared" si="37"/>
        <v>#N/A</v>
      </c>
      <c r="AJ225" s="152" t="e">
        <f t="shared" si="38"/>
        <v>#N/A</v>
      </c>
      <c r="AK225" s="152" t="e">
        <f t="shared" si="39"/>
        <v>#N/A</v>
      </c>
      <c r="AL225" s="152" t="e">
        <f t="shared" si="40"/>
        <v>#N/A</v>
      </c>
      <c r="AM225" s="152" t="e">
        <f t="shared" si="41"/>
        <v>#N/A</v>
      </c>
      <c r="AN225" s="152" t="e">
        <f t="shared" si="42"/>
        <v>#N/A</v>
      </c>
      <c r="AO225" s="152" t="e">
        <f t="shared" si="43"/>
        <v>#N/A</v>
      </c>
      <c r="AP225" s="152" t="e">
        <f t="shared" si="44"/>
        <v>#N/A</v>
      </c>
      <c r="AQ225" s="152" t="e">
        <f t="shared" si="45"/>
        <v>#N/A</v>
      </c>
      <c r="AR225" s="152" t="e">
        <f t="shared" si="46"/>
        <v>#N/A</v>
      </c>
      <c r="AS225" s="152" t="e">
        <f t="shared" si="47"/>
        <v>#N/A</v>
      </c>
    </row>
    <row r="226" spans="8:45" ht="15.75" customHeight="1">
      <c r="H226" s="212" t="e">
        <v>#N/A</v>
      </c>
      <c r="I226" s="205" t="e">
        <v>#N/A</v>
      </c>
      <c r="J226" s="231" t="e">
        <v>#N/A</v>
      </c>
      <c r="K226" s="185" t="e">
        <v>#N/A</v>
      </c>
      <c r="L226" s="185" t="e">
        <v>#N/A</v>
      </c>
      <c r="M226" s="201" t="e">
        <v>#N/A</v>
      </c>
      <c r="N226" s="185" t="e">
        <v>#N/A</v>
      </c>
      <c r="O226" s="185" t="e">
        <v>#N/A</v>
      </c>
      <c r="P226" s="201" t="e">
        <v>#N/A</v>
      </c>
      <c r="Q226" s="205" t="e">
        <v>#N/A</v>
      </c>
      <c r="R226" s="231" t="e">
        <v>#N/A</v>
      </c>
      <c r="S226" s="185" t="e">
        <v>#N/A</v>
      </c>
      <c r="T226" s="185" t="e">
        <v>#N/A</v>
      </c>
      <c r="U226" s="201" t="e">
        <v>#N/A</v>
      </c>
      <c r="V226" s="185" t="e">
        <v>#N/A</v>
      </c>
      <c r="W226" s="185" t="e">
        <v>#N/A</v>
      </c>
      <c r="X226" s="201" t="e">
        <v>#N/A</v>
      </c>
      <c r="Y226" s="205" t="e">
        <v>#N/A</v>
      </c>
      <c r="Z226" s="231" t="e">
        <v>#N/A</v>
      </c>
      <c r="AA226" s="185" t="e">
        <v>#N/A</v>
      </c>
      <c r="AB226" s="185" t="e">
        <v>#N/A</v>
      </c>
      <c r="AC226" s="201" t="e">
        <v>#N/A</v>
      </c>
      <c r="AD226" s="185" t="e">
        <v>#N/A</v>
      </c>
      <c r="AE226" s="185" t="e">
        <v>#N/A</v>
      </c>
      <c r="AF226" s="201" t="e">
        <v>#N/A</v>
      </c>
      <c r="AH226" s="152" t="e">
        <f t="shared" si="36"/>
        <v>#N/A</v>
      </c>
      <c r="AI226" s="152" t="e">
        <f t="shared" si="37"/>
        <v>#N/A</v>
      </c>
      <c r="AJ226" s="152" t="e">
        <f t="shared" si="38"/>
        <v>#N/A</v>
      </c>
      <c r="AK226" s="152" t="e">
        <f t="shared" si="39"/>
        <v>#N/A</v>
      </c>
      <c r="AL226" s="152" t="e">
        <f t="shared" si="40"/>
        <v>#N/A</v>
      </c>
      <c r="AM226" s="152" t="e">
        <f t="shared" si="41"/>
        <v>#N/A</v>
      </c>
      <c r="AN226" s="152" t="e">
        <f t="shared" si="42"/>
        <v>#N/A</v>
      </c>
      <c r="AO226" s="152" t="e">
        <f t="shared" si="43"/>
        <v>#N/A</v>
      </c>
      <c r="AP226" s="152" t="e">
        <f t="shared" si="44"/>
        <v>#N/A</v>
      </c>
      <c r="AQ226" s="152" t="e">
        <f t="shared" si="45"/>
        <v>#N/A</v>
      </c>
      <c r="AR226" s="152" t="e">
        <f t="shared" si="46"/>
        <v>#N/A</v>
      </c>
      <c r="AS226" s="152" t="e">
        <f t="shared" si="47"/>
        <v>#N/A</v>
      </c>
    </row>
    <row r="227" spans="8:45" ht="15.75" customHeight="1">
      <c r="H227" s="212" t="e">
        <v>#N/A</v>
      </c>
      <c r="I227" s="205" t="e">
        <v>#N/A</v>
      </c>
      <c r="J227" s="231" t="e">
        <v>#N/A</v>
      </c>
      <c r="K227" s="185" t="e">
        <v>#N/A</v>
      </c>
      <c r="L227" s="185" t="e">
        <v>#N/A</v>
      </c>
      <c r="M227" s="201" t="e">
        <v>#N/A</v>
      </c>
      <c r="N227" s="185" t="e">
        <v>#N/A</v>
      </c>
      <c r="O227" s="185" t="e">
        <v>#N/A</v>
      </c>
      <c r="P227" s="201" t="e">
        <v>#N/A</v>
      </c>
      <c r="Q227" s="205" t="e">
        <v>#N/A</v>
      </c>
      <c r="R227" s="231" t="e">
        <v>#N/A</v>
      </c>
      <c r="S227" s="185" t="e">
        <v>#N/A</v>
      </c>
      <c r="T227" s="185" t="e">
        <v>#N/A</v>
      </c>
      <c r="U227" s="201" t="e">
        <v>#N/A</v>
      </c>
      <c r="V227" s="185" t="e">
        <v>#N/A</v>
      </c>
      <c r="W227" s="185" t="e">
        <v>#N/A</v>
      </c>
      <c r="X227" s="201" t="e">
        <v>#N/A</v>
      </c>
      <c r="Y227" s="205" t="e">
        <v>#N/A</v>
      </c>
      <c r="Z227" s="231" t="e">
        <v>#N/A</v>
      </c>
      <c r="AA227" s="185" t="e">
        <v>#N/A</v>
      </c>
      <c r="AB227" s="185" t="e">
        <v>#N/A</v>
      </c>
      <c r="AC227" s="201" t="e">
        <v>#N/A</v>
      </c>
      <c r="AD227" s="185" t="e">
        <v>#N/A</v>
      </c>
      <c r="AE227" s="185" t="e">
        <v>#N/A</v>
      </c>
      <c r="AF227" s="201" t="e">
        <v>#N/A</v>
      </c>
      <c r="AH227" s="152" t="e">
        <f t="shared" si="36"/>
        <v>#N/A</v>
      </c>
      <c r="AI227" s="152" t="e">
        <f t="shared" si="37"/>
        <v>#N/A</v>
      </c>
      <c r="AJ227" s="152" t="e">
        <f t="shared" si="38"/>
        <v>#N/A</v>
      </c>
      <c r="AK227" s="152" t="e">
        <f t="shared" si="39"/>
        <v>#N/A</v>
      </c>
      <c r="AL227" s="152" t="e">
        <f t="shared" si="40"/>
        <v>#N/A</v>
      </c>
      <c r="AM227" s="152" t="e">
        <f t="shared" si="41"/>
        <v>#N/A</v>
      </c>
      <c r="AN227" s="152" t="e">
        <f t="shared" si="42"/>
        <v>#N/A</v>
      </c>
      <c r="AO227" s="152" t="e">
        <f t="shared" si="43"/>
        <v>#N/A</v>
      </c>
      <c r="AP227" s="152" t="e">
        <f t="shared" si="44"/>
        <v>#N/A</v>
      </c>
      <c r="AQ227" s="152" t="e">
        <f t="shared" si="45"/>
        <v>#N/A</v>
      </c>
      <c r="AR227" s="152" t="e">
        <f t="shared" si="46"/>
        <v>#N/A</v>
      </c>
      <c r="AS227" s="152" t="e">
        <f t="shared" si="47"/>
        <v>#N/A</v>
      </c>
    </row>
    <row r="228" spans="8:45" ht="15.75" customHeight="1">
      <c r="H228" s="212" t="e">
        <v>#N/A</v>
      </c>
      <c r="I228" s="205" t="e">
        <v>#N/A</v>
      </c>
      <c r="J228" s="231" t="e">
        <v>#N/A</v>
      </c>
      <c r="K228" s="185" t="e">
        <v>#N/A</v>
      </c>
      <c r="L228" s="185" t="e">
        <v>#N/A</v>
      </c>
      <c r="M228" s="201" t="e">
        <v>#N/A</v>
      </c>
      <c r="N228" s="185" t="e">
        <v>#N/A</v>
      </c>
      <c r="O228" s="185" t="e">
        <v>#N/A</v>
      </c>
      <c r="P228" s="201" t="e">
        <v>#N/A</v>
      </c>
      <c r="Q228" s="205" t="e">
        <v>#N/A</v>
      </c>
      <c r="R228" s="231" t="e">
        <v>#N/A</v>
      </c>
      <c r="S228" s="185" t="e">
        <v>#N/A</v>
      </c>
      <c r="T228" s="185" t="e">
        <v>#N/A</v>
      </c>
      <c r="U228" s="201" t="e">
        <v>#N/A</v>
      </c>
      <c r="V228" s="185" t="e">
        <v>#N/A</v>
      </c>
      <c r="W228" s="185" t="e">
        <v>#N/A</v>
      </c>
      <c r="X228" s="201" t="e">
        <v>#N/A</v>
      </c>
      <c r="Y228" s="205" t="e">
        <v>#N/A</v>
      </c>
      <c r="Z228" s="231" t="e">
        <v>#N/A</v>
      </c>
      <c r="AA228" s="185" t="e">
        <v>#N/A</v>
      </c>
      <c r="AB228" s="185" t="e">
        <v>#N/A</v>
      </c>
      <c r="AC228" s="201" t="e">
        <v>#N/A</v>
      </c>
      <c r="AD228" s="185" t="e">
        <v>#N/A</v>
      </c>
      <c r="AE228" s="185" t="e">
        <v>#N/A</v>
      </c>
      <c r="AF228" s="201" t="e">
        <v>#N/A</v>
      </c>
      <c r="AH228" s="152" t="e">
        <f t="shared" si="36"/>
        <v>#N/A</v>
      </c>
      <c r="AI228" s="152" t="e">
        <f t="shared" si="37"/>
        <v>#N/A</v>
      </c>
      <c r="AJ228" s="152" t="e">
        <f t="shared" si="38"/>
        <v>#N/A</v>
      </c>
      <c r="AK228" s="152" t="e">
        <f t="shared" si="39"/>
        <v>#N/A</v>
      </c>
      <c r="AL228" s="152" t="e">
        <f t="shared" si="40"/>
        <v>#N/A</v>
      </c>
      <c r="AM228" s="152" t="e">
        <f t="shared" si="41"/>
        <v>#N/A</v>
      </c>
      <c r="AN228" s="152" t="e">
        <f t="shared" si="42"/>
        <v>#N/A</v>
      </c>
      <c r="AO228" s="152" t="e">
        <f t="shared" si="43"/>
        <v>#N/A</v>
      </c>
      <c r="AP228" s="152" t="e">
        <f t="shared" si="44"/>
        <v>#N/A</v>
      </c>
      <c r="AQ228" s="152" t="e">
        <f t="shared" si="45"/>
        <v>#N/A</v>
      </c>
      <c r="AR228" s="152" t="e">
        <f t="shared" si="46"/>
        <v>#N/A</v>
      </c>
      <c r="AS228" s="152" t="e">
        <f t="shared" si="47"/>
        <v>#N/A</v>
      </c>
    </row>
    <row r="229" spans="8:45" ht="15.75" customHeight="1">
      <c r="H229" s="212" t="e">
        <v>#N/A</v>
      </c>
      <c r="I229" s="205" t="e">
        <v>#N/A</v>
      </c>
      <c r="J229" s="231" t="e">
        <v>#N/A</v>
      </c>
      <c r="K229" s="185" t="e">
        <v>#N/A</v>
      </c>
      <c r="L229" s="185" t="e">
        <v>#N/A</v>
      </c>
      <c r="M229" s="201" t="e">
        <v>#N/A</v>
      </c>
      <c r="N229" s="185" t="e">
        <v>#N/A</v>
      </c>
      <c r="O229" s="185" t="e">
        <v>#N/A</v>
      </c>
      <c r="P229" s="201" t="e">
        <v>#N/A</v>
      </c>
      <c r="Q229" s="205" t="e">
        <v>#N/A</v>
      </c>
      <c r="R229" s="231" t="e">
        <v>#N/A</v>
      </c>
      <c r="S229" s="185" t="e">
        <v>#N/A</v>
      </c>
      <c r="T229" s="185" t="e">
        <v>#N/A</v>
      </c>
      <c r="U229" s="201" t="e">
        <v>#N/A</v>
      </c>
      <c r="V229" s="185" t="e">
        <v>#N/A</v>
      </c>
      <c r="W229" s="185" t="e">
        <v>#N/A</v>
      </c>
      <c r="X229" s="201" t="e">
        <v>#N/A</v>
      </c>
      <c r="Y229" s="205" t="e">
        <v>#N/A</v>
      </c>
      <c r="Z229" s="231" t="e">
        <v>#N/A</v>
      </c>
      <c r="AA229" s="185" t="e">
        <v>#N/A</v>
      </c>
      <c r="AB229" s="185" t="e">
        <v>#N/A</v>
      </c>
      <c r="AC229" s="201" t="e">
        <v>#N/A</v>
      </c>
      <c r="AD229" s="185" t="e">
        <v>#N/A</v>
      </c>
      <c r="AE229" s="185" t="e">
        <v>#N/A</v>
      </c>
      <c r="AF229" s="201" t="e">
        <v>#N/A</v>
      </c>
      <c r="AH229" s="152" t="e">
        <f t="shared" si="36"/>
        <v>#N/A</v>
      </c>
      <c r="AI229" s="152" t="e">
        <f t="shared" si="37"/>
        <v>#N/A</v>
      </c>
      <c r="AJ229" s="152" t="e">
        <f t="shared" si="38"/>
        <v>#N/A</v>
      </c>
      <c r="AK229" s="152" t="e">
        <f t="shared" si="39"/>
        <v>#N/A</v>
      </c>
      <c r="AL229" s="152" t="e">
        <f t="shared" si="40"/>
        <v>#N/A</v>
      </c>
      <c r="AM229" s="152" t="e">
        <f t="shared" si="41"/>
        <v>#N/A</v>
      </c>
      <c r="AN229" s="152" t="e">
        <f t="shared" si="42"/>
        <v>#N/A</v>
      </c>
      <c r="AO229" s="152" t="e">
        <f t="shared" si="43"/>
        <v>#N/A</v>
      </c>
      <c r="AP229" s="152" t="e">
        <f t="shared" si="44"/>
        <v>#N/A</v>
      </c>
      <c r="AQ229" s="152" t="e">
        <f t="shared" si="45"/>
        <v>#N/A</v>
      </c>
      <c r="AR229" s="152" t="e">
        <f t="shared" si="46"/>
        <v>#N/A</v>
      </c>
      <c r="AS229" s="152" t="e">
        <f t="shared" si="47"/>
        <v>#N/A</v>
      </c>
    </row>
    <row r="230" spans="8:45" ht="15.75" customHeight="1">
      <c r="H230" s="212" t="e">
        <v>#N/A</v>
      </c>
      <c r="I230" s="205" t="e">
        <v>#N/A</v>
      </c>
      <c r="J230" s="231" t="e">
        <v>#N/A</v>
      </c>
      <c r="K230" s="185" t="e">
        <v>#N/A</v>
      </c>
      <c r="L230" s="185" t="e">
        <v>#N/A</v>
      </c>
      <c r="M230" s="201" t="e">
        <v>#N/A</v>
      </c>
      <c r="N230" s="185" t="e">
        <v>#N/A</v>
      </c>
      <c r="O230" s="185" t="e">
        <v>#N/A</v>
      </c>
      <c r="P230" s="201" t="e">
        <v>#N/A</v>
      </c>
      <c r="Q230" s="205" t="e">
        <v>#N/A</v>
      </c>
      <c r="R230" s="231" t="e">
        <v>#N/A</v>
      </c>
      <c r="S230" s="185" t="e">
        <v>#N/A</v>
      </c>
      <c r="T230" s="185" t="e">
        <v>#N/A</v>
      </c>
      <c r="U230" s="201" t="e">
        <v>#N/A</v>
      </c>
      <c r="V230" s="185" t="e">
        <v>#N/A</v>
      </c>
      <c r="W230" s="185" t="e">
        <v>#N/A</v>
      </c>
      <c r="X230" s="201" t="e">
        <v>#N/A</v>
      </c>
      <c r="Y230" s="205" t="e">
        <v>#N/A</v>
      </c>
      <c r="Z230" s="231" t="e">
        <v>#N/A</v>
      </c>
      <c r="AA230" s="185" t="e">
        <v>#N/A</v>
      </c>
      <c r="AB230" s="185" t="e">
        <v>#N/A</v>
      </c>
      <c r="AC230" s="201" t="e">
        <v>#N/A</v>
      </c>
      <c r="AD230" s="185" t="e">
        <v>#N/A</v>
      </c>
      <c r="AE230" s="185" t="e">
        <v>#N/A</v>
      </c>
      <c r="AF230" s="201" t="e">
        <v>#N/A</v>
      </c>
      <c r="AH230" s="152" t="e">
        <f t="shared" si="36"/>
        <v>#N/A</v>
      </c>
      <c r="AI230" s="152" t="e">
        <f t="shared" si="37"/>
        <v>#N/A</v>
      </c>
      <c r="AJ230" s="152" t="e">
        <f t="shared" si="38"/>
        <v>#N/A</v>
      </c>
      <c r="AK230" s="152" t="e">
        <f t="shared" si="39"/>
        <v>#N/A</v>
      </c>
      <c r="AL230" s="152" t="e">
        <f t="shared" si="40"/>
        <v>#N/A</v>
      </c>
      <c r="AM230" s="152" t="e">
        <f t="shared" si="41"/>
        <v>#N/A</v>
      </c>
      <c r="AN230" s="152" t="e">
        <f t="shared" si="42"/>
        <v>#N/A</v>
      </c>
      <c r="AO230" s="152" t="e">
        <f t="shared" si="43"/>
        <v>#N/A</v>
      </c>
      <c r="AP230" s="152" t="e">
        <f t="shared" si="44"/>
        <v>#N/A</v>
      </c>
      <c r="AQ230" s="152" t="e">
        <f t="shared" si="45"/>
        <v>#N/A</v>
      </c>
      <c r="AR230" s="152" t="e">
        <f t="shared" si="46"/>
        <v>#N/A</v>
      </c>
      <c r="AS230" s="152" t="e">
        <f t="shared" si="47"/>
        <v>#N/A</v>
      </c>
    </row>
    <row r="231" spans="8:45" ht="15.75" customHeight="1">
      <c r="H231" s="212" t="e">
        <v>#N/A</v>
      </c>
      <c r="I231" s="205" t="e">
        <v>#N/A</v>
      </c>
      <c r="J231" s="231" t="e">
        <v>#N/A</v>
      </c>
      <c r="K231" s="185" t="e">
        <v>#N/A</v>
      </c>
      <c r="L231" s="185" t="e">
        <v>#N/A</v>
      </c>
      <c r="M231" s="201" t="e">
        <v>#N/A</v>
      </c>
      <c r="N231" s="185" t="e">
        <v>#N/A</v>
      </c>
      <c r="O231" s="185" t="e">
        <v>#N/A</v>
      </c>
      <c r="P231" s="201" t="e">
        <v>#N/A</v>
      </c>
      <c r="Q231" s="205" t="e">
        <v>#N/A</v>
      </c>
      <c r="R231" s="231" t="e">
        <v>#N/A</v>
      </c>
      <c r="S231" s="185" t="e">
        <v>#N/A</v>
      </c>
      <c r="T231" s="185" t="e">
        <v>#N/A</v>
      </c>
      <c r="U231" s="201" t="e">
        <v>#N/A</v>
      </c>
      <c r="V231" s="185" t="e">
        <v>#N/A</v>
      </c>
      <c r="W231" s="185" t="e">
        <v>#N/A</v>
      </c>
      <c r="X231" s="201" t="e">
        <v>#N/A</v>
      </c>
      <c r="Y231" s="205" t="e">
        <v>#N/A</v>
      </c>
      <c r="Z231" s="231" t="e">
        <v>#N/A</v>
      </c>
      <c r="AA231" s="185" t="e">
        <v>#N/A</v>
      </c>
      <c r="AB231" s="185" t="e">
        <v>#N/A</v>
      </c>
      <c r="AC231" s="201" t="e">
        <v>#N/A</v>
      </c>
      <c r="AD231" s="185" t="e">
        <v>#N/A</v>
      </c>
      <c r="AE231" s="185" t="e">
        <v>#N/A</v>
      </c>
      <c r="AF231" s="201" t="e">
        <v>#N/A</v>
      </c>
      <c r="AH231" s="152" t="e">
        <f t="shared" si="36"/>
        <v>#N/A</v>
      </c>
      <c r="AI231" s="152" t="e">
        <f t="shared" si="37"/>
        <v>#N/A</v>
      </c>
      <c r="AJ231" s="152" t="e">
        <f t="shared" si="38"/>
        <v>#N/A</v>
      </c>
      <c r="AK231" s="152" t="e">
        <f t="shared" si="39"/>
        <v>#N/A</v>
      </c>
      <c r="AL231" s="152" t="e">
        <f t="shared" si="40"/>
        <v>#N/A</v>
      </c>
      <c r="AM231" s="152" t="e">
        <f t="shared" si="41"/>
        <v>#N/A</v>
      </c>
      <c r="AN231" s="152" t="e">
        <f t="shared" si="42"/>
        <v>#N/A</v>
      </c>
      <c r="AO231" s="152" t="e">
        <f t="shared" si="43"/>
        <v>#N/A</v>
      </c>
      <c r="AP231" s="152" t="e">
        <f t="shared" si="44"/>
        <v>#N/A</v>
      </c>
      <c r="AQ231" s="152" t="e">
        <f t="shared" si="45"/>
        <v>#N/A</v>
      </c>
      <c r="AR231" s="152" t="e">
        <f t="shared" si="46"/>
        <v>#N/A</v>
      </c>
      <c r="AS231" s="152" t="e">
        <f t="shared" si="47"/>
        <v>#N/A</v>
      </c>
    </row>
    <row r="232" spans="8:45" ht="15.75" customHeight="1">
      <c r="H232" s="212" t="e">
        <v>#N/A</v>
      </c>
      <c r="I232" s="205" t="e">
        <v>#N/A</v>
      </c>
      <c r="J232" s="231" t="e">
        <v>#N/A</v>
      </c>
      <c r="K232" s="185" t="e">
        <v>#N/A</v>
      </c>
      <c r="L232" s="185" t="e">
        <v>#N/A</v>
      </c>
      <c r="M232" s="201" t="e">
        <v>#N/A</v>
      </c>
      <c r="N232" s="185" t="e">
        <v>#N/A</v>
      </c>
      <c r="O232" s="185" t="e">
        <v>#N/A</v>
      </c>
      <c r="P232" s="201" t="e">
        <v>#N/A</v>
      </c>
      <c r="Q232" s="205" t="e">
        <v>#N/A</v>
      </c>
      <c r="R232" s="231" t="e">
        <v>#N/A</v>
      </c>
      <c r="S232" s="185" t="e">
        <v>#N/A</v>
      </c>
      <c r="T232" s="185" t="e">
        <v>#N/A</v>
      </c>
      <c r="U232" s="201" t="e">
        <v>#N/A</v>
      </c>
      <c r="V232" s="185" t="e">
        <v>#N/A</v>
      </c>
      <c r="W232" s="185" t="e">
        <v>#N/A</v>
      </c>
      <c r="X232" s="201" t="e">
        <v>#N/A</v>
      </c>
      <c r="Y232" s="205" t="e">
        <v>#N/A</v>
      </c>
      <c r="Z232" s="231" t="e">
        <v>#N/A</v>
      </c>
      <c r="AA232" s="185" t="e">
        <v>#N/A</v>
      </c>
      <c r="AB232" s="185" t="e">
        <v>#N/A</v>
      </c>
      <c r="AC232" s="201" t="e">
        <v>#N/A</v>
      </c>
      <c r="AD232" s="185" t="e">
        <v>#N/A</v>
      </c>
      <c r="AE232" s="185" t="e">
        <v>#N/A</v>
      </c>
      <c r="AF232" s="201" t="e">
        <v>#N/A</v>
      </c>
      <c r="AH232" s="152" t="e">
        <f t="shared" si="36"/>
        <v>#N/A</v>
      </c>
      <c r="AI232" s="152" t="e">
        <f t="shared" si="37"/>
        <v>#N/A</v>
      </c>
      <c r="AJ232" s="152" t="e">
        <f t="shared" si="38"/>
        <v>#N/A</v>
      </c>
      <c r="AK232" s="152" t="e">
        <f t="shared" si="39"/>
        <v>#N/A</v>
      </c>
      <c r="AL232" s="152" t="e">
        <f t="shared" si="40"/>
        <v>#N/A</v>
      </c>
      <c r="AM232" s="152" t="e">
        <f t="shared" si="41"/>
        <v>#N/A</v>
      </c>
      <c r="AN232" s="152" t="e">
        <f t="shared" si="42"/>
        <v>#N/A</v>
      </c>
      <c r="AO232" s="152" t="e">
        <f t="shared" si="43"/>
        <v>#N/A</v>
      </c>
      <c r="AP232" s="152" t="e">
        <f t="shared" si="44"/>
        <v>#N/A</v>
      </c>
      <c r="AQ232" s="152" t="e">
        <f t="shared" si="45"/>
        <v>#N/A</v>
      </c>
      <c r="AR232" s="152" t="e">
        <f t="shared" si="46"/>
        <v>#N/A</v>
      </c>
      <c r="AS232" s="152" t="e">
        <f t="shared" si="47"/>
        <v>#N/A</v>
      </c>
    </row>
    <row r="233" spans="8:45" ht="15.75" customHeight="1">
      <c r="H233" s="212" t="e">
        <v>#N/A</v>
      </c>
      <c r="I233" s="205" t="e">
        <v>#N/A</v>
      </c>
      <c r="J233" s="231" t="e">
        <v>#N/A</v>
      </c>
      <c r="K233" s="185" t="e">
        <v>#N/A</v>
      </c>
      <c r="L233" s="185" t="e">
        <v>#N/A</v>
      </c>
      <c r="M233" s="201" t="e">
        <v>#N/A</v>
      </c>
      <c r="N233" s="185" t="e">
        <v>#N/A</v>
      </c>
      <c r="O233" s="185" t="e">
        <v>#N/A</v>
      </c>
      <c r="P233" s="201" t="e">
        <v>#N/A</v>
      </c>
      <c r="Q233" s="205" t="e">
        <v>#N/A</v>
      </c>
      <c r="R233" s="231" t="e">
        <v>#N/A</v>
      </c>
      <c r="S233" s="185" t="e">
        <v>#N/A</v>
      </c>
      <c r="T233" s="185" t="e">
        <v>#N/A</v>
      </c>
      <c r="U233" s="201" t="e">
        <v>#N/A</v>
      </c>
      <c r="V233" s="185" t="e">
        <v>#N/A</v>
      </c>
      <c r="W233" s="185" t="e">
        <v>#N/A</v>
      </c>
      <c r="X233" s="201" t="e">
        <v>#N/A</v>
      </c>
      <c r="Y233" s="205" t="e">
        <v>#N/A</v>
      </c>
      <c r="Z233" s="231" t="e">
        <v>#N/A</v>
      </c>
      <c r="AA233" s="185" t="e">
        <v>#N/A</v>
      </c>
      <c r="AB233" s="185" t="e">
        <v>#N/A</v>
      </c>
      <c r="AC233" s="201" t="e">
        <v>#N/A</v>
      </c>
      <c r="AD233" s="185" t="e">
        <v>#N/A</v>
      </c>
      <c r="AE233" s="185" t="e">
        <v>#N/A</v>
      </c>
      <c r="AF233" s="201" t="e">
        <v>#N/A</v>
      </c>
      <c r="AH233" s="152" t="e">
        <f t="shared" si="36"/>
        <v>#N/A</v>
      </c>
      <c r="AI233" s="152" t="e">
        <f t="shared" si="37"/>
        <v>#N/A</v>
      </c>
      <c r="AJ233" s="152" t="e">
        <f t="shared" si="38"/>
        <v>#N/A</v>
      </c>
      <c r="AK233" s="152" t="e">
        <f t="shared" si="39"/>
        <v>#N/A</v>
      </c>
      <c r="AL233" s="152" t="e">
        <f t="shared" si="40"/>
        <v>#N/A</v>
      </c>
      <c r="AM233" s="152" t="e">
        <f t="shared" si="41"/>
        <v>#N/A</v>
      </c>
      <c r="AN233" s="152" t="e">
        <f t="shared" si="42"/>
        <v>#N/A</v>
      </c>
      <c r="AO233" s="152" t="e">
        <f t="shared" si="43"/>
        <v>#N/A</v>
      </c>
      <c r="AP233" s="152" t="e">
        <f t="shared" si="44"/>
        <v>#N/A</v>
      </c>
      <c r="AQ233" s="152" t="e">
        <f t="shared" si="45"/>
        <v>#N/A</v>
      </c>
      <c r="AR233" s="152" t="e">
        <f t="shared" si="46"/>
        <v>#N/A</v>
      </c>
      <c r="AS233" s="152" t="e">
        <f t="shared" si="47"/>
        <v>#N/A</v>
      </c>
    </row>
    <row r="234" spans="8:45" ht="15.75" customHeight="1">
      <c r="H234" s="212" t="e">
        <v>#N/A</v>
      </c>
      <c r="I234" s="205" t="e">
        <v>#N/A</v>
      </c>
      <c r="J234" s="231" t="e">
        <v>#N/A</v>
      </c>
      <c r="K234" s="185" t="e">
        <v>#N/A</v>
      </c>
      <c r="L234" s="185" t="e">
        <v>#N/A</v>
      </c>
      <c r="M234" s="201" t="e">
        <v>#N/A</v>
      </c>
      <c r="N234" s="185" t="e">
        <v>#N/A</v>
      </c>
      <c r="O234" s="185" t="e">
        <v>#N/A</v>
      </c>
      <c r="P234" s="201" t="e">
        <v>#N/A</v>
      </c>
      <c r="Q234" s="205" t="e">
        <v>#N/A</v>
      </c>
      <c r="R234" s="231" t="e">
        <v>#N/A</v>
      </c>
      <c r="S234" s="185" t="e">
        <v>#N/A</v>
      </c>
      <c r="T234" s="185" t="e">
        <v>#N/A</v>
      </c>
      <c r="U234" s="201" t="e">
        <v>#N/A</v>
      </c>
      <c r="V234" s="185" t="e">
        <v>#N/A</v>
      </c>
      <c r="W234" s="185" t="e">
        <v>#N/A</v>
      </c>
      <c r="X234" s="201" t="e">
        <v>#N/A</v>
      </c>
      <c r="Y234" s="205" t="e">
        <v>#N/A</v>
      </c>
      <c r="Z234" s="231" t="e">
        <v>#N/A</v>
      </c>
      <c r="AA234" s="185" t="e">
        <v>#N/A</v>
      </c>
      <c r="AB234" s="185" t="e">
        <v>#N/A</v>
      </c>
      <c r="AC234" s="201" t="e">
        <v>#N/A</v>
      </c>
      <c r="AD234" s="185" t="e">
        <v>#N/A</v>
      </c>
      <c r="AE234" s="185" t="e">
        <v>#N/A</v>
      </c>
      <c r="AF234" s="201" t="e">
        <v>#N/A</v>
      </c>
      <c r="AH234" s="152" t="e">
        <f t="shared" si="36"/>
        <v>#N/A</v>
      </c>
      <c r="AI234" s="152" t="e">
        <f t="shared" si="37"/>
        <v>#N/A</v>
      </c>
      <c r="AJ234" s="152" t="e">
        <f t="shared" si="38"/>
        <v>#N/A</v>
      </c>
      <c r="AK234" s="152" t="e">
        <f t="shared" si="39"/>
        <v>#N/A</v>
      </c>
      <c r="AL234" s="152" t="e">
        <f t="shared" si="40"/>
        <v>#N/A</v>
      </c>
      <c r="AM234" s="152" t="e">
        <f t="shared" si="41"/>
        <v>#N/A</v>
      </c>
      <c r="AN234" s="152" t="e">
        <f t="shared" si="42"/>
        <v>#N/A</v>
      </c>
      <c r="AO234" s="152" t="e">
        <f t="shared" si="43"/>
        <v>#N/A</v>
      </c>
      <c r="AP234" s="152" t="e">
        <f t="shared" si="44"/>
        <v>#N/A</v>
      </c>
      <c r="AQ234" s="152" t="e">
        <f t="shared" si="45"/>
        <v>#N/A</v>
      </c>
      <c r="AR234" s="152" t="e">
        <f t="shared" si="46"/>
        <v>#N/A</v>
      </c>
      <c r="AS234" s="152" t="e">
        <f t="shared" si="47"/>
        <v>#N/A</v>
      </c>
    </row>
    <row r="235" spans="8:45" ht="15.75" customHeight="1">
      <c r="H235" s="212" t="e">
        <v>#N/A</v>
      </c>
      <c r="I235" s="205" t="e">
        <v>#N/A</v>
      </c>
      <c r="J235" s="231" t="e">
        <v>#N/A</v>
      </c>
      <c r="K235" s="185" t="e">
        <v>#N/A</v>
      </c>
      <c r="L235" s="185" t="e">
        <v>#N/A</v>
      </c>
      <c r="M235" s="201" t="e">
        <v>#N/A</v>
      </c>
      <c r="N235" s="185" t="e">
        <v>#N/A</v>
      </c>
      <c r="O235" s="185" t="e">
        <v>#N/A</v>
      </c>
      <c r="P235" s="201" t="e">
        <v>#N/A</v>
      </c>
      <c r="Q235" s="205" t="e">
        <v>#N/A</v>
      </c>
      <c r="R235" s="231" t="e">
        <v>#N/A</v>
      </c>
      <c r="S235" s="185" t="e">
        <v>#N/A</v>
      </c>
      <c r="T235" s="185" t="e">
        <v>#N/A</v>
      </c>
      <c r="U235" s="201" t="e">
        <v>#N/A</v>
      </c>
      <c r="V235" s="185" t="e">
        <v>#N/A</v>
      </c>
      <c r="W235" s="185" t="e">
        <v>#N/A</v>
      </c>
      <c r="X235" s="201" t="e">
        <v>#N/A</v>
      </c>
      <c r="Y235" s="205" t="e">
        <v>#N/A</v>
      </c>
      <c r="Z235" s="231" t="e">
        <v>#N/A</v>
      </c>
      <c r="AA235" s="185" t="e">
        <v>#N/A</v>
      </c>
      <c r="AB235" s="185" t="e">
        <v>#N/A</v>
      </c>
      <c r="AC235" s="201" t="e">
        <v>#N/A</v>
      </c>
      <c r="AD235" s="185" t="e">
        <v>#N/A</v>
      </c>
      <c r="AE235" s="185" t="e">
        <v>#N/A</v>
      </c>
      <c r="AF235" s="201" t="e">
        <v>#N/A</v>
      </c>
      <c r="AH235" s="152" t="e">
        <f t="shared" si="36"/>
        <v>#N/A</v>
      </c>
      <c r="AI235" s="152" t="e">
        <f t="shared" si="37"/>
        <v>#N/A</v>
      </c>
      <c r="AJ235" s="152" t="e">
        <f t="shared" si="38"/>
        <v>#N/A</v>
      </c>
      <c r="AK235" s="152" t="e">
        <f t="shared" si="39"/>
        <v>#N/A</v>
      </c>
      <c r="AL235" s="152" t="e">
        <f t="shared" si="40"/>
        <v>#N/A</v>
      </c>
      <c r="AM235" s="152" t="e">
        <f t="shared" si="41"/>
        <v>#N/A</v>
      </c>
      <c r="AN235" s="152" t="e">
        <f t="shared" si="42"/>
        <v>#N/A</v>
      </c>
      <c r="AO235" s="152" t="e">
        <f t="shared" si="43"/>
        <v>#N/A</v>
      </c>
      <c r="AP235" s="152" t="e">
        <f t="shared" si="44"/>
        <v>#N/A</v>
      </c>
      <c r="AQ235" s="152" t="e">
        <f t="shared" si="45"/>
        <v>#N/A</v>
      </c>
      <c r="AR235" s="152" t="e">
        <f t="shared" si="46"/>
        <v>#N/A</v>
      </c>
      <c r="AS235" s="152" t="e">
        <f t="shared" si="47"/>
        <v>#N/A</v>
      </c>
    </row>
    <row r="236" spans="8:45" ht="15.75" customHeight="1">
      <c r="H236" s="212" t="e">
        <v>#N/A</v>
      </c>
      <c r="I236" s="205" t="e">
        <v>#N/A</v>
      </c>
      <c r="J236" s="231" t="e">
        <v>#N/A</v>
      </c>
      <c r="K236" s="185" t="e">
        <v>#N/A</v>
      </c>
      <c r="L236" s="185" t="e">
        <v>#N/A</v>
      </c>
      <c r="M236" s="201" t="e">
        <v>#N/A</v>
      </c>
      <c r="N236" s="185" t="e">
        <v>#N/A</v>
      </c>
      <c r="O236" s="185" t="e">
        <v>#N/A</v>
      </c>
      <c r="P236" s="201" t="e">
        <v>#N/A</v>
      </c>
      <c r="Q236" s="205" t="e">
        <v>#N/A</v>
      </c>
      <c r="R236" s="231" t="e">
        <v>#N/A</v>
      </c>
      <c r="S236" s="185" t="e">
        <v>#N/A</v>
      </c>
      <c r="T236" s="185" t="e">
        <v>#N/A</v>
      </c>
      <c r="U236" s="201" t="e">
        <v>#N/A</v>
      </c>
      <c r="V236" s="185" t="e">
        <v>#N/A</v>
      </c>
      <c r="W236" s="185" t="e">
        <v>#N/A</v>
      </c>
      <c r="X236" s="201" t="e">
        <v>#N/A</v>
      </c>
      <c r="Y236" s="205" t="e">
        <v>#N/A</v>
      </c>
      <c r="Z236" s="231" t="e">
        <v>#N/A</v>
      </c>
      <c r="AA236" s="185" t="e">
        <v>#N/A</v>
      </c>
      <c r="AB236" s="185" t="e">
        <v>#N/A</v>
      </c>
      <c r="AC236" s="201" t="e">
        <v>#N/A</v>
      </c>
      <c r="AD236" s="185" t="e">
        <v>#N/A</v>
      </c>
      <c r="AE236" s="185" t="e">
        <v>#N/A</v>
      </c>
      <c r="AF236" s="201" t="e">
        <v>#N/A</v>
      </c>
      <c r="AH236" s="152" t="e">
        <f t="shared" si="36"/>
        <v>#N/A</v>
      </c>
      <c r="AI236" s="152" t="e">
        <f t="shared" si="37"/>
        <v>#N/A</v>
      </c>
      <c r="AJ236" s="152" t="e">
        <f t="shared" si="38"/>
        <v>#N/A</v>
      </c>
      <c r="AK236" s="152" t="e">
        <f t="shared" si="39"/>
        <v>#N/A</v>
      </c>
      <c r="AL236" s="152" t="e">
        <f t="shared" si="40"/>
        <v>#N/A</v>
      </c>
      <c r="AM236" s="152" t="e">
        <f t="shared" si="41"/>
        <v>#N/A</v>
      </c>
      <c r="AN236" s="152" t="e">
        <f t="shared" si="42"/>
        <v>#N/A</v>
      </c>
      <c r="AO236" s="152" t="e">
        <f t="shared" si="43"/>
        <v>#N/A</v>
      </c>
      <c r="AP236" s="152" t="e">
        <f t="shared" si="44"/>
        <v>#N/A</v>
      </c>
      <c r="AQ236" s="152" t="e">
        <f t="shared" si="45"/>
        <v>#N/A</v>
      </c>
      <c r="AR236" s="152" t="e">
        <f t="shared" si="46"/>
        <v>#N/A</v>
      </c>
      <c r="AS236" s="152" t="e">
        <f t="shared" si="47"/>
        <v>#N/A</v>
      </c>
    </row>
    <row r="237" spans="8:45" ht="15.75" customHeight="1">
      <c r="H237" s="212" t="e">
        <v>#N/A</v>
      </c>
      <c r="I237" s="205" t="e">
        <v>#N/A</v>
      </c>
      <c r="J237" s="231" t="e">
        <v>#N/A</v>
      </c>
      <c r="K237" s="185" t="e">
        <v>#N/A</v>
      </c>
      <c r="L237" s="185" t="e">
        <v>#N/A</v>
      </c>
      <c r="M237" s="201" t="e">
        <v>#N/A</v>
      </c>
      <c r="N237" s="185" t="e">
        <v>#N/A</v>
      </c>
      <c r="O237" s="185" t="e">
        <v>#N/A</v>
      </c>
      <c r="P237" s="201" t="e">
        <v>#N/A</v>
      </c>
      <c r="Q237" s="205" t="e">
        <v>#N/A</v>
      </c>
      <c r="R237" s="231" t="e">
        <v>#N/A</v>
      </c>
      <c r="S237" s="185" t="e">
        <v>#N/A</v>
      </c>
      <c r="T237" s="185" t="e">
        <v>#N/A</v>
      </c>
      <c r="U237" s="201" t="e">
        <v>#N/A</v>
      </c>
      <c r="V237" s="185" t="e">
        <v>#N/A</v>
      </c>
      <c r="W237" s="185" t="e">
        <v>#N/A</v>
      </c>
      <c r="X237" s="201" t="e">
        <v>#N/A</v>
      </c>
      <c r="Y237" s="205" t="e">
        <v>#N/A</v>
      </c>
      <c r="Z237" s="231" t="e">
        <v>#N/A</v>
      </c>
      <c r="AA237" s="185" t="e">
        <v>#N/A</v>
      </c>
      <c r="AB237" s="185" t="e">
        <v>#N/A</v>
      </c>
      <c r="AC237" s="201" t="e">
        <v>#N/A</v>
      </c>
      <c r="AD237" s="185" t="e">
        <v>#N/A</v>
      </c>
      <c r="AE237" s="185" t="e">
        <v>#N/A</v>
      </c>
      <c r="AF237" s="201" t="e">
        <v>#N/A</v>
      </c>
      <c r="AH237" s="152" t="e">
        <f t="shared" si="36"/>
        <v>#N/A</v>
      </c>
      <c r="AI237" s="152" t="e">
        <f t="shared" si="37"/>
        <v>#N/A</v>
      </c>
      <c r="AJ237" s="152" t="e">
        <f t="shared" si="38"/>
        <v>#N/A</v>
      </c>
      <c r="AK237" s="152" t="e">
        <f t="shared" si="39"/>
        <v>#N/A</v>
      </c>
      <c r="AL237" s="152" t="e">
        <f t="shared" si="40"/>
        <v>#N/A</v>
      </c>
      <c r="AM237" s="152" t="e">
        <f t="shared" si="41"/>
        <v>#N/A</v>
      </c>
      <c r="AN237" s="152" t="e">
        <f t="shared" si="42"/>
        <v>#N/A</v>
      </c>
      <c r="AO237" s="152" t="e">
        <f t="shared" si="43"/>
        <v>#N/A</v>
      </c>
      <c r="AP237" s="152" t="e">
        <f t="shared" si="44"/>
        <v>#N/A</v>
      </c>
      <c r="AQ237" s="152" t="e">
        <f t="shared" si="45"/>
        <v>#N/A</v>
      </c>
      <c r="AR237" s="152" t="e">
        <f t="shared" si="46"/>
        <v>#N/A</v>
      </c>
      <c r="AS237" s="152" t="e">
        <f t="shared" si="47"/>
        <v>#N/A</v>
      </c>
    </row>
    <row r="238" spans="8:45" ht="15.75" customHeight="1">
      <c r="H238" s="212" t="e">
        <v>#N/A</v>
      </c>
      <c r="I238" s="205" t="e">
        <v>#N/A</v>
      </c>
      <c r="J238" s="231" t="e">
        <v>#N/A</v>
      </c>
      <c r="K238" s="185" t="e">
        <v>#N/A</v>
      </c>
      <c r="L238" s="185" t="e">
        <v>#N/A</v>
      </c>
      <c r="M238" s="201" t="e">
        <v>#N/A</v>
      </c>
      <c r="N238" s="185" t="e">
        <v>#N/A</v>
      </c>
      <c r="O238" s="185" t="e">
        <v>#N/A</v>
      </c>
      <c r="P238" s="201" t="e">
        <v>#N/A</v>
      </c>
      <c r="Q238" s="205" t="e">
        <v>#N/A</v>
      </c>
      <c r="R238" s="231" t="e">
        <v>#N/A</v>
      </c>
      <c r="S238" s="185" t="e">
        <v>#N/A</v>
      </c>
      <c r="T238" s="185" t="e">
        <v>#N/A</v>
      </c>
      <c r="U238" s="201" t="e">
        <v>#N/A</v>
      </c>
      <c r="V238" s="185" t="e">
        <v>#N/A</v>
      </c>
      <c r="W238" s="185" t="e">
        <v>#N/A</v>
      </c>
      <c r="X238" s="201" t="e">
        <v>#N/A</v>
      </c>
      <c r="Y238" s="205" t="e">
        <v>#N/A</v>
      </c>
      <c r="Z238" s="231" t="e">
        <v>#N/A</v>
      </c>
      <c r="AA238" s="185" t="e">
        <v>#N/A</v>
      </c>
      <c r="AB238" s="185" t="e">
        <v>#N/A</v>
      </c>
      <c r="AC238" s="201" t="e">
        <v>#N/A</v>
      </c>
      <c r="AD238" s="185" t="e">
        <v>#N/A</v>
      </c>
      <c r="AE238" s="185" t="e">
        <v>#N/A</v>
      </c>
      <c r="AF238" s="201" t="e">
        <v>#N/A</v>
      </c>
      <c r="AH238" s="152" t="e">
        <f t="shared" si="36"/>
        <v>#N/A</v>
      </c>
      <c r="AI238" s="152" t="e">
        <f t="shared" si="37"/>
        <v>#N/A</v>
      </c>
      <c r="AJ238" s="152" t="e">
        <f t="shared" si="38"/>
        <v>#N/A</v>
      </c>
      <c r="AK238" s="152" t="e">
        <f t="shared" si="39"/>
        <v>#N/A</v>
      </c>
      <c r="AL238" s="152" t="e">
        <f t="shared" si="40"/>
        <v>#N/A</v>
      </c>
      <c r="AM238" s="152" t="e">
        <f t="shared" si="41"/>
        <v>#N/A</v>
      </c>
      <c r="AN238" s="152" t="e">
        <f t="shared" si="42"/>
        <v>#N/A</v>
      </c>
      <c r="AO238" s="152" t="e">
        <f t="shared" si="43"/>
        <v>#N/A</v>
      </c>
      <c r="AP238" s="152" t="e">
        <f t="shared" si="44"/>
        <v>#N/A</v>
      </c>
      <c r="AQ238" s="152" t="e">
        <f t="shared" si="45"/>
        <v>#N/A</v>
      </c>
      <c r="AR238" s="152" t="e">
        <f t="shared" si="46"/>
        <v>#N/A</v>
      </c>
      <c r="AS238" s="152" t="e">
        <f t="shared" si="47"/>
        <v>#N/A</v>
      </c>
    </row>
    <row r="239" spans="8:45" ht="15.75" customHeight="1">
      <c r="H239" s="212" t="e">
        <v>#N/A</v>
      </c>
      <c r="I239" s="205" t="e">
        <v>#N/A</v>
      </c>
      <c r="J239" s="231" t="e">
        <v>#N/A</v>
      </c>
      <c r="K239" s="185" t="e">
        <v>#N/A</v>
      </c>
      <c r="L239" s="185" t="e">
        <v>#N/A</v>
      </c>
      <c r="M239" s="201" t="e">
        <v>#N/A</v>
      </c>
      <c r="N239" s="185" t="e">
        <v>#N/A</v>
      </c>
      <c r="O239" s="185" t="e">
        <v>#N/A</v>
      </c>
      <c r="P239" s="201" t="e">
        <v>#N/A</v>
      </c>
      <c r="Q239" s="205" t="e">
        <v>#N/A</v>
      </c>
      <c r="R239" s="231" t="e">
        <v>#N/A</v>
      </c>
      <c r="S239" s="185" t="e">
        <v>#N/A</v>
      </c>
      <c r="T239" s="185" t="e">
        <v>#N/A</v>
      </c>
      <c r="U239" s="201" t="e">
        <v>#N/A</v>
      </c>
      <c r="V239" s="185" t="e">
        <v>#N/A</v>
      </c>
      <c r="W239" s="185" t="e">
        <v>#N/A</v>
      </c>
      <c r="X239" s="201" t="e">
        <v>#N/A</v>
      </c>
      <c r="Y239" s="205" t="e">
        <v>#N/A</v>
      </c>
      <c r="Z239" s="231" t="e">
        <v>#N/A</v>
      </c>
      <c r="AA239" s="185" t="e">
        <v>#N/A</v>
      </c>
      <c r="AB239" s="185" t="e">
        <v>#N/A</v>
      </c>
      <c r="AC239" s="201" t="e">
        <v>#N/A</v>
      </c>
      <c r="AD239" s="185" t="e">
        <v>#N/A</v>
      </c>
      <c r="AE239" s="185" t="e">
        <v>#N/A</v>
      </c>
      <c r="AF239" s="201" t="e">
        <v>#N/A</v>
      </c>
      <c r="AH239" s="152" t="e">
        <f t="shared" si="36"/>
        <v>#N/A</v>
      </c>
      <c r="AI239" s="152" t="e">
        <f t="shared" si="37"/>
        <v>#N/A</v>
      </c>
      <c r="AJ239" s="152" t="e">
        <f t="shared" si="38"/>
        <v>#N/A</v>
      </c>
      <c r="AK239" s="152" t="e">
        <f t="shared" si="39"/>
        <v>#N/A</v>
      </c>
      <c r="AL239" s="152" t="e">
        <f t="shared" si="40"/>
        <v>#N/A</v>
      </c>
      <c r="AM239" s="152" t="e">
        <f t="shared" si="41"/>
        <v>#N/A</v>
      </c>
      <c r="AN239" s="152" t="e">
        <f t="shared" si="42"/>
        <v>#N/A</v>
      </c>
      <c r="AO239" s="152" t="e">
        <f t="shared" si="43"/>
        <v>#N/A</v>
      </c>
      <c r="AP239" s="152" t="e">
        <f t="shared" si="44"/>
        <v>#N/A</v>
      </c>
      <c r="AQ239" s="152" t="e">
        <f t="shared" si="45"/>
        <v>#N/A</v>
      </c>
      <c r="AR239" s="152" t="e">
        <f t="shared" si="46"/>
        <v>#N/A</v>
      </c>
      <c r="AS239" s="152" t="e">
        <f t="shared" si="47"/>
        <v>#N/A</v>
      </c>
    </row>
    <row r="240" spans="8:45" ht="15.75" customHeight="1">
      <c r="H240" s="212" t="e">
        <v>#N/A</v>
      </c>
      <c r="I240" s="205" t="e">
        <v>#N/A</v>
      </c>
      <c r="J240" s="231" t="e">
        <v>#N/A</v>
      </c>
      <c r="K240" s="185" t="e">
        <v>#N/A</v>
      </c>
      <c r="L240" s="185" t="e">
        <v>#N/A</v>
      </c>
      <c r="M240" s="201" t="e">
        <v>#N/A</v>
      </c>
      <c r="N240" s="185" t="e">
        <v>#N/A</v>
      </c>
      <c r="O240" s="185" t="e">
        <v>#N/A</v>
      </c>
      <c r="P240" s="201" t="e">
        <v>#N/A</v>
      </c>
      <c r="Q240" s="205" t="e">
        <v>#N/A</v>
      </c>
      <c r="R240" s="231" t="e">
        <v>#N/A</v>
      </c>
      <c r="S240" s="185" t="e">
        <v>#N/A</v>
      </c>
      <c r="T240" s="185" t="e">
        <v>#N/A</v>
      </c>
      <c r="U240" s="201" t="e">
        <v>#N/A</v>
      </c>
      <c r="V240" s="185" t="e">
        <v>#N/A</v>
      </c>
      <c r="W240" s="185" t="e">
        <v>#N/A</v>
      </c>
      <c r="X240" s="201" t="e">
        <v>#N/A</v>
      </c>
      <c r="Y240" s="205" t="e">
        <v>#N/A</v>
      </c>
      <c r="Z240" s="231" t="e">
        <v>#N/A</v>
      </c>
      <c r="AA240" s="185" t="e">
        <v>#N/A</v>
      </c>
      <c r="AB240" s="185" t="e">
        <v>#N/A</v>
      </c>
      <c r="AC240" s="201" t="e">
        <v>#N/A</v>
      </c>
      <c r="AD240" s="185" t="e">
        <v>#N/A</v>
      </c>
      <c r="AE240" s="185" t="e">
        <v>#N/A</v>
      </c>
      <c r="AF240" s="201" t="e">
        <v>#N/A</v>
      </c>
      <c r="AH240" s="152" t="e">
        <f t="shared" si="36"/>
        <v>#N/A</v>
      </c>
      <c r="AI240" s="152" t="e">
        <f t="shared" si="37"/>
        <v>#N/A</v>
      </c>
      <c r="AJ240" s="152" t="e">
        <f t="shared" si="38"/>
        <v>#N/A</v>
      </c>
      <c r="AK240" s="152" t="e">
        <f t="shared" si="39"/>
        <v>#N/A</v>
      </c>
      <c r="AL240" s="152" t="e">
        <f t="shared" si="40"/>
        <v>#N/A</v>
      </c>
      <c r="AM240" s="152" t="e">
        <f t="shared" si="41"/>
        <v>#N/A</v>
      </c>
      <c r="AN240" s="152" t="e">
        <f t="shared" si="42"/>
        <v>#N/A</v>
      </c>
      <c r="AO240" s="152" t="e">
        <f t="shared" si="43"/>
        <v>#N/A</v>
      </c>
      <c r="AP240" s="152" t="e">
        <f t="shared" si="44"/>
        <v>#N/A</v>
      </c>
      <c r="AQ240" s="152" t="e">
        <f t="shared" si="45"/>
        <v>#N/A</v>
      </c>
      <c r="AR240" s="152" t="e">
        <f t="shared" si="46"/>
        <v>#N/A</v>
      </c>
      <c r="AS240" s="152" t="e">
        <f t="shared" si="47"/>
        <v>#N/A</v>
      </c>
    </row>
    <row r="241" spans="8:45" ht="15.75" customHeight="1">
      <c r="H241" s="212" t="e">
        <v>#N/A</v>
      </c>
      <c r="I241" s="205" t="e">
        <v>#N/A</v>
      </c>
      <c r="J241" s="231" t="e">
        <v>#N/A</v>
      </c>
      <c r="K241" s="185" t="e">
        <v>#N/A</v>
      </c>
      <c r="L241" s="185" t="e">
        <v>#N/A</v>
      </c>
      <c r="M241" s="201" t="e">
        <v>#N/A</v>
      </c>
      <c r="N241" s="185" t="e">
        <v>#N/A</v>
      </c>
      <c r="O241" s="185" t="e">
        <v>#N/A</v>
      </c>
      <c r="P241" s="201" t="e">
        <v>#N/A</v>
      </c>
      <c r="Q241" s="205" t="e">
        <v>#N/A</v>
      </c>
      <c r="R241" s="231" t="e">
        <v>#N/A</v>
      </c>
      <c r="S241" s="185" t="e">
        <v>#N/A</v>
      </c>
      <c r="T241" s="185" t="e">
        <v>#N/A</v>
      </c>
      <c r="U241" s="201" t="e">
        <v>#N/A</v>
      </c>
      <c r="V241" s="185" t="e">
        <v>#N/A</v>
      </c>
      <c r="W241" s="185" t="e">
        <v>#N/A</v>
      </c>
      <c r="X241" s="201" t="e">
        <v>#N/A</v>
      </c>
      <c r="Y241" s="205" t="e">
        <v>#N/A</v>
      </c>
      <c r="Z241" s="231" t="e">
        <v>#N/A</v>
      </c>
      <c r="AA241" s="185" t="e">
        <v>#N/A</v>
      </c>
      <c r="AB241" s="185" t="e">
        <v>#N/A</v>
      </c>
      <c r="AC241" s="201" t="e">
        <v>#N/A</v>
      </c>
      <c r="AD241" s="185" t="e">
        <v>#N/A</v>
      </c>
      <c r="AE241" s="185" t="e">
        <v>#N/A</v>
      </c>
      <c r="AF241" s="201" t="e">
        <v>#N/A</v>
      </c>
      <c r="AH241" s="152" t="e">
        <f t="shared" si="36"/>
        <v>#N/A</v>
      </c>
      <c r="AI241" s="152" t="e">
        <f t="shared" si="37"/>
        <v>#N/A</v>
      </c>
      <c r="AJ241" s="152" t="e">
        <f t="shared" si="38"/>
        <v>#N/A</v>
      </c>
      <c r="AK241" s="152" t="e">
        <f t="shared" si="39"/>
        <v>#N/A</v>
      </c>
      <c r="AL241" s="152" t="e">
        <f t="shared" si="40"/>
        <v>#N/A</v>
      </c>
      <c r="AM241" s="152" t="e">
        <f t="shared" si="41"/>
        <v>#N/A</v>
      </c>
      <c r="AN241" s="152" t="e">
        <f t="shared" si="42"/>
        <v>#N/A</v>
      </c>
      <c r="AO241" s="152" t="e">
        <f t="shared" si="43"/>
        <v>#N/A</v>
      </c>
      <c r="AP241" s="152" t="e">
        <f t="shared" si="44"/>
        <v>#N/A</v>
      </c>
      <c r="AQ241" s="152" t="e">
        <f t="shared" si="45"/>
        <v>#N/A</v>
      </c>
      <c r="AR241" s="152" t="e">
        <f t="shared" si="46"/>
        <v>#N/A</v>
      </c>
      <c r="AS241" s="152" t="e">
        <f t="shared" si="47"/>
        <v>#N/A</v>
      </c>
    </row>
    <row r="242" spans="8:45" ht="15.75" customHeight="1">
      <c r="H242" s="212" t="e">
        <v>#N/A</v>
      </c>
      <c r="I242" s="205" t="e">
        <v>#N/A</v>
      </c>
      <c r="J242" s="231" t="e">
        <v>#N/A</v>
      </c>
      <c r="K242" s="185" t="e">
        <v>#N/A</v>
      </c>
      <c r="L242" s="185" t="e">
        <v>#N/A</v>
      </c>
      <c r="M242" s="201" t="e">
        <v>#N/A</v>
      </c>
      <c r="N242" s="185" t="e">
        <v>#N/A</v>
      </c>
      <c r="O242" s="185" t="e">
        <v>#N/A</v>
      </c>
      <c r="P242" s="201" t="e">
        <v>#N/A</v>
      </c>
      <c r="Q242" s="205" t="e">
        <v>#N/A</v>
      </c>
      <c r="R242" s="231" t="e">
        <v>#N/A</v>
      </c>
      <c r="S242" s="185" t="e">
        <v>#N/A</v>
      </c>
      <c r="T242" s="185" t="e">
        <v>#N/A</v>
      </c>
      <c r="U242" s="201" t="e">
        <v>#N/A</v>
      </c>
      <c r="V242" s="185" t="e">
        <v>#N/A</v>
      </c>
      <c r="W242" s="185" t="e">
        <v>#N/A</v>
      </c>
      <c r="X242" s="201" t="e">
        <v>#N/A</v>
      </c>
      <c r="Y242" s="205" t="e">
        <v>#N/A</v>
      </c>
      <c r="Z242" s="231" t="e">
        <v>#N/A</v>
      </c>
      <c r="AA242" s="185" t="e">
        <v>#N/A</v>
      </c>
      <c r="AB242" s="185" t="e">
        <v>#N/A</v>
      </c>
      <c r="AC242" s="201" t="e">
        <v>#N/A</v>
      </c>
      <c r="AD242" s="185" t="e">
        <v>#N/A</v>
      </c>
      <c r="AE242" s="185" t="e">
        <v>#N/A</v>
      </c>
      <c r="AF242" s="201" t="e">
        <v>#N/A</v>
      </c>
      <c r="AH242" s="152" t="e">
        <f t="shared" si="36"/>
        <v>#N/A</v>
      </c>
      <c r="AI242" s="152" t="e">
        <f t="shared" si="37"/>
        <v>#N/A</v>
      </c>
      <c r="AJ242" s="152" t="e">
        <f t="shared" si="38"/>
        <v>#N/A</v>
      </c>
      <c r="AK242" s="152" t="e">
        <f t="shared" si="39"/>
        <v>#N/A</v>
      </c>
      <c r="AL242" s="152" t="e">
        <f t="shared" si="40"/>
        <v>#N/A</v>
      </c>
      <c r="AM242" s="152" t="e">
        <f t="shared" si="41"/>
        <v>#N/A</v>
      </c>
      <c r="AN242" s="152" t="e">
        <f t="shared" si="42"/>
        <v>#N/A</v>
      </c>
      <c r="AO242" s="152" t="e">
        <f t="shared" si="43"/>
        <v>#N/A</v>
      </c>
      <c r="AP242" s="152" t="e">
        <f t="shared" si="44"/>
        <v>#N/A</v>
      </c>
      <c r="AQ242" s="152" t="e">
        <f t="shared" si="45"/>
        <v>#N/A</v>
      </c>
      <c r="AR242" s="152" t="e">
        <f t="shared" si="46"/>
        <v>#N/A</v>
      </c>
      <c r="AS242" s="152" t="e">
        <f t="shared" si="47"/>
        <v>#N/A</v>
      </c>
    </row>
    <row r="243" spans="8:45" ht="15.75" customHeight="1">
      <c r="H243" s="212" t="e">
        <v>#N/A</v>
      </c>
      <c r="I243" s="205" t="e">
        <v>#N/A</v>
      </c>
      <c r="J243" s="231" t="e">
        <v>#N/A</v>
      </c>
      <c r="K243" s="185" t="e">
        <v>#N/A</v>
      </c>
      <c r="L243" s="185" t="e">
        <v>#N/A</v>
      </c>
      <c r="M243" s="201" t="e">
        <v>#N/A</v>
      </c>
      <c r="N243" s="185" t="e">
        <v>#N/A</v>
      </c>
      <c r="O243" s="185" t="e">
        <v>#N/A</v>
      </c>
      <c r="P243" s="201" t="e">
        <v>#N/A</v>
      </c>
      <c r="Q243" s="205" t="e">
        <v>#N/A</v>
      </c>
      <c r="R243" s="231" t="e">
        <v>#N/A</v>
      </c>
      <c r="S243" s="185" t="e">
        <v>#N/A</v>
      </c>
      <c r="T243" s="185" t="e">
        <v>#N/A</v>
      </c>
      <c r="U243" s="201" t="e">
        <v>#N/A</v>
      </c>
      <c r="V243" s="185" t="e">
        <v>#N/A</v>
      </c>
      <c r="W243" s="185" t="e">
        <v>#N/A</v>
      </c>
      <c r="X243" s="201" t="e">
        <v>#N/A</v>
      </c>
      <c r="Y243" s="205" t="e">
        <v>#N/A</v>
      </c>
      <c r="Z243" s="231" t="e">
        <v>#N/A</v>
      </c>
      <c r="AA243" s="185" t="e">
        <v>#N/A</v>
      </c>
      <c r="AB243" s="185" t="e">
        <v>#N/A</v>
      </c>
      <c r="AC243" s="201" t="e">
        <v>#N/A</v>
      </c>
      <c r="AD243" s="185" t="e">
        <v>#N/A</v>
      </c>
      <c r="AE243" s="185" t="e">
        <v>#N/A</v>
      </c>
      <c r="AF243" s="201" t="e">
        <v>#N/A</v>
      </c>
      <c r="AH243" s="152" t="e">
        <f t="shared" si="36"/>
        <v>#N/A</v>
      </c>
      <c r="AI243" s="152" t="e">
        <f t="shared" si="37"/>
        <v>#N/A</v>
      </c>
      <c r="AJ243" s="152" t="e">
        <f t="shared" si="38"/>
        <v>#N/A</v>
      </c>
      <c r="AK243" s="152" t="e">
        <f t="shared" si="39"/>
        <v>#N/A</v>
      </c>
      <c r="AL243" s="152" t="e">
        <f t="shared" si="40"/>
        <v>#N/A</v>
      </c>
      <c r="AM243" s="152" t="e">
        <f t="shared" si="41"/>
        <v>#N/A</v>
      </c>
      <c r="AN243" s="152" t="e">
        <f t="shared" si="42"/>
        <v>#N/A</v>
      </c>
      <c r="AO243" s="152" t="e">
        <f t="shared" si="43"/>
        <v>#N/A</v>
      </c>
      <c r="AP243" s="152" t="e">
        <f t="shared" si="44"/>
        <v>#N/A</v>
      </c>
      <c r="AQ243" s="152" t="e">
        <f t="shared" si="45"/>
        <v>#N/A</v>
      </c>
      <c r="AR243" s="152" t="e">
        <f t="shared" si="46"/>
        <v>#N/A</v>
      </c>
      <c r="AS243" s="152" t="e">
        <f t="shared" si="47"/>
        <v>#N/A</v>
      </c>
    </row>
    <row r="244" spans="8:45" ht="15.75" customHeight="1">
      <c r="H244" s="212" t="e">
        <v>#N/A</v>
      </c>
      <c r="I244" s="205" t="e">
        <v>#N/A</v>
      </c>
      <c r="J244" s="231" t="e">
        <v>#N/A</v>
      </c>
      <c r="K244" s="185" t="e">
        <v>#N/A</v>
      </c>
      <c r="L244" s="185" t="e">
        <v>#N/A</v>
      </c>
      <c r="M244" s="201" t="e">
        <v>#N/A</v>
      </c>
      <c r="N244" s="185" t="e">
        <v>#N/A</v>
      </c>
      <c r="O244" s="185" t="e">
        <v>#N/A</v>
      </c>
      <c r="P244" s="201" t="e">
        <v>#N/A</v>
      </c>
      <c r="Q244" s="205" t="e">
        <v>#N/A</v>
      </c>
      <c r="R244" s="231" t="e">
        <v>#N/A</v>
      </c>
      <c r="S244" s="185" t="e">
        <v>#N/A</v>
      </c>
      <c r="T244" s="185" t="e">
        <v>#N/A</v>
      </c>
      <c r="U244" s="201" t="e">
        <v>#N/A</v>
      </c>
      <c r="V244" s="185" t="e">
        <v>#N/A</v>
      </c>
      <c r="W244" s="185" t="e">
        <v>#N/A</v>
      </c>
      <c r="X244" s="201" t="e">
        <v>#N/A</v>
      </c>
      <c r="Y244" s="205" t="e">
        <v>#N/A</v>
      </c>
      <c r="Z244" s="231" t="e">
        <v>#N/A</v>
      </c>
      <c r="AA244" s="185" t="e">
        <v>#N/A</v>
      </c>
      <c r="AB244" s="185" t="e">
        <v>#N/A</v>
      </c>
      <c r="AC244" s="201" t="e">
        <v>#N/A</v>
      </c>
      <c r="AD244" s="185" t="e">
        <v>#N/A</v>
      </c>
      <c r="AE244" s="185" t="e">
        <v>#N/A</v>
      </c>
      <c r="AF244" s="201" t="e">
        <v>#N/A</v>
      </c>
      <c r="AH244" s="152" t="e">
        <f t="shared" si="36"/>
        <v>#N/A</v>
      </c>
      <c r="AI244" s="152" t="e">
        <f t="shared" si="37"/>
        <v>#N/A</v>
      </c>
      <c r="AJ244" s="152" t="e">
        <f t="shared" si="38"/>
        <v>#N/A</v>
      </c>
      <c r="AK244" s="152" t="e">
        <f t="shared" si="39"/>
        <v>#N/A</v>
      </c>
      <c r="AL244" s="152" t="e">
        <f t="shared" si="40"/>
        <v>#N/A</v>
      </c>
      <c r="AM244" s="152" t="e">
        <f t="shared" si="41"/>
        <v>#N/A</v>
      </c>
      <c r="AN244" s="152" t="e">
        <f t="shared" si="42"/>
        <v>#N/A</v>
      </c>
      <c r="AO244" s="152" t="e">
        <f t="shared" si="43"/>
        <v>#N/A</v>
      </c>
      <c r="AP244" s="152" t="e">
        <f t="shared" si="44"/>
        <v>#N/A</v>
      </c>
      <c r="AQ244" s="152" t="e">
        <f t="shared" si="45"/>
        <v>#N/A</v>
      </c>
      <c r="AR244" s="152" t="e">
        <f t="shared" si="46"/>
        <v>#N/A</v>
      </c>
      <c r="AS244" s="152" t="e">
        <f t="shared" si="47"/>
        <v>#N/A</v>
      </c>
    </row>
    <row r="245" spans="8:45" ht="15.75" customHeight="1">
      <c r="H245" s="212" t="e">
        <v>#N/A</v>
      </c>
      <c r="I245" s="205" t="e">
        <v>#N/A</v>
      </c>
      <c r="J245" s="231" t="e">
        <v>#N/A</v>
      </c>
      <c r="K245" s="185" t="e">
        <v>#N/A</v>
      </c>
      <c r="L245" s="185" t="e">
        <v>#N/A</v>
      </c>
      <c r="M245" s="201" t="e">
        <v>#N/A</v>
      </c>
      <c r="N245" s="185" t="e">
        <v>#N/A</v>
      </c>
      <c r="O245" s="185" t="e">
        <v>#N/A</v>
      </c>
      <c r="P245" s="201" t="e">
        <v>#N/A</v>
      </c>
      <c r="Q245" s="205" t="e">
        <v>#N/A</v>
      </c>
      <c r="R245" s="231" t="e">
        <v>#N/A</v>
      </c>
      <c r="S245" s="185" t="e">
        <v>#N/A</v>
      </c>
      <c r="T245" s="185" t="e">
        <v>#N/A</v>
      </c>
      <c r="U245" s="201" t="e">
        <v>#N/A</v>
      </c>
      <c r="V245" s="185" t="e">
        <v>#N/A</v>
      </c>
      <c r="W245" s="185" t="e">
        <v>#N/A</v>
      </c>
      <c r="X245" s="201" t="e">
        <v>#N/A</v>
      </c>
      <c r="Y245" s="205" t="e">
        <v>#N/A</v>
      </c>
      <c r="Z245" s="231" t="e">
        <v>#N/A</v>
      </c>
      <c r="AA245" s="185" t="e">
        <v>#N/A</v>
      </c>
      <c r="AB245" s="185" t="e">
        <v>#N/A</v>
      </c>
      <c r="AC245" s="201" t="e">
        <v>#N/A</v>
      </c>
      <c r="AD245" s="185" t="e">
        <v>#N/A</v>
      </c>
      <c r="AE245" s="185" t="e">
        <v>#N/A</v>
      </c>
      <c r="AF245" s="201" t="e">
        <v>#N/A</v>
      </c>
      <c r="AH245" s="152" t="e">
        <f t="shared" si="36"/>
        <v>#N/A</v>
      </c>
      <c r="AI245" s="152" t="e">
        <f t="shared" si="37"/>
        <v>#N/A</v>
      </c>
      <c r="AJ245" s="152" t="e">
        <f t="shared" si="38"/>
        <v>#N/A</v>
      </c>
      <c r="AK245" s="152" t="e">
        <f t="shared" si="39"/>
        <v>#N/A</v>
      </c>
      <c r="AL245" s="152" t="e">
        <f t="shared" si="40"/>
        <v>#N/A</v>
      </c>
      <c r="AM245" s="152" t="e">
        <f t="shared" si="41"/>
        <v>#N/A</v>
      </c>
      <c r="AN245" s="152" t="e">
        <f t="shared" si="42"/>
        <v>#N/A</v>
      </c>
      <c r="AO245" s="152" t="e">
        <f t="shared" si="43"/>
        <v>#N/A</v>
      </c>
      <c r="AP245" s="152" t="e">
        <f t="shared" si="44"/>
        <v>#N/A</v>
      </c>
      <c r="AQ245" s="152" t="e">
        <f t="shared" si="45"/>
        <v>#N/A</v>
      </c>
      <c r="AR245" s="152" t="e">
        <f t="shared" si="46"/>
        <v>#N/A</v>
      </c>
      <c r="AS245" s="152" t="e">
        <f t="shared" si="47"/>
        <v>#N/A</v>
      </c>
    </row>
    <row r="246" spans="8:45" ht="15.75" customHeight="1">
      <c r="H246" s="212" t="e">
        <v>#N/A</v>
      </c>
      <c r="I246" s="205" t="e">
        <v>#N/A</v>
      </c>
      <c r="J246" s="231" t="e">
        <v>#N/A</v>
      </c>
      <c r="K246" s="185" t="e">
        <v>#N/A</v>
      </c>
      <c r="L246" s="185" t="e">
        <v>#N/A</v>
      </c>
      <c r="M246" s="201" t="e">
        <v>#N/A</v>
      </c>
      <c r="N246" s="185" t="e">
        <v>#N/A</v>
      </c>
      <c r="O246" s="185" t="e">
        <v>#N/A</v>
      </c>
      <c r="P246" s="201" t="e">
        <v>#N/A</v>
      </c>
      <c r="Q246" s="205" t="e">
        <v>#N/A</v>
      </c>
      <c r="R246" s="231" t="e">
        <v>#N/A</v>
      </c>
      <c r="S246" s="185" t="e">
        <v>#N/A</v>
      </c>
      <c r="T246" s="185" t="e">
        <v>#N/A</v>
      </c>
      <c r="U246" s="201" t="e">
        <v>#N/A</v>
      </c>
      <c r="V246" s="185" t="e">
        <v>#N/A</v>
      </c>
      <c r="W246" s="185" t="e">
        <v>#N/A</v>
      </c>
      <c r="X246" s="201" t="e">
        <v>#N/A</v>
      </c>
      <c r="Y246" s="205" t="e">
        <v>#N/A</v>
      </c>
      <c r="Z246" s="231" t="e">
        <v>#N/A</v>
      </c>
      <c r="AA246" s="185" t="e">
        <v>#N/A</v>
      </c>
      <c r="AB246" s="185" t="e">
        <v>#N/A</v>
      </c>
      <c r="AC246" s="201" t="e">
        <v>#N/A</v>
      </c>
      <c r="AD246" s="185" t="e">
        <v>#N/A</v>
      </c>
      <c r="AE246" s="185" t="e">
        <v>#N/A</v>
      </c>
      <c r="AF246" s="201" t="e">
        <v>#N/A</v>
      </c>
      <c r="AH246" s="152" t="e">
        <f t="shared" si="36"/>
        <v>#N/A</v>
      </c>
      <c r="AI246" s="152" t="e">
        <f t="shared" si="37"/>
        <v>#N/A</v>
      </c>
      <c r="AJ246" s="152" t="e">
        <f t="shared" si="38"/>
        <v>#N/A</v>
      </c>
      <c r="AK246" s="152" t="e">
        <f t="shared" si="39"/>
        <v>#N/A</v>
      </c>
      <c r="AL246" s="152" t="e">
        <f t="shared" si="40"/>
        <v>#N/A</v>
      </c>
      <c r="AM246" s="152" t="e">
        <f t="shared" si="41"/>
        <v>#N/A</v>
      </c>
      <c r="AN246" s="152" t="e">
        <f t="shared" si="42"/>
        <v>#N/A</v>
      </c>
      <c r="AO246" s="152" t="e">
        <f t="shared" si="43"/>
        <v>#N/A</v>
      </c>
      <c r="AP246" s="152" t="e">
        <f t="shared" si="44"/>
        <v>#N/A</v>
      </c>
      <c r="AQ246" s="152" t="e">
        <f t="shared" si="45"/>
        <v>#N/A</v>
      </c>
      <c r="AR246" s="152" t="e">
        <f t="shared" si="46"/>
        <v>#N/A</v>
      </c>
      <c r="AS246" s="152" t="e">
        <f t="shared" si="47"/>
        <v>#N/A</v>
      </c>
    </row>
    <row r="247" spans="8:45" ht="15.75" customHeight="1">
      <c r="H247" s="212" t="e">
        <v>#N/A</v>
      </c>
      <c r="I247" s="205" t="e">
        <v>#N/A</v>
      </c>
      <c r="J247" s="231" t="e">
        <v>#N/A</v>
      </c>
      <c r="K247" s="185" t="e">
        <v>#N/A</v>
      </c>
      <c r="L247" s="185" t="e">
        <v>#N/A</v>
      </c>
      <c r="M247" s="201" t="e">
        <v>#N/A</v>
      </c>
      <c r="N247" s="185" t="e">
        <v>#N/A</v>
      </c>
      <c r="O247" s="185" t="e">
        <v>#N/A</v>
      </c>
      <c r="P247" s="201" t="e">
        <v>#N/A</v>
      </c>
      <c r="Q247" s="205" t="e">
        <v>#N/A</v>
      </c>
      <c r="R247" s="231" t="e">
        <v>#N/A</v>
      </c>
      <c r="S247" s="185" t="e">
        <v>#N/A</v>
      </c>
      <c r="T247" s="185" t="e">
        <v>#N/A</v>
      </c>
      <c r="U247" s="201" t="e">
        <v>#N/A</v>
      </c>
      <c r="V247" s="185" t="e">
        <v>#N/A</v>
      </c>
      <c r="W247" s="185" t="e">
        <v>#N/A</v>
      </c>
      <c r="X247" s="201" t="e">
        <v>#N/A</v>
      </c>
      <c r="Y247" s="205" t="e">
        <v>#N/A</v>
      </c>
      <c r="Z247" s="231" t="e">
        <v>#N/A</v>
      </c>
      <c r="AA247" s="185" t="e">
        <v>#N/A</v>
      </c>
      <c r="AB247" s="185" t="e">
        <v>#N/A</v>
      </c>
      <c r="AC247" s="201" t="e">
        <v>#N/A</v>
      </c>
      <c r="AD247" s="185" t="e">
        <v>#N/A</v>
      </c>
      <c r="AE247" s="185" t="e">
        <v>#N/A</v>
      </c>
      <c r="AF247" s="201" t="e">
        <v>#N/A</v>
      </c>
      <c r="AH247" s="152" t="e">
        <f t="shared" si="36"/>
        <v>#N/A</v>
      </c>
      <c r="AI247" s="152" t="e">
        <f t="shared" si="37"/>
        <v>#N/A</v>
      </c>
      <c r="AJ247" s="152" t="e">
        <f t="shared" si="38"/>
        <v>#N/A</v>
      </c>
      <c r="AK247" s="152" t="e">
        <f t="shared" si="39"/>
        <v>#N/A</v>
      </c>
      <c r="AL247" s="152" t="e">
        <f t="shared" si="40"/>
        <v>#N/A</v>
      </c>
      <c r="AM247" s="152" t="e">
        <f t="shared" si="41"/>
        <v>#N/A</v>
      </c>
      <c r="AN247" s="152" t="e">
        <f t="shared" si="42"/>
        <v>#N/A</v>
      </c>
      <c r="AO247" s="152" t="e">
        <f t="shared" si="43"/>
        <v>#N/A</v>
      </c>
      <c r="AP247" s="152" t="e">
        <f t="shared" si="44"/>
        <v>#N/A</v>
      </c>
      <c r="AQ247" s="152" t="e">
        <f t="shared" si="45"/>
        <v>#N/A</v>
      </c>
      <c r="AR247" s="152" t="e">
        <f t="shared" si="46"/>
        <v>#N/A</v>
      </c>
      <c r="AS247" s="152" t="e">
        <f t="shared" si="47"/>
        <v>#N/A</v>
      </c>
    </row>
    <row r="248" spans="8:45" ht="15.75" customHeight="1">
      <c r="H248" s="212" t="e">
        <v>#N/A</v>
      </c>
      <c r="I248" s="205" t="e">
        <v>#N/A</v>
      </c>
      <c r="J248" s="231" t="e">
        <v>#N/A</v>
      </c>
      <c r="K248" s="185" t="e">
        <v>#N/A</v>
      </c>
      <c r="L248" s="185" t="e">
        <v>#N/A</v>
      </c>
      <c r="M248" s="201" t="e">
        <v>#N/A</v>
      </c>
      <c r="N248" s="185" t="e">
        <v>#N/A</v>
      </c>
      <c r="O248" s="185" t="e">
        <v>#N/A</v>
      </c>
      <c r="P248" s="201" t="e">
        <v>#N/A</v>
      </c>
      <c r="Q248" s="205" t="e">
        <v>#N/A</v>
      </c>
      <c r="R248" s="231" t="e">
        <v>#N/A</v>
      </c>
      <c r="S248" s="185" t="e">
        <v>#N/A</v>
      </c>
      <c r="T248" s="185" t="e">
        <v>#N/A</v>
      </c>
      <c r="U248" s="201" t="e">
        <v>#N/A</v>
      </c>
      <c r="V248" s="185" t="e">
        <v>#N/A</v>
      </c>
      <c r="W248" s="185" t="e">
        <v>#N/A</v>
      </c>
      <c r="X248" s="201" t="e">
        <v>#N/A</v>
      </c>
      <c r="Y248" s="205" t="e">
        <v>#N/A</v>
      </c>
      <c r="Z248" s="231" t="e">
        <v>#N/A</v>
      </c>
      <c r="AA248" s="185" t="e">
        <v>#N/A</v>
      </c>
      <c r="AB248" s="185" t="e">
        <v>#N/A</v>
      </c>
      <c r="AC248" s="201" t="e">
        <v>#N/A</v>
      </c>
      <c r="AD248" s="185" t="e">
        <v>#N/A</v>
      </c>
      <c r="AE248" s="185" t="e">
        <v>#N/A</v>
      </c>
      <c r="AF248" s="201" t="e">
        <v>#N/A</v>
      </c>
      <c r="AH248" s="152" t="e">
        <f t="shared" si="36"/>
        <v>#N/A</v>
      </c>
      <c r="AI248" s="152" t="e">
        <f t="shared" si="37"/>
        <v>#N/A</v>
      </c>
      <c r="AJ248" s="152" t="e">
        <f t="shared" si="38"/>
        <v>#N/A</v>
      </c>
      <c r="AK248" s="152" t="e">
        <f t="shared" si="39"/>
        <v>#N/A</v>
      </c>
      <c r="AL248" s="152" t="e">
        <f t="shared" si="40"/>
        <v>#N/A</v>
      </c>
      <c r="AM248" s="152" t="e">
        <f t="shared" si="41"/>
        <v>#N/A</v>
      </c>
      <c r="AN248" s="152" t="e">
        <f t="shared" si="42"/>
        <v>#N/A</v>
      </c>
      <c r="AO248" s="152" t="e">
        <f t="shared" si="43"/>
        <v>#N/A</v>
      </c>
      <c r="AP248" s="152" t="e">
        <f t="shared" si="44"/>
        <v>#N/A</v>
      </c>
      <c r="AQ248" s="152" t="e">
        <f t="shared" si="45"/>
        <v>#N/A</v>
      </c>
      <c r="AR248" s="152" t="e">
        <f t="shared" si="46"/>
        <v>#N/A</v>
      </c>
      <c r="AS248" s="152" t="e">
        <f t="shared" si="47"/>
        <v>#N/A</v>
      </c>
    </row>
    <row r="249" spans="8:45" ht="15.75" customHeight="1">
      <c r="H249" s="212" t="e">
        <v>#N/A</v>
      </c>
      <c r="I249" s="205" t="e">
        <v>#N/A</v>
      </c>
      <c r="J249" s="231" t="e">
        <v>#N/A</v>
      </c>
      <c r="K249" s="185" t="e">
        <v>#N/A</v>
      </c>
      <c r="L249" s="185" t="e">
        <v>#N/A</v>
      </c>
      <c r="M249" s="201" t="e">
        <v>#N/A</v>
      </c>
      <c r="N249" s="185" t="e">
        <v>#N/A</v>
      </c>
      <c r="O249" s="185" t="e">
        <v>#N/A</v>
      </c>
      <c r="P249" s="201" t="e">
        <v>#N/A</v>
      </c>
      <c r="Q249" s="205" t="e">
        <v>#N/A</v>
      </c>
      <c r="R249" s="231" t="e">
        <v>#N/A</v>
      </c>
      <c r="S249" s="185" t="e">
        <v>#N/A</v>
      </c>
      <c r="T249" s="185" t="e">
        <v>#N/A</v>
      </c>
      <c r="U249" s="201" t="e">
        <v>#N/A</v>
      </c>
      <c r="V249" s="185" t="e">
        <v>#N/A</v>
      </c>
      <c r="W249" s="185" t="e">
        <v>#N/A</v>
      </c>
      <c r="X249" s="201" t="e">
        <v>#N/A</v>
      </c>
      <c r="Y249" s="205" t="e">
        <v>#N/A</v>
      </c>
      <c r="Z249" s="231" t="e">
        <v>#N/A</v>
      </c>
      <c r="AA249" s="185" t="e">
        <v>#N/A</v>
      </c>
      <c r="AB249" s="185" t="e">
        <v>#N/A</v>
      </c>
      <c r="AC249" s="201" t="e">
        <v>#N/A</v>
      </c>
      <c r="AD249" s="185" t="e">
        <v>#N/A</v>
      </c>
      <c r="AE249" s="185" t="e">
        <v>#N/A</v>
      </c>
      <c r="AF249" s="201" t="e">
        <v>#N/A</v>
      </c>
      <c r="AH249" s="152" t="e">
        <f t="shared" si="36"/>
        <v>#N/A</v>
      </c>
      <c r="AI249" s="152" t="e">
        <f t="shared" si="37"/>
        <v>#N/A</v>
      </c>
      <c r="AJ249" s="152" t="e">
        <f t="shared" si="38"/>
        <v>#N/A</v>
      </c>
      <c r="AK249" s="152" t="e">
        <f t="shared" si="39"/>
        <v>#N/A</v>
      </c>
      <c r="AL249" s="152" t="e">
        <f t="shared" si="40"/>
        <v>#N/A</v>
      </c>
      <c r="AM249" s="152" t="e">
        <f t="shared" si="41"/>
        <v>#N/A</v>
      </c>
      <c r="AN249" s="152" t="e">
        <f t="shared" si="42"/>
        <v>#N/A</v>
      </c>
      <c r="AO249" s="152" t="e">
        <f t="shared" si="43"/>
        <v>#N/A</v>
      </c>
      <c r="AP249" s="152" t="e">
        <f t="shared" si="44"/>
        <v>#N/A</v>
      </c>
      <c r="AQ249" s="152" t="e">
        <f t="shared" si="45"/>
        <v>#N/A</v>
      </c>
      <c r="AR249" s="152" t="e">
        <f t="shared" si="46"/>
        <v>#N/A</v>
      </c>
      <c r="AS249" s="152" t="e">
        <f t="shared" si="47"/>
        <v>#N/A</v>
      </c>
    </row>
    <row r="250" spans="8:45" ht="15.75" customHeight="1">
      <c r="H250" s="212" t="e">
        <v>#N/A</v>
      </c>
      <c r="I250" s="205" t="e">
        <v>#N/A</v>
      </c>
      <c r="J250" s="231" t="e">
        <v>#N/A</v>
      </c>
      <c r="K250" s="185" t="e">
        <v>#N/A</v>
      </c>
      <c r="L250" s="185" t="e">
        <v>#N/A</v>
      </c>
      <c r="M250" s="201" t="e">
        <v>#N/A</v>
      </c>
      <c r="N250" s="185" t="e">
        <v>#N/A</v>
      </c>
      <c r="O250" s="185" t="e">
        <v>#N/A</v>
      </c>
      <c r="P250" s="201" t="e">
        <v>#N/A</v>
      </c>
      <c r="Q250" s="205" t="e">
        <v>#N/A</v>
      </c>
      <c r="R250" s="231" t="e">
        <v>#N/A</v>
      </c>
      <c r="S250" s="185" t="e">
        <v>#N/A</v>
      </c>
      <c r="T250" s="185" t="e">
        <v>#N/A</v>
      </c>
      <c r="U250" s="201" t="e">
        <v>#N/A</v>
      </c>
      <c r="V250" s="185" t="e">
        <v>#N/A</v>
      </c>
      <c r="W250" s="185" t="e">
        <v>#N/A</v>
      </c>
      <c r="X250" s="201" t="e">
        <v>#N/A</v>
      </c>
      <c r="Y250" s="205" t="e">
        <v>#N/A</v>
      </c>
      <c r="Z250" s="231" t="e">
        <v>#N/A</v>
      </c>
      <c r="AA250" s="185" t="e">
        <v>#N/A</v>
      </c>
      <c r="AB250" s="185" t="e">
        <v>#N/A</v>
      </c>
      <c r="AC250" s="201" t="e">
        <v>#N/A</v>
      </c>
      <c r="AD250" s="185" t="e">
        <v>#N/A</v>
      </c>
      <c r="AE250" s="185" t="e">
        <v>#N/A</v>
      </c>
      <c r="AF250" s="201" t="e">
        <v>#N/A</v>
      </c>
      <c r="AH250" s="152" t="e">
        <f t="shared" si="36"/>
        <v>#N/A</v>
      </c>
      <c r="AI250" s="152" t="e">
        <f t="shared" si="37"/>
        <v>#N/A</v>
      </c>
      <c r="AJ250" s="152" t="e">
        <f t="shared" si="38"/>
        <v>#N/A</v>
      </c>
      <c r="AK250" s="152" t="e">
        <f t="shared" si="39"/>
        <v>#N/A</v>
      </c>
      <c r="AL250" s="152" t="e">
        <f t="shared" si="40"/>
        <v>#N/A</v>
      </c>
      <c r="AM250" s="152" t="e">
        <f t="shared" si="41"/>
        <v>#N/A</v>
      </c>
      <c r="AN250" s="152" t="e">
        <f t="shared" si="42"/>
        <v>#N/A</v>
      </c>
      <c r="AO250" s="152" t="e">
        <f t="shared" si="43"/>
        <v>#N/A</v>
      </c>
      <c r="AP250" s="152" t="e">
        <f t="shared" si="44"/>
        <v>#N/A</v>
      </c>
      <c r="AQ250" s="152" t="e">
        <f t="shared" si="45"/>
        <v>#N/A</v>
      </c>
      <c r="AR250" s="152" t="e">
        <f t="shared" si="46"/>
        <v>#N/A</v>
      </c>
      <c r="AS250" s="152" t="e">
        <f t="shared" si="47"/>
        <v>#N/A</v>
      </c>
    </row>
    <row r="251" spans="8:45" ht="15.75" customHeight="1">
      <c r="H251" s="212" t="e">
        <v>#N/A</v>
      </c>
      <c r="I251" s="205" t="e">
        <v>#N/A</v>
      </c>
      <c r="J251" s="231" t="e">
        <v>#N/A</v>
      </c>
      <c r="K251" s="185" t="e">
        <v>#N/A</v>
      </c>
      <c r="L251" s="185" t="e">
        <v>#N/A</v>
      </c>
      <c r="M251" s="201" t="e">
        <v>#N/A</v>
      </c>
      <c r="N251" s="185" t="e">
        <v>#N/A</v>
      </c>
      <c r="O251" s="185" t="e">
        <v>#N/A</v>
      </c>
      <c r="P251" s="201" t="e">
        <v>#N/A</v>
      </c>
      <c r="Q251" s="205" t="e">
        <v>#N/A</v>
      </c>
      <c r="R251" s="231" t="e">
        <v>#N/A</v>
      </c>
      <c r="S251" s="185" t="e">
        <v>#N/A</v>
      </c>
      <c r="T251" s="185" t="e">
        <v>#N/A</v>
      </c>
      <c r="U251" s="201" t="e">
        <v>#N/A</v>
      </c>
      <c r="V251" s="185" t="e">
        <v>#N/A</v>
      </c>
      <c r="W251" s="185" t="e">
        <v>#N/A</v>
      </c>
      <c r="X251" s="201" t="e">
        <v>#N/A</v>
      </c>
      <c r="Y251" s="205" t="e">
        <v>#N/A</v>
      </c>
      <c r="Z251" s="231" t="e">
        <v>#N/A</v>
      </c>
      <c r="AA251" s="185" t="e">
        <v>#N/A</v>
      </c>
      <c r="AB251" s="185" t="e">
        <v>#N/A</v>
      </c>
      <c r="AC251" s="201" t="e">
        <v>#N/A</v>
      </c>
      <c r="AD251" s="185" t="e">
        <v>#N/A</v>
      </c>
      <c r="AE251" s="185" t="e">
        <v>#N/A</v>
      </c>
      <c r="AF251" s="201" t="e">
        <v>#N/A</v>
      </c>
      <c r="AH251" s="152" t="e">
        <f t="shared" si="36"/>
        <v>#N/A</v>
      </c>
      <c r="AI251" s="152" t="e">
        <f t="shared" si="37"/>
        <v>#N/A</v>
      </c>
      <c r="AJ251" s="152" t="e">
        <f t="shared" si="38"/>
        <v>#N/A</v>
      </c>
      <c r="AK251" s="152" t="e">
        <f t="shared" si="39"/>
        <v>#N/A</v>
      </c>
      <c r="AL251" s="152" t="e">
        <f t="shared" si="40"/>
        <v>#N/A</v>
      </c>
      <c r="AM251" s="152" t="e">
        <f t="shared" si="41"/>
        <v>#N/A</v>
      </c>
      <c r="AN251" s="152" t="e">
        <f t="shared" si="42"/>
        <v>#N/A</v>
      </c>
      <c r="AO251" s="152" t="e">
        <f t="shared" si="43"/>
        <v>#N/A</v>
      </c>
      <c r="AP251" s="152" t="e">
        <f t="shared" si="44"/>
        <v>#N/A</v>
      </c>
      <c r="AQ251" s="152" t="e">
        <f t="shared" si="45"/>
        <v>#N/A</v>
      </c>
      <c r="AR251" s="152" t="e">
        <f t="shared" si="46"/>
        <v>#N/A</v>
      </c>
      <c r="AS251" s="152" t="e">
        <f t="shared" si="47"/>
        <v>#N/A</v>
      </c>
    </row>
    <row r="252" spans="8:45" ht="15.75" customHeight="1">
      <c r="H252" s="212" t="e">
        <v>#N/A</v>
      </c>
      <c r="I252" s="205" t="e">
        <v>#N/A</v>
      </c>
      <c r="J252" s="231" t="e">
        <v>#N/A</v>
      </c>
      <c r="K252" s="185" t="e">
        <v>#N/A</v>
      </c>
      <c r="L252" s="185" t="e">
        <v>#N/A</v>
      </c>
      <c r="M252" s="201" t="e">
        <v>#N/A</v>
      </c>
      <c r="N252" s="185" t="e">
        <v>#N/A</v>
      </c>
      <c r="O252" s="185" t="e">
        <v>#N/A</v>
      </c>
      <c r="P252" s="201" t="e">
        <v>#N/A</v>
      </c>
      <c r="Q252" s="205" t="e">
        <v>#N/A</v>
      </c>
      <c r="R252" s="231" t="e">
        <v>#N/A</v>
      </c>
      <c r="S252" s="185" t="e">
        <v>#N/A</v>
      </c>
      <c r="T252" s="185" t="e">
        <v>#N/A</v>
      </c>
      <c r="U252" s="201" t="e">
        <v>#N/A</v>
      </c>
      <c r="V252" s="185" t="e">
        <v>#N/A</v>
      </c>
      <c r="W252" s="185" t="e">
        <v>#N/A</v>
      </c>
      <c r="X252" s="201" t="e">
        <v>#N/A</v>
      </c>
      <c r="Y252" s="205" t="e">
        <v>#N/A</v>
      </c>
      <c r="Z252" s="231" t="e">
        <v>#N/A</v>
      </c>
      <c r="AA252" s="185" t="e">
        <v>#N/A</v>
      </c>
      <c r="AB252" s="185" t="e">
        <v>#N/A</v>
      </c>
      <c r="AC252" s="201" t="e">
        <v>#N/A</v>
      </c>
      <c r="AD252" s="185" t="e">
        <v>#N/A</v>
      </c>
      <c r="AE252" s="185" t="e">
        <v>#N/A</v>
      </c>
      <c r="AF252" s="201" t="e">
        <v>#N/A</v>
      </c>
      <c r="AH252" s="152" t="e">
        <f t="shared" si="36"/>
        <v>#N/A</v>
      </c>
      <c r="AI252" s="152" t="e">
        <f t="shared" si="37"/>
        <v>#N/A</v>
      </c>
      <c r="AJ252" s="152" t="e">
        <f t="shared" si="38"/>
        <v>#N/A</v>
      </c>
      <c r="AK252" s="152" t="e">
        <f t="shared" si="39"/>
        <v>#N/A</v>
      </c>
      <c r="AL252" s="152" t="e">
        <f t="shared" si="40"/>
        <v>#N/A</v>
      </c>
      <c r="AM252" s="152" t="e">
        <f t="shared" si="41"/>
        <v>#N/A</v>
      </c>
      <c r="AN252" s="152" t="e">
        <f t="shared" si="42"/>
        <v>#N/A</v>
      </c>
      <c r="AO252" s="152" t="e">
        <f t="shared" si="43"/>
        <v>#N/A</v>
      </c>
      <c r="AP252" s="152" t="e">
        <f t="shared" si="44"/>
        <v>#N/A</v>
      </c>
      <c r="AQ252" s="152" t="e">
        <f t="shared" si="45"/>
        <v>#N/A</v>
      </c>
      <c r="AR252" s="152" t="e">
        <f t="shared" si="46"/>
        <v>#N/A</v>
      </c>
      <c r="AS252" s="152" t="e">
        <f t="shared" si="47"/>
        <v>#N/A</v>
      </c>
    </row>
    <row r="253" spans="8:45" ht="15.75" customHeight="1">
      <c r="H253" s="212" t="e">
        <v>#N/A</v>
      </c>
      <c r="I253" s="205" t="e">
        <v>#N/A</v>
      </c>
      <c r="J253" s="231" t="e">
        <v>#N/A</v>
      </c>
      <c r="K253" s="185" t="e">
        <v>#N/A</v>
      </c>
      <c r="L253" s="185" t="e">
        <v>#N/A</v>
      </c>
      <c r="M253" s="201" t="e">
        <v>#N/A</v>
      </c>
      <c r="N253" s="185" t="e">
        <v>#N/A</v>
      </c>
      <c r="O253" s="185" t="e">
        <v>#N/A</v>
      </c>
      <c r="P253" s="201" t="e">
        <v>#N/A</v>
      </c>
      <c r="Q253" s="205" t="e">
        <v>#N/A</v>
      </c>
      <c r="R253" s="231" t="e">
        <v>#N/A</v>
      </c>
      <c r="S253" s="185" t="e">
        <v>#N/A</v>
      </c>
      <c r="T253" s="185" t="e">
        <v>#N/A</v>
      </c>
      <c r="U253" s="201" t="e">
        <v>#N/A</v>
      </c>
      <c r="V253" s="185" t="e">
        <v>#N/A</v>
      </c>
      <c r="W253" s="185" t="e">
        <v>#N/A</v>
      </c>
      <c r="X253" s="201" t="e">
        <v>#N/A</v>
      </c>
      <c r="Y253" s="205" t="e">
        <v>#N/A</v>
      </c>
      <c r="Z253" s="231" t="e">
        <v>#N/A</v>
      </c>
      <c r="AA253" s="185" t="e">
        <v>#N/A</v>
      </c>
      <c r="AB253" s="185" t="e">
        <v>#N/A</v>
      </c>
      <c r="AC253" s="201" t="e">
        <v>#N/A</v>
      </c>
      <c r="AD253" s="185" t="e">
        <v>#N/A</v>
      </c>
      <c r="AE253" s="185" t="e">
        <v>#N/A</v>
      </c>
      <c r="AF253" s="201" t="e">
        <v>#N/A</v>
      </c>
      <c r="AH253" s="152" t="e">
        <f t="shared" si="36"/>
        <v>#N/A</v>
      </c>
      <c r="AI253" s="152" t="e">
        <f t="shared" si="37"/>
        <v>#N/A</v>
      </c>
      <c r="AJ253" s="152" t="e">
        <f t="shared" si="38"/>
        <v>#N/A</v>
      </c>
      <c r="AK253" s="152" t="e">
        <f t="shared" si="39"/>
        <v>#N/A</v>
      </c>
      <c r="AL253" s="152" t="e">
        <f t="shared" si="40"/>
        <v>#N/A</v>
      </c>
      <c r="AM253" s="152" t="e">
        <f t="shared" si="41"/>
        <v>#N/A</v>
      </c>
      <c r="AN253" s="152" t="e">
        <f t="shared" si="42"/>
        <v>#N/A</v>
      </c>
      <c r="AO253" s="152" t="e">
        <f t="shared" si="43"/>
        <v>#N/A</v>
      </c>
      <c r="AP253" s="152" t="e">
        <f t="shared" si="44"/>
        <v>#N/A</v>
      </c>
      <c r="AQ253" s="152" t="e">
        <f t="shared" si="45"/>
        <v>#N/A</v>
      </c>
      <c r="AR253" s="152" t="e">
        <f t="shared" si="46"/>
        <v>#N/A</v>
      </c>
      <c r="AS253" s="152" t="e">
        <f t="shared" si="47"/>
        <v>#N/A</v>
      </c>
    </row>
    <row r="254" spans="8:45" ht="15.75" customHeight="1">
      <c r="H254" s="212" t="e">
        <v>#N/A</v>
      </c>
      <c r="I254" s="205" t="e">
        <v>#N/A</v>
      </c>
      <c r="J254" s="231" t="e">
        <v>#N/A</v>
      </c>
      <c r="K254" s="185" t="e">
        <v>#N/A</v>
      </c>
      <c r="L254" s="185" t="e">
        <v>#N/A</v>
      </c>
      <c r="M254" s="201" t="e">
        <v>#N/A</v>
      </c>
      <c r="N254" s="185" t="e">
        <v>#N/A</v>
      </c>
      <c r="O254" s="185" t="e">
        <v>#N/A</v>
      </c>
      <c r="P254" s="201" t="e">
        <v>#N/A</v>
      </c>
      <c r="Q254" s="205" t="e">
        <v>#N/A</v>
      </c>
      <c r="R254" s="231" t="e">
        <v>#N/A</v>
      </c>
      <c r="S254" s="185" t="e">
        <v>#N/A</v>
      </c>
      <c r="T254" s="185" t="e">
        <v>#N/A</v>
      </c>
      <c r="U254" s="201" t="e">
        <v>#N/A</v>
      </c>
      <c r="V254" s="185" t="e">
        <v>#N/A</v>
      </c>
      <c r="W254" s="185" t="e">
        <v>#N/A</v>
      </c>
      <c r="X254" s="201" t="e">
        <v>#N/A</v>
      </c>
      <c r="Y254" s="205" t="e">
        <v>#N/A</v>
      </c>
      <c r="Z254" s="231" t="e">
        <v>#N/A</v>
      </c>
      <c r="AA254" s="185" t="e">
        <v>#N/A</v>
      </c>
      <c r="AB254" s="185" t="e">
        <v>#N/A</v>
      </c>
      <c r="AC254" s="201" t="e">
        <v>#N/A</v>
      </c>
      <c r="AD254" s="185" t="e">
        <v>#N/A</v>
      </c>
      <c r="AE254" s="185" t="e">
        <v>#N/A</v>
      </c>
      <c r="AF254" s="201" t="e">
        <v>#N/A</v>
      </c>
      <c r="AH254" s="152" t="e">
        <f t="shared" si="36"/>
        <v>#N/A</v>
      </c>
      <c r="AI254" s="152" t="e">
        <f t="shared" si="37"/>
        <v>#N/A</v>
      </c>
      <c r="AJ254" s="152" t="e">
        <f t="shared" si="38"/>
        <v>#N/A</v>
      </c>
      <c r="AK254" s="152" t="e">
        <f t="shared" si="39"/>
        <v>#N/A</v>
      </c>
      <c r="AL254" s="152" t="e">
        <f t="shared" si="40"/>
        <v>#N/A</v>
      </c>
      <c r="AM254" s="152" t="e">
        <f t="shared" si="41"/>
        <v>#N/A</v>
      </c>
      <c r="AN254" s="152" t="e">
        <f t="shared" si="42"/>
        <v>#N/A</v>
      </c>
      <c r="AO254" s="152" t="e">
        <f t="shared" si="43"/>
        <v>#N/A</v>
      </c>
      <c r="AP254" s="152" t="e">
        <f t="shared" si="44"/>
        <v>#N/A</v>
      </c>
      <c r="AQ254" s="152" t="e">
        <f t="shared" si="45"/>
        <v>#N/A</v>
      </c>
      <c r="AR254" s="152" t="e">
        <f t="shared" si="46"/>
        <v>#N/A</v>
      </c>
      <c r="AS254" s="152" t="e">
        <f t="shared" si="47"/>
        <v>#N/A</v>
      </c>
    </row>
    <row r="255" spans="8:45" ht="15.75" customHeight="1">
      <c r="H255" s="212" t="e">
        <v>#N/A</v>
      </c>
      <c r="I255" s="205" t="e">
        <v>#N/A</v>
      </c>
      <c r="J255" s="231" t="e">
        <v>#N/A</v>
      </c>
      <c r="K255" s="185" t="e">
        <v>#N/A</v>
      </c>
      <c r="L255" s="185" t="e">
        <v>#N/A</v>
      </c>
      <c r="M255" s="201" t="e">
        <v>#N/A</v>
      </c>
      <c r="N255" s="185" t="e">
        <v>#N/A</v>
      </c>
      <c r="O255" s="185" t="e">
        <v>#N/A</v>
      </c>
      <c r="P255" s="201" t="e">
        <v>#N/A</v>
      </c>
      <c r="Q255" s="205" t="e">
        <v>#N/A</v>
      </c>
      <c r="R255" s="231" t="e">
        <v>#N/A</v>
      </c>
      <c r="S255" s="185" t="e">
        <v>#N/A</v>
      </c>
      <c r="T255" s="185" t="e">
        <v>#N/A</v>
      </c>
      <c r="U255" s="201" t="e">
        <v>#N/A</v>
      </c>
      <c r="V255" s="185" t="e">
        <v>#N/A</v>
      </c>
      <c r="W255" s="185" t="e">
        <v>#N/A</v>
      </c>
      <c r="X255" s="201" t="e">
        <v>#N/A</v>
      </c>
      <c r="Y255" s="205" t="e">
        <v>#N/A</v>
      </c>
      <c r="Z255" s="231" t="e">
        <v>#N/A</v>
      </c>
      <c r="AA255" s="185" t="e">
        <v>#N/A</v>
      </c>
      <c r="AB255" s="185" t="e">
        <v>#N/A</v>
      </c>
      <c r="AC255" s="201" t="e">
        <v>#N/A</v>
      </c>
      <c r="AD255" s="185" t="e">
        <v>#N/A</v>
      </c>
      <c r="AE255" s="185" t="e">
        <v>#N/A</v>
      </c>
      <c r="AF255" s="201" t="e">
        <v>#N/A</v>
      </c>
      <c r="AH255" s="152" t="e">
        <f t="shared" si="36"/>
        <v>#N/A</v>
      </c>
      <c r="AI255" s="152" t="e">
        <f t="shared" si="37"/>
        <v>#N/A</v>
      </c>
      <c r="AJ255" s="152" t="e">
        <f t="shared" si="38"/>
        <v>#N/A</v>
      </c>
      <c r="AK255" s="152" t="e">
        <f t="shared" si="39"/>
        <v>#N/A</v>
      </c>
      <c r="AL255" s="152" t="e">
        <f t="shared" si="40"/>
        <v>#N/A</v>
      </c>
      <c r="AM255" s="152" t="e">
        <f t="shared" si="41"/>
        <v>#N/A</v>
      </c>
      <c r="AN255" s="152" t="e">
        <f t="shared" si="42"/>
        <v>#N/A</v>
      </c>
      <c r="AO255" s="152" t="e">
        <f t="shared" si="43"/>
        <v>#N/A</v>
      </c>
      <c r="AP255" s="152" t="e">
        <f t="shared" si="44"/>
        <v>#N/A</v>
      </c>
      <c r="AQ255" s="152" t="e">
        <f t="shared" si="45"/>
        <v>#N/A</v>
      </c>
      <c r="AR255" s="152" t="e">
        <f t="shared" si="46"/>
        <v>#N/A</v>
      </c>
      <c r="AS255" s="152" t="e">
        <f t="shared" si="47"/>
        <v>#N/A</v>
      </c>
    </row>
    <row r="256" spans="8:45" ht="15.75" customHeight="1">
      <c r="H256" s="212" t="e">
        <v>#N/A</v>
      </c>
      <c r="I256" s="205" t="e">
        <v>#N/A</v>
      </c>
      <c r="J256" s="231" t="e">
        <v>#N/A</v>
      </c>
      <c r="K256" s="185" t="e">
        <v>#N/A</v>
      </c>
      <c r="L256" s="185" t="e">
        <v>#N/A</v>
      </c>
      <c r="M256" s="201" t="e">
        <v>#N/A</v>
      </c>
      <c r="N256" s="185" t="e">
        <v>#N/A</v>
      </c>
      <c r="O256" s="185" t="e">
        <v>#N/A</v>
      </c>
      <c r="P256" s="201" t="e">
        <v>#N/A</v>
      </c>
      <c r="Q256" s="205" t="e">
        <v>#N/A</v>
      </c>
      <c r="R256" s="231" t="e">
        <v>#N/A</v>
      </c>
      <c r="S256" s="185" t="e">
        <v>#N/A</v>
      </c>
      <c r="T256" s="185" t="e">
        <v>#N/A</v>
      </c>
      <c r="U256" s="201" t="e">
        <v>#N/A</v>
      </c>
      <c r="V256" s="185" t="e">
        <v>#N/A</v>
      </c>
      <c r="W256" s="185" t="e">
        <v>#N/A</v>
      </c>
      <c r="X256" s="201" t="e">
        <v>#N/A</v>
      </c>
      <c r="Y256" s="205" t="e">
        <v>#N/A</v>
      </c>
      <c r="Z256" s="231" t="e">
        <v>#N/A</v>
      </c>
      <c r="AA256" s="185" t="e">
        <v>#N/A</v>
      </c>
      <c r="AB256" s="185" t="e">
        <v>#N/A</v>
      </c>
      <c r="AC256" s="201" t="e">
        <v>#N/A</v>
      </c>
      <c r="AD256" s="185" t="e">
        <v>#N/A</v>
      </c>
      <c r="AE256" s="185" t="e">
        <v>#N/A</v>
      </c>
      <c r="AF256" s="201" t="e">
        <v>#N/A</v>
      </c>
      <c r="AH256" s="152" t="e">
        <f t="shared" si="36"/>
        <v>#N/A</v>
      </c>
      <c r="AI256" s="152" t="e">
        <f t="shared" si="37"/>
        <v>#N/A</v>
      </c>
      <c r="AJ256" s="152" t="e">
        <f t="shared" si="38"/>
        <v>#N/A</v>
      </c>
      <c r="AK256" s="152" t="e">
        <f t="shared" si="39"/>
        <v>#N/A</v>
      </c>
      <c r="AL256" s="152" t="e">
        <f t="shared" si="40"/>
        <v>#N/A</v>
      </c>
      <c r="AM256" s="152" t="e">
        <f t="shared" si="41"/>
        <v>#N/A</v>
      </c>
      <c r="AN256" s="152" t="e">
        <f t="shared" si="42"/>
        <v>#N/A</v>
      </c>
      <c r="AO256" s="152" t="e">
        <f t="shared" si="43"/>
        <v>#N/A</v>
      </c>
      <c r="AP256" s="152" t="e">
        <f t="shared" si="44"/>
        <v>#N/A</v>
      </c>
      <c r="AQ256" s="152" t="e">
        <f t="shared" si="45"/>
        <v>#N/A</v>
      </c>
      <c r="AR256" s="152" t="e">
        <f t="shared" si="46"/>
        <v>#N/A</v>
      </c>
      <c r="AS256" s="152" t="e">
        <f t="shared" si="47"/>
        <v>#N/A</v>
      </c>
    </row>
    <row r="257" spans="8:45" ht="15.75" customHeight="1">
      <c r="H257" s="212" t="e">
        <v>#N/A</v>
      </c>
      <c r="I257" s="205" t="e">
        <v>#N/A</v>
      </c>
      <c r="J257" s="231" t="e">
        <v>#N/A</v>
      </c>
      <c r="K257" s="185" t="e">
        <v>#N/A</v>
      </c>
      <c r="L257" s="185" t="e">
        <v>#N/A</v>
      </c>
      <c r="M257" s="201" t="e">
        <v>#N/A</v>
      </c>
      <c r="N257" s="185" t="e">
        <v>#N/A</v>
      </c>
      <c r="O257" s="185" t="e">
        <v>#N/A</v>
      </c>
      <c r="P257" s="201" t="e">
        <v>#N/A</v>
      </c>
      <c r="Q257" s="205" t="e">
        <v>#N/A</v>
      </c>
      <c r="R257" s="231" t="e">
        <v>#N/A</v>
      </c>
      <c r="S257" s="185" t="e">
        <v>#N/A</v>
      </c>
      <c r="T257" s="185" t="e">
        <v>#N/A</v>
      </c>
      <c r="U257" s="201" t="e">
        <v>#N/A</v>
      </c>
      <c r="V257" s="185" t="e">
        <v>#N/A</v>
      </c>
      <c r="W257" s="185" t="e">
        <v>#N/A</v>
      </c>
      <c r="X257" s="201" t="e">
        <v>#N/A</v>
      </c>
      <c r="Y257" s="205" t="e">
        <v>#N/A</v>
      </c>
      <c r="Z257" s="231" t="e">
        <v>#N/A</v>
      </c>
      <c r="AA257" s="185" t="e">
        <v>#N/A</v>
      </c>
      <c r="AB257" s="185" t="e">
        <v>#N/A</v>
      </c>
      <c r="AC257" s="201" t="e">
        <v>#N/A</v>
      </c>
      <c r="AD257" s="185" t="e">
        <v>#N/A</v>
      </c>
      <c r="AE257" s="185" t="e">
        <v>#N/A</v>
      </c>
      <c r="AF257" s="201" t="e">
        <v>#N/A</v>
      </c>
      <c r="AH257" s="152" t="e">
        <f t="shared" si="36"/>
        <v>#N/A</v>
      </c>
      <c r="AI257" s="152" t="e">
        <f t="shared" si="37"/>
        <v>#N/A</v>
      </c>
      <c r="AJ257" s="152" t="e">
        <f t="shared" si="38"/>
        <v>#N/A</v>
      </c>
      <c r="AK257" s="152" t="e">
        <f t="shared" si="39"/>
        <v>#N/A</v>
      </c>
      <c r="AL257" s="152" t="e">
        <f t="shared" si="40"/>
        <v>#N/A</v>
      </c>
      <c r="AM257" s="152" t="e">
        <f t="shared" si="41"/>
        <v>#N/A</v>
      </c>
      <c r="AN257" s="152" t="e">
        <f t="shared" si="42"/>
        <v>#N/A</v>
      </c>
      <c r="AO257" s="152" t="e">
        <f t="shared" si="43"/>
        <v>#N/A</v>
      </c>
      <c r="AP257" s="152" t="e">
        <f t="shared" si="44"/>
        <v>#N/A</v>
      </c>
      <c r="AQ257" s="152" t="e">
        <f t="shared" si="45"/>
        <v>#N/A</v>
      </c>
      <c r="AR257" s="152" t="e">
        <f t="shared" si="46"/>
        <v>#N/A</v>
      </c>
      <c r="AS257" s="152" t="e">
        <f t="shared" si="47"/>
        <v>#N/A</v>
      </c>
    </row>
    <row r="258" spans="8:45" ht="15.75" customHeight="1">
      <c r="H258" s="212" t="e">
        <v>#N/A</v>
      </c>
      <c r="I258" s="205" t="e">
        <v>#N/A</v>
      </c>
      <c r="J258" s="231" t="e">
        <v>#N/A</v>
      </c>
      <c r="K258" s="185" t="e">
        <v>#N/A</v>
      </c>
      <c r="L258" s="185" t="e">
        <v>#N/A</v>
      </c>
      <c r="M258" s="201" t="e">
        <v>#N/A</v>
      </c>
      <c r="N258" s="185" t="e">
        <v>#N/A</v>
      </c>
      <c r="O258" s="185" t="e">
        <v>#N/A</v>
      </c>
      <c r="P258" s="201" t="e">
        <v>#N/A</v>
      </c>
      <c r="Q258" s="205" t="e">
        <v>#N/A</v>
      </c>
      <c r="R258" s="231" t="e">
        <v>#N/A</v>
      </c>
      <c r="S258" s="185" t="e">
        <v>#N/A</v>
      </c>
      <c r="T258" s="185" t="e">
        <v>#N/A</v>
      </c>
      <c r="U258" s="201" t="e">
        <v>#N/A</v>
      </c>
      <c r="V258" s="185" t="e">
        <v>#N/A</v>
      </c>
      <c r="W258" s="185" t="e">
        <v>#N/A</v>
      </c>
      <c r="X258" s="201" t="e">
        <v>#N/A</v>
      </c>
      <c r="Y258" s="205" t="e">
        <v>#N/A</v>
      </c>
      <c r="Z258" s="231" t="e">
        <v>#N/A</v>
      </c>
      <c r="AA258" s="185" t="e">
        <v>#N/A</v>
      </c>
      <c r="AB258" s="185" t="e">
        <v>#N/A</v>
      </c>
      <c r="AC258" s="201" t="e">
        <v>#N/A</v>
      </c>
      <c r="AD258" s="185" t="e">
        <v>#N/A</v>
      </c>
      <c r="AE258" s="185" t="e">
        <v>#N/A</v>
      </c>
      <c r="AF258" s="201" t="e">
        <v>#N/A</v>
      </c>
      <c r="AH258" s="152" t="e">
        <f t="shared" si="36"/>
        <v>#N/A</v>
      </c>
      <c r="AI258" s="152" t="e">
        <f t="shared" si="37"/>
        <v>#N/A</v>
      </c>
      <c r="AJ258" s="152" t="e">
        <f t="shared" si="38"/>
        <v>#N/A</v>
      </c>
      <c r="AK258" s="152" t="e">
        <f t="shared" si="39"/>
        <v>#N/A</v>
      </c>
      <c r="AL258" s="152" t="e">
        <f t="shared" si="40"/>
        <v>#N/A</v>
      </c>
      <c r="AM258" s="152" t="e">
        <f t="shared" si="41"/>
        <v>#N/A</v>
      </c>
      <c r="AN258" s="152" t="e">
        <f t="shared" si="42"/>
        <v>#N/A</v>
      </c>
      <c r="AO258" s="152" t="e">
        <f t="shared" si="43"/>
        <v>#N/A</v>
      </c>
      <c r="AP258" s="152" t="e">
        <f t="shared" si="44"/>
        <v>#N/A</v>
      </c>
      <c r="AQ258" s="152" t="e">
        <f t="shared" si="45"/>
        <v>#N/A</v>
      </c>
      <c r="AR258" s="152" t="e">
        <f t="shared" si="46"/>
        <v>#N/A</v>
      </c>
      <c r="AS258" s="152" t="e">
        <f t="shared" si="47"/>
        <v>#N/A</v>
      </c>
    </row>
    <row r="259" spans="8:45" ht="15.75" customHeight="1">
      <c r="H259" s="212" t="e">
        <v>#N/A</v>
      </c>
      <c r="I259" s="205" t="e">
        <v>#N/A</v>
      </c>
      <c r="J259" s="231" t="e">
        <v>#N/A</v>
      </c>
      <c r="K259" s="185" t="e">
        <v>#N/A</v>
      </c>
      <c r="L259" s="185" t="e">
        <v>#N/A</v>
      </c>
      <c r="M259" s="201" t="e">
        <v>#N/A</v>
      </c>
      <c r="N259" s="185" t="e">
        <v>#N/A</v>
      </c>
      <c r="O259" s="185" t="e">
        <v>#N/A</v>
      </c>
      <c r="P259" s="201" t="e">
        <v>#N/A</v>
      </c>
      <c r="Q259" s="205" t="e">
        <v>#N/A</v>
      </c>
      <c r="R259" s="231" t="e">
        <v>#N/A</v>
      </c>
      <c r="S259" s="185" t="e">
        <v>#N/A</v>
      </c>
      <c r="T259" s="185" t="e">
        <v>#N/A</v>
      </c>
      <c r="U259" s="201" t="e">
        <v>#N/A</v>
      </c>
      <c r="V259" s="185" t="e">
        <v>#N/A</v>
      </c>
      <c r="W259" s="185" t="e">
        <v>#N/A</v>
      </c>
      <c r="X259" s="201" t="e">
        <v>#N/A</v>
      </c>
      <c r="Y259" s="205" t="e">
        <v>#N/A</v>
      </c>
      <c r="Z259" s="231" t="e">
        <v>#N/A</v>
      </c>
      <c r="AA259" s="185" t="e">
        <v>#N/A</v>
      </c>
      <c r="AB259" s="185" t="e">
        <v>#N/A</v>
      </c>
      <c r="AC259" s="201" t="e">
        <v>#N/A</v>
      </c>
      <c r="AD259" s="185" t="e">
        <v>#N/A</v>
      </c>
      <c r="AE259" s="185" t="e">
        <v>#N/A</v>
      </c>
      <c r="AF259" s="201" t="e">
        <v>#N/A</v>
      </c>
      <c r="AH259" s="152" t="e">
        <f t="shared" si="36"/>
        <v>#N/A</v>
      </c>
      <c r="AI259" s="152" t="e">
        <f t="shared" si="37"/>
        <v>#N/A</v>
      </c>
      <c r="AJ259" s="152" t="e">
        <f t="shared" si="38"/>
        <v>#N/A</v>
      </c>
      <c r="AK259" s="152" t="e">
        <f t="shared" si="39"/>
        <v>#N/A</v>
      </c>
      <c r="AL259" s="152" t="e">
        <f t="shared" si="40"/>
        <v>#N/A</v>
      </c>
      <c r="AM259" s="152" t="e">
        <f t="shared" si="41"/>
        <v>#N/A</v>
      </c>
      <c r="AN259" s="152" t="e">
        <f t="shared" si="42"/>
        <v>#N/A</v>
      </c>
      <c r="AO259" s="152" t="e">
        <f t="shared" si="43"/>
        <v>#N/A</v>
      </c>
      <c r="AP259" s="152" t="e">
        <f t="shared" si="44"/>
        <v>#N/A</v>
      </c>
      <c r="AQ259" s="152" t="e">
        <f t="shared" si="45"/>
        <v>#N/A</v>
      </c>
      <c r="AR259" s="152" t="e">
        <f t="shared" si="46"/>
        <v>#N/A</v>
      </c>
      <c r="AS259" s="152" t="e">
        <f t="shared" si="47"/>
        <v>#N/A</v>
      </c>
    </row>
    <row r="260" spans="8:45" ht="15.75" customHeight="1">
      <c r="H260" s="212" t="e">
        <v>#N/A</v>
      </c>
      <c r="I260" s="205" t="e">
        <v>#N/A</v>
      </c>
      <c r="J260" s="231" t="e">
        <v>#N/A</v>
      </c>
      <c r="K260" s="185" t="e">
        <v>#N/A</v>
      </c>
      <c r="L260" s="185" t="e">
        <v>#N/A</v>
      </c>
      <c r="M260" s="201" t="e">
        <v>#N/A</v>
      </c>
      <c r="N260" s="185" t="e">
        <v>#N/A</v>
      </c>
      <c r="O260" s="185" t="e">
        <v>#N/A</v>
      </c>
      <c r="P260" s="201" t="e">
        <v>#N/A</v>
      </c>
      <c r="Q260" s="205" t="e">
        <v>#N/A</v>
      </c>
      <c r="R260" s="231" t="e">
        <v>#N/A</v>
      </c>
      <c r="S260" s="185" t="e">
        <v>#N/A</v>
      </c>
      <c r="T260" s="185" t="e">
        <v>#N/A</v>
      </c>
      <c r="U260" s="201" t="e">
        <v>#N/A</v>
      </c>
      <c r="V260" s="185" t="e">
        <v>#N/A</v>
      </c>
      <c r="W260" s="185" t="e">
        <v>#N/A</v>
      </c>
      <c r="X260" s="201" t="e">
        <v>#N/A</v>
      </c>
      <c r="Y260" s="205" t="e">
        <v>#N/A</v>
      </c>
      <c r="Z260" s="231" t="e">
        <v>#N/A</v>
      </c>
      <c r="AA260" s="185" t="e">
        <v>#N/A</v>
      </c>
      <c r="AB260" s="185" t="e">
        <v>#N/A</v>
      </c>
      <c r="AC260" s="201" t="e">
        <v>#N/A</v>
      </c>
      <c r="AD260" s="185" t="e">
        <v>#N/A</v>
      </c>
      <c r="AE260" s="185" t="e">
        <v>#N/A</v>
      </c>
      <c r="AF260" s="201" t="e">
        <v>#N/A</v>
      </c>
      <c r="AH260" s="152" t="e">
        <f t="shared" si="36"/>
        <v>#N/A</v>
      </c>
      <c r="AI260" s="152" t="e">
        <f t="shared" si="37"/>
        <v>#N/A</v>
      </c>
      <c r="AJ260" s="152" t="e">
        <f t="shared" si="38"/>
        <v>#N/A</v>
      </c>
      <c r="AK260" s="152" t="e">
        <f t="shared" si="39"/>
        <v>#N/A</v>
      </c>
      <c r="AL260" s="152" t="e">
        <f t="shared" si="40"/>
        <v>#N/A</v>
      </c>
      <c r="AM260" s="152" t="e">
        <f t="shared" si="41"/>
        <v>#N/A</v>
      </c>
      <c r="AN260" s="152" t="e">
        <f t="shared" si="42"/>
        <v>#N/A</v>
      </c>
      <c r="AO260" s="152" t="e">
        <f t="shared" si="43"/>
        <v>#N/A</v>
      </c>
      <c r="AP260" s="152" t="e">
        <f t="shared" si="44"/>
        <v>#N/A</v>
      </c>
      <c r="AQ260" s="152" t="e">
        <f t="shared" si="45"/>
        <v>#N/A</v>
      </c>
      <c r="AR260" s="152" t="e">
        <f t="shared" si="46"/>
        <v>#N/A</v>
      </c>
      <c r="AS260" s="152" t="e">
        <f t="shared" si="47"/>
        <v>#N/A</v>
      </c>
    </row>
    <row r="261" spans="8:45" ht="15.75" customHeight="1">
      <c r="H261" s="212" t="e">
        <v>#N/A</v>
      </c>
      <c r="I261" s="205" t="e">
        <v>#N/A</v>
      </c>
      <c r="J261" s="231" t="e">
        <v>#N/A</v>
      </c>
      <c r="K261" s="185" t="e">
        <v>#N/A</v>
      </c>
      <c r="L261" s="185" t="e">
        <v>#N/A</v>
      </c>
      <c r="M261" s="201" t="e">
        <v>#N/A</v>
      </c>
      <c r="N261" s="185" t="e">
        <v>#N/A</v>
      </c>
      <c r="O261" s="185" t="e">
        <v>#N/A</v>
      </c>
      <c r="P261" s="201" t="e">
        <v>#N/A</v>
      </c>
      <c r="Q261" s="205" t="e">
        <v>#N/A</v>
      </c>
      <c r="R261" s="231" t="e">
        <v>#N/A</v>
      </c>
      <c r="S261" s="185" t="e">
        <v>#N/A</v>
      </c>
      <c r="T261" s="185" t="e">
        <v>#N/A</v>
      </c>
      <c r="U261" s="201" t="e">
        <v>#N/A</v>
      </c>
      <c r="V261" s="185" t="e">
        <v>#N/A</v>
      </c>
      <c r="W261" s="185" t="e">
        <v>#N/A</v>
      </c>
      <c r="X261" s="201" t="e">
        <v>#N/A</v>
      </c>
      <c r="Y261" s="205" t="e">
        <v>#N/A</v>
      </c>
      <c r="Z261" s="231" t="e">
        <v>#N/A</v>
      </c>
      <c r="AA261" s="185" t="e">
        <v>#N/A</v>
      </c>
      <c r="AB261" s="185" t="e">
        <v>#N/A</v>
      </c>
      <c r="AC261" s="201" t="e">
        <v>#N/A</v>
      </c>
      <c r="AD261" s="185" t="e">
        <v>#N/A</v>
      </c>
      <c r="AE261" s="185" t="e">
        <v>#N/A</v>
      </c>
      <c r="AF261" s="201" t="e">
        <v>#N/A</v>
      </c>
      <c r="AH261" s="152" t="e">
        <f t="shared" si="36"/>
        <v>#N/A</v>
      </c>
      <c r="AI261" s="152" t="e">
        <f t="shared" si="37"/>
        <v>#N/A</v>
      </c>
      <c r="AJ261" s="152" t="e">
        <f t="shared" si="38"/>
        <v>#N/A</v>
      </c>
      <c r="AK261" s="152" t="e">
        <f t="shared" si="39"/>
        <v>#N/A</v>
      </c>
      <c r="AL261" s="152" t="e">
        <f t="shared" si="40"/>
        <v>#N/A</v>
      </c>
      <c r="AM261" s="152" t="e">
        <f t="shared" si="41"/>
        <v>#N/A</v>
      </c>
      <c r="AN261" s="152" t="e">
        <f t="shared" si="42"/>
        <v>#N/A</v>
      </c>
      <c r="AO261" s="152" t="e">
        <f t="shared" si="43"/>
        <v>#N/A</v>
      </c>
      <c r="AP261" s="152" t="e">
        <f t="shared" si="44"/>
        <v>#N/A</v>
      </c>
      <c r="AQ261" s="152" t="e">
        <f t="shared" si="45"/>
        <v>#N/A</v>
      </c>
      <c r="AR261" s="152" t="e">
        <f t="shared" si="46"/>
        <v>#N/A</v>
      </c>
      <c r="AS261" s="152" t="e">
        <f t="shared" si="47"/>
        <v>#N/A</v>
      </c>
    </row>
    <row r="262" spans="8:45" ht="15.75" customHeight="1">
      <c r="H262" s="212" t="e">
        <v>#N/A</v>
      </c>
      <c r="I262" s="205" t="e">
        <v>#N/A</v>
      </c>
      <c r="J262" s="231" t="e">
        <v>#N/A</v>
      </c>
      <c r="K262" s="185" t="e">
        <v>#N/A</v>
      </c>
      <c r="L262" s="185" t="e">
        <v>#N/A</v>
      </c>
      <c r="M262" s="201" t="e">
        <v>#N/A</v>
      </c>
      <c r="N262" s="185" t="e">
        <v>#N/A</v>
      </c>
      <c r="O262" s="185" t="e">
        <v>#N/A</v>
      </c>
      <c r="P262" s="201" t="e">
        <v>#N/A</v>
      </c>
      <c r="Q262" s="205" t="e">
        <v>#N/A</v>
      </c>
      <c r="R262" s="231" t="e">
        <v>#N/A</v>
      </c>
      <c r="S262" s="185" t="e">
        <v>#N/A</v>
      </c>
      <c r="T262" s="185" t="e">
        <v>#N/A</v>
      </c>
      <c r="U262" s="201" t="e">
        <v>#N/A</v>
      </c>
      <c r="V262" s="185" t="e">
        <v>#N/A</v>
      </c>
      <c r="W262" s="185" t="e">
        <v>#N/A</v>
      </c>
      <c r="X262" s="201" t="e">
        <v>#N/A</v>
      </c>
      <c r="Y262" s="205" t="e">
        <v>#N/A</v>
      </c>
      <c r="Z262" s="231" t="e">
        <v>#N/A</v>
      </c>
      <c r="AA262" s="185" t="e">
        <v>#N/A</v>
      </c>
      <c r="AB262" s="185" t="e">
        <v>#N/A</v>
      </c>
      <c r="AC262" s="201" t="e">
        <v>#N/A</v>
      </c>
      <c r="AD262" s="185" t="e">
        <v>#N/A</v>
      </c>
      <c r="AE262" s="185" t="e">
        <v>#N/A</v>
      </c>
      <c r="AF262" s="201" t="e">
        <v>#N/A</v>
      </c>
      <c r="AH262" s="152" t="e">
        <f t="shared" si="36"/>
        <v>#N/A</v>
      </c>
      <c r="AI262" s="152" t="e">
        <f t="shared" si="37"/>
        <v>#N/A</v>
      </c>
      <c r="AJ262" s="152" t="e">
        <f t="shared" si="38"/>
        <v>#N/A</v>
      </c>
      <c r="AK262" s="152" t="e">
        <f t="shared" si="39"/>
        <v>#N/A</v>
      </c>
      <c r="AL262" s="152" t="e">
        <f t="shared" si="40"/>
        <v>#N/A</v>
      </c>
      <c r="AM262" s="152" t="e">
        <f t="shared" si="41"/>
        <v>#N/A</v>
      </c>
      <c r="AN262" s="152" t="e">
        <f t="shared" si="42"/>
        <v>#N/A</v>
      </c>
      <c r="AO262" s="152" t="e">
        <f t="shared" si="43"/>
        <v>#N/A</v>
      </c>
      <c r="AP262" s="152" t="e">
        <f t="shared" si="44"/>
        <v>#N/A</v>
      </c>
      <c r="AQ262" s="152" t="e">
        <f t="shared" si="45"/>
        <v>#N/A</v>
      </c>
      <c r="AR262" s="152" t="e">
        <f t="shared" si="46"/>
        <v>#N/A</v>
      </c>
      <c r="AS262" s="152" t="e">
        <f t="shared" si="47"/>
        <v>#N/A</v>
      </c>
    </row>
    <row r="263" spans="8:45" ht="15.75" customHeight="1">
      <c r="H263" s="212" t="e">
        <v>#N/A</v>
      </c>
      <c r="I263" s="205" t="e">
        <v>#N/A</v>
      </c>
      <c r="J263" s="231" t="e">
        <v>#N/A</v>
      </c>
      <c r="K263" s="185" t="e">
        <v>#N/A</v>
      </c>
      <c r="L263" s="185" t="e">
        <v>#N/A</v>
      </c>
      <c r="M263" s="201" t="e">
        <v>#N/A</v>
      </c>
      <c r="N263" s="185" t="e">
        <v>#N/A</v>
      </c>
      <c r="O263" s="185" t="e">
        <v>#N/A</v>
      </c>
      <c r="P263" s="201" t="e">
        <v>#N/A</v>
      </c>
      <c r="Q263" s="205" t="e">
        <v>#N/A</v>
      </c>
      <c r="R263" s="231" t="e">
        <v>#N/A</v>
      </c>
      <c r="S263" s="185" t="e">
        <v>#N/A</v>
      </c>
      <c r="T263" s="185" t="e">
        <v>#N/A</v>
      </c>
      <c r="U263" s="201" t="e">
        <v>#N/A</v>
      </c>
      <c r="V263" s="185" t="e">
        <v>#N/A</v>
      </c>
      <c r="W263" s="185" t="e">
        <v>#N/A</v>
      </c>
      <c r="X263" s="201" t="e">
        <v>#N/A</v>
      </c>
      <c r="Y263" s="205" t="e">
        <v>#N/A</v>
      </c>
      <c r="Z263" s="231" t="e">
        <v>#N/A</v>
      </c>
      <c r="AA263" s="185" t="e">
        <v>#N/A</v>
      </c>
      <c r="AB263" s="185" t="e">
        <v>#N/A</v>
      </c>
      <c r="AC263" s="201" t="e">
        <v>#N/A</v>
      </c>
      <c r="AD263" s="185" t="e">
        <v>#N/A</v>
      </c>
      <c r="AE263" s="185" t="e">
        <v>#N/A</v>
      </c>
      <c r="AF263" s="201" t="e">
        <v>#N/A</v>
      </c>
      <c r="AH263" s="152" t="e">
        <f t="shared" si="36"/>
        <v>#N/A</v>
      </c>
      <c r="AI263" s="152" t="e">
        <f t="shared" si="37"/>
        <v>#N/A</v>
      </c>
      <c r="AJ263" s="152" t="e">
        <f t="shared" si="38"/>
        <v>#N/A</v>
      </c>
      <c r="AK263" s="152" t="e">
        <f t="shared" si="39"/>
        <v>#N/A</v>
      </c>
      <c r="AL263" s="152" t="e">
        <f t="shared" si="40"/>
        <v>#N/A</v>
      </c>
      <c r="AM263" s="152" t="e">
        <f t="shared" si="41"/>
        <v>#N/A</v>
      </c>
      <c r="AN263" s="152" t="e">
        <f t="shared" si="42"/>
        <v>#N/A</v>
      </c>
      <c r="AO263" s="152" t="e">
        <f t="shared" si="43"/>
        <v>#N/A</v>
      </c>
      <c r="AP263" s="152" t="e">
        <f t="shared" si="44"/>
        <v>#N/A</v>
      </c>
      <c r="AQ263" s="152" t="e">
        <f t="shared" si="45"/>
        <v>#N/A</v>
      </c>
      <c r="AR263" s="152" t="e">
        <f t="shared" si="46"/>
        <v>#N/A</v>
      </c>
      <c r="AS263" s="152" t="e">
        <f t="shared" si="47"/>
        <v>#N/A</v>
      </c>
    </row>
    <row r="264" spans="8:45" ht="15.75" customHeight="1">
      <c r="H264" s="212" t="e">
        <v>#N/A</v>
      </c>
      <c r="I264" s="205" t="e">
        <v>#N/A</v>
      </c>
      <c r="J264" s="231" t="e">
        <v>#N/A</v>
      </c>
      <c r="K264" s="185" t="e">
        <v>#N/A</v>
      </c>
      <c r="L264" s="185" t="e">
        <v>#N/A</v>
      </c>
      <c r="M264" s="201" t="e">
        <v>#N/A</v>
      </c>
      <c r="N264" s="185" t="e">
        <v>#N/A</v>
      </c>
      <c r="O264" s="185" t="e">
        <v>#N/A</v>
      </c>
      <c r="P264" s="201" t="e">
        <v>#N/A</v>
      </c>
      <c r="Q264" s="205" t="e">
        <v>#N/A</v>
      </c>
      <c r="R264" s="231" t="e">
        <v>#N/A</v>
      </c>
      <c r="S264" s="185" t="e">
        <v>#N/A</v>
      </c>
      <c r="T264" s="185" t="e">
        <v>#N/A</v>
      </c>
      <c r="U264" s="201" t="e">
        <v>#N/A</v>
      </c>
      <c r="V264" s="185" t="e">
        <v>#N/A</v>
      </c>
      <c r="W264" s="185" t="e">
        <v>#N/A</v>
      </c>
      <c r="X264" s="201" t="e">
        <v>#N/A</v>
      </c>
      <c r="Y264" s="205" t="e">
        <v>#N/A</v>
      </c>
      <c r="Z264" s="231" t="e">
        <v>#N/A</v>
      </c>
      <c r="AA264" s="185" t="e">
        <v>#N/A</v>
      </c>
      <c r="AB264" s="185" t="e">
        <v>#N/A</v>
      </c>
      <c r="AC264" s="201" t="e">
        <v>#N/A</v>
      </c>
      <c r="AD264" s="185" t="e">
        <v>#N/A</v>
      </c>
      <c r="AE264" s="185" t="e">
        <v>#N/A</v>
      </c>
      <c r="AF264" s="201" t="e">
        <v>#N/A</v>
      </c>
      <c r="AH264" s="152" t="e">
        <f t="shared" si="36"/>
        <v>#N/A</v>
      </c>
      <c r="AI264" s="152" t="e">
        <f t="shared" si="37"/>
        <v>#N/A</v>
      </c>
      <c r="AJ264" s="152" t="e">
        <f t="shared" si="38"/>
        <v>#N/A</v>
      </c>
      <c r="AK264" s="152" t="e">
        <f t="shared" si="39"/>
        <v>#N/A</v>
      </c>
      <c r="AL264" s="152" t="e">
        <f t="shared" si="40"/>
        <v>#N/A</v>
      </c>
      <c r="AM264" s="152" t="e">
        <f t="shared" si="41"/>
        <v>#N/A</v>
      </c>
      <c r="AN264" s="152" t="e">
        <f t="shared" si="42"/>
        <v>#N/A</v>
      </c>
      <c r="AO264" s="152" t="e">
        <f t="shared" si="43"/>
        <v>#N/A</v>
      </c>
      <c r="AP264" s="152" t="e">
        <f t="shared" si="44"/>
        <v>#N/A</v>
      </c>
      <c r="AQ264" s="152" t="e">
        <f t="shared" si="45"/>
        <v>#N/A</v>
      </c>
      <c r="AR264" s="152" t="e">
        <f t="shared" si="46"/>
        <v>#N/A</v>
      </c>
      <c r="AS264" s="152" t="e">
        <f t="shared" si="47"/>
        <v>#N/A</v>
      </c>
    </row>
    <row r="265" spans="8:45" ht="15.75" customHeight="1">
      <c r="H265" s="212" t="e">
        <v>#N/A</v>
      </c>
      <c r="I265" s="205" t="e">
        <v>#N/A</v>
      </c>
      <c r="J265" s="231" t="e">
        <v>#N/A</v>
      </c>
      <c r="K265" s="185" t="e">
        <v>#N/A</v>
      </c>
      <c r="L265" s="185" t="e">
        <v>#N/A</v>
      </c>
      <c r="M265" s="201" t="e">
        <v>#N/A</v>
      </c>
      <c r="N265" s="185" t="e">
        <v>#N/A</v>
      </c>
      <c r="O265" s="185" t="e">
        <v>#N/A</v>
      </c>
      <c r="P265" s="201" t="e">
        <v>#N/A</v>
      </c>
      <c r="Q265" s="205" t="e">
        <v>#N/A</v>
      </c>
      <c r="R265" s="231" t="e">
        <v>#N/A</v>
      </c>
      <c r="S265" s="185" t="e">
        <v>#N/A</v>
      </c>
      <c r="T265" s="185" t="e">
        <v>#N/A</v>
      </c>
      <c r="U265" s="201" t="e">
        <v>#N/A</v>
      </c>
      <c r="V265" s="185" t="e">
        <v>#N/A</v>
      </c>
      <c r="W265" s="185" t="e">
        <v>#N/A</v>
      </c>
      <c r="X265" s="201" t="e">
        <v>#N/A</v>
      </c>
      <c r="Y265" s="205" t="e">
        <v>#N/A</v>
      </c>
      <c r="Z265" s="231" t="e">
        <v>#N/A</v>
      </c>
      <c r="AA265" s="185" t="e">
        <v>#N/A</v>
      </c>
      <c r="AB265" s="185" t="e">
        <v>#N/A</v>
      </c>
      <c r="AC265" s="201" t="e">
        <v>#N/A</v>
      </c>
      <c r="AD265" s="185" t="e">
        <v>#N/A</v>
      </c>
      <c r="AE265" s="185" t="e">
        <v>#N/A</v>
      </c>
      <c r="AF265" s="201" t="e">
        <v>#N/A</v>
      </c>
      <c r="AH265" s="152" t="e">
        <f t="shared" ref="AH265:AH307" si="48">IFERROR(SUM(K265,L265*$AH$5),NA())</f>
        <v>#N/A</v>
      </c>
      <c r="AI265" s="152" t="e">
        <f t="shared" ref="AI265:AI307" si="49">IFERROR(L265*$AI$5,NA())</f>
        <v>#N/A</v>
      </c>
      <c r="AJ265" s="152" t="e">
        <f t="shared" ref="AJ265:AJ307" si="50">IFERROR(SUM(N265,O265*$AH$5),NA())</f>
        <v>#N/A</v>
      </c>
      <c r="AK265" s="152" t="e">
        <f t="shared" ref="AK265:AK307" si="51">IFERROR(O265*$AI$5,NA())</f>
        <v>#N/A</v>
      </c>
      <c r="AL265" s="152" t="e">
        <f t="shared" ref="AL265:AL307" si="52">IFERROR(SUM(S265,T265*$AH$5),NA())</f>
        <v>#N/A</v>
      </c>
      <c r="AM265" s="152" t="e">
        <f t="shared" ref="AM265:AM307" si="53">IFERROR(T265*$AI$5,NA())</f>
        <v>#N/A</v>
      </c>
      <c r="AN265" s="152" t="e">
        <f t="shared" ref="AN265:AN307" si="54">IFERROR(SUM(V265,W265*$AH$5),NA())</f>
        <v>#N/A</v>
      </c>
      <c r="AO265" s="152" t="e">
        <f t="shared" ref="AO265:AO307" si="55">IFERROR(W265*$AI$5,NA())</f>
        <v>#N/A</v>
      </c>
      <c r="AP265" s="152" t="e">
        <f t="shared" ref="AP265:AP307" si="56">IFERROR(SUM(AA265,AB265*$AH$5),NA())</f>
        <v>#N/A</v>
      </c>
      <c r="AQ265" s="152" t="e">
        <f t="shared" ref="AQ265:AQ307" si="57">IFERROR(AB265*$AI$5,NA())</f>
        <v>#N/A</v>
      </c>
      <c r="AR265" s="152" t="e">
        <f t="shared" ref="AR265:AR307" si="58">IFERROR(SUM(AD265,AE265*$AH$5),NA())</f>
        <v>#N/A</v>
      </c>
      <c r="AS265" s="152" t="e">
        <f t="shared" ref="AS265:AS307" si="59">IFERROR(AE265*$AI$5,NA())</f>
        <v>#N/A</v>
      </c>
    </row>
    <row r="266" spans="8:45" ht="15.75" customHeight="1">
      <c r="H266" s="212" t="e">
        <v>#N/A</v>
      </c>
      <c r="I266" s="205" t="e">
        <v>#N/A</v>
      </c>
      <c r="J266" s="231" t="e">
        <v>#N/A</v>
      </c>
      <c r="K266" s="185" t="e">
        <v>#N/A</v>
      </c>
      <c r="L266" s="185" t="e">
        <v>#N/A</v>
      </c>
      <c r="M266" s="201" t="e">
        <v>#N/A</v>
      </c>
      <c r="N266" s="185" t="e">
        <v>#N/A</v>
      </c>
      <c r="O266" s="185" t="e">
        <v>#N/A</v>
      </c>
      <c r="P266" s="201" t="e">
        <v>#N/A</v>
      </c>
      <c r="Q266" s="205" t="e">
        <v>#N/A</v>
      </c>
      <c r="R266" s="231" t="e">
        <v>#N/A</v>
      </c>
      <c r="S266" s="185" t="e">
        <v>#N/A</v>
      </c>
      <c r="T266" s="185" t="e">
        <v>#N/A</v>
      </c>
      <c r="U266" s="201" t="e">
        <v>#N/A</v>
      </c>
      <c r="V266" s="185" t="e">
        <v>#N/A</v>
      </c>
      <c r="W266" s="185" t="e">
        <v>#N/A</v>
      </c>
      <c r="X266" s="201" t="e">
        <v>#N/A</v>
      </c>
      <c r="Y266" s="205" t="e">
        <v>#N/A</v>
      </c>
      <c r="Z266" s="231" t="e">
        <v>#N/A</v>
      </c>
      <c r="AA266" s="185" t="e">
        <v>#N/A</v>
      </c>
      <c r="AB266" s="185" t="e">
        <v>#N/A</v>
      </c>
      <c r="AC266" s="201" t="e">
        <v>#N/A</v>
      </c>
      <c r="AD266" s="185" t="e">
        <v>#N/A</v>
      </c>
      <c r="AE266" s="185" t="e">
        <v>#N/A</v>
      </c>
      <c r="AF266" s="201" t="e">
        <v>#N/A</v>
      </c>
      <c r="AH266" s="152" t="e">
        <f t="shared" si="48"/>
        <v>#N/A</v>
      </c>
      <c r="AI266" s="152" t="e">
        <f t="shared" si="49"/>
        <v>#N/A</v>
      </c>
      <c r="AJ266" s="152" t="e">
        <f t="shared" si="50"/>
        <v>#N/A</v>
      </c>
      <c r="AK266" s="152" t="e">
        <f t="shared" si="51"/>
        <v>#N/A</v>
      </c>
      <c r="AL266" s="152" t="e">
        <f t="shared" si="52"/>
        <v>#N/A</v>
      </c>
      <c r="AM266" s="152" t="e">
        <f t="shared" si="53"/>
        <v>#N/A</v>
      </c>
      <c r="AN266" s="152" t="e">
        <f t="shared" si="54"/>
        <v>#N/A</v>
      </c>
      <c r="AO266" s="152" t="e">
        <f t="shared" si="55"/>
        <v>#N/A</v>
      </c>
      <c r="AP266" s="152" t="e">
        <f t="shared" si="56"/>
        <v>#N/A</v>
      </c>
      <c r="AQ266" s="152" t="e">
        <f t="shared" si="57"/>
        <v>#N/A</v>
      </c>
      <c r="AR266" s="152" t="e">
        <f t="shared" si="58"/>
        <v>#N/A</v>
      </c>
      <c r="AS266" s="152" t="e">
        <f t="shared" si="59"/>
        <v>#N/A</v>
      </c>
    </row>
    <row r="267" spans="8:45" ht="15.75" customHeight="1">
      <c r="H267" s="212" t="e">
        <v>#N/A</v>
      </c>
      <c r="I267" s="205" t="e">
        <v>#N/A</v>
      </c>
      <c r="J267" s="231" t="e">
        <v>#N/A</v>
      </c>
      <c r="K267" s="185" t="e">
        <v>#N/A</v>
      </c>
      <c r="L267" s="185" t="e">
        <v>#N/A</v>
      </c>
      <c r="M267" s="201" t="e">
        <v>#N/A</v>
      </c>
      <c r="N267" s="185" t="e">
        <v>#N/A</v>
      </c>
      <c r="O267" s="185" t="e">
        <v>#N/A</v>
      </c>
      <c r="P267" s="201" t="e">
        <v>#N/A</v>
      </c>
      <c r="Q267" s="205" t="e">
        <v>#N/A</v>
      </c>
      <c r="R267" s="231" t="e">
        <v>#N/A</v>
      </c>
      <c r="S267" s="185" t="e">
        <v>#N/A</v>
      </c>
      <c r="T267" s="185" t="e">
        <v>#N/A</v>
      </c>
      <c r="U267" s="201" t="e">
        <v>#N/A</v>
      </c>
      <c r="V267" s="185" t="e">
        <v>#N/A</v>
      </c>
      <c r="W267" s="185" t="e">
        <v>#N/A</v>
      </c>
      <c r="X267" s="201" t="e">
        <v>#N/A</v>
      </c>
      <c r="Y267" s="205" t="e">
        <v>#N/A</v>
      </c>
      <c r="Z267" s="231" t="e">
        <v>#N/A</v>
      </c>
      <c r="AA267" s="185" t="e">
        <v>#N/A</v>
      </c>
      <c r="AB267" s="185" t="e">
        <v>#N/A</v>
      </c>
      <c r="AC267" s="201" t="e">
        <v>#N/A</v>
      </c>
      <c r="AD267" s="185" t="e">
        <v>#N/A</v>
      </c>
      <c r="AE267" s="185" t="e">
        <v>#N/A</v>
      </c>
      <c r="AF267" s="201" t="e">
        <v>#N/A</v>
      </c>
      <c r="AH267" s="152" t="e">
        <f t="shared" si="48"/>
        <v>#N/A</v>
      </c>
      <c r="AI267" s="152" t="e">
        <f t="shared" si="49"/>
        <v>#N/A</v>
      </c>
      <c r="AJ267" s="152" t="e">
        <f t="shared" si="50"/>
        <v>#N/A</v>
      </c>
      <c r="AK267" s="152" t="e">
        <f t="shared" si="51"/>
        <v>#N/A</v>
      </c>
      <c r="AL267" s="152" t="e">
        <f t="shared" si="52"/>
        <v>#N/A</v>
      </c>
      <c r="AM267" s="152" t="e">
        <f t="shared" si="53"/>
        <v>#N/A</v>
      </c>
      <c r="AN267" s="152" t="e">
        <f t="shared" si="54"/>
        <v>#N/A</v>
      </c>
      <c r="AO267" s="152" t="e">
        <f t="shared" si="55"/>
        <v>#N/A</v>
      </c>
      <c r="AP267" s="152" t="e">
        <f t="shared" si="56"/>
        <v>#N/A</v>
      </c>
      <c r="AQ267" s="152" t="e">
        <f t="shared" si="57"/>
        <v>#N/A</v>
      </c>
      <c r="AR267" s="152" t="e">
        <f t="shared" si="58"/>
        <v>#N/A</v>
      </c>
      <c r="AS267" s="152" t="e">
        <f t="shared" si="59"/>
        <v>#N/A</v>
      </c>
    </row>
    <row r="268" spans="8:45" ht="15.75" customHeight="1">
      <c r="H268" s="212" t="e">
        <v>#N/A</v>
      </c>
      <c r="I268" s="205" t="e">
        <v>#N/A</v>
      </c>
      <c r="J268" s="231" t="e">
        <v>#N/A</v>
      </c>
      <c r="K268" s="185" t="e">
        <v>#N/A</v>
      </c>
      <c r="L268" s="185" t="e">
        <v>#N/A</v>
      </c>
      <c r="M268" s="201" t="e">
        <v>#N/A</v>
      </c>
      <c r="N268" s="185" t="e">
        <v>#N/A</v>
      </c>
      <c r="O268" s="185" t="e">
        <v>#N/A</v>
      </c>
      <c r="P268" s="201" t="e">
        <v>#N/A</v>
      </c>
      <c r="Q268" s="205" t="e">
        <v>#N/A</v>
      </c>
      <c r="R268" s="231" t="e">
        <v>#N/A</v>
      </c>
      <c r="S268" s="185" t="e">
        <v>#N/A</v>
      </c>
      <c r="T268" s="185" t="e">
        <v>#N/A</v>
      </c>
      <c r="U268" s="201" t="e">
        <v>#N/A</v>
      </c>
      <c r="V268" s="185" t="e">
        <v>#N/A</v>
      </c>
      <c r="W268" s="185" t="e">
        <v>#N/A</v>
      </c>
      <c r="X268" s="201" t="e">
        <v>#N/A</v>
      </c>
      <c r="Y268" s="205" t="e">
        <v>#N/A</v>
      </c>
      <c r="Z268" s="231" t="e">
        <v>#N/A</v>
      </c>
      <c r="AA268" s="185" t="e">
        <v>#N/A</v>
      </c>
      <c r="AB268" s="185" t="e">
        <v>#N/A</v>
      </c>
      <c r="AC268" s="201" t="e">
        <v>#N/A</v>
      </c>
      <c r="AD268" s="185" t="e">
        <v>#N/A</v>
      </c>
      <c r="AE268" s="185" t="e">
        <v>#N/A</v>
      </c>
      <c r="AF268" s="201" t="e">
        <v>#N/A</v>
      </c>
      <c r="AH268" s="152" t="e">
        <f t="shared" si="48"/>
        <v>#N/A</v>
      </c>
      <c r="AI268" s="152" t="e">
        <f t="shared" si="49"/>
        <v>#N/A</v>
      </c>
      <c r="AJ268" s="152" t="e">
        <f t="shared" si="50"/>
        <v>#N/A</v>
      </c>
      <c r="AK268" s="152" t="e">
        <f t="shared" si="51"/>
        <v>#N/A</v>
      </c>
      <c r="AL268" s="152" t="e">
        <f t="shared" si="52"/>
        <v>#N/A</v>
      </c>
      <c r="AM268" s="152" t="e">
        <f t="shared" si="53"/>
        <v>#N/A</v>
      </c>
      <c r="AN268" s="152" t="e">
        <f t="shared" si="54"/>
        <v>#N/A</v>
      </c>
      <c r="AO268" s="152" t="e">
        <f t="shared" si="55"/>
        <v>#N/A</v>
      </c>
      <c r="AP268" s="152" t="e">
        <f t="shared" si="56"/>
        <v>#N/A</v>
      </c>
      <c r="AQ268" s="152" t="e">
        <f t="shared" si="57"/>
        <v>#N/A</v>
      </c>
      <c r="AR268" s="152" t="e">
        <f t="shared" si="58"/>
        <v>#N/A</v>
      </c>
      <c r="AS268" s="152" t="e">
        <f t="shared" si="59"/>
        <v>#N/A</v>
      </c>
    </row>
    <row r="269" spans="8:45" ht="15.75" customHeight="1">
      <c r="H269" s="212" t="e">
        <v>#N/A</v>
      </c>
      <c r="I269" s="205" t="e">
        <v>#N/A</v>
      </c>
      <c r="J269" s="231" t="e">
        <v>#N/A</v>
      </c>
      <c r="K269" s="185" t="e">
        <v>#N/A</v>
      </c>
      <c r="L269" s="185" t="e">
        <v>#N/A</v>
      </c>
      <c r="M269" s="201" t="e">
        <v>#N/A</v>
      </c>
      <c r="N269" s="185" t="e">
        <v>#N/A</v>
      </c>
      <c r="O269" s="185" t="e">
        <v>#N/A</v>
      </c>
      <c r="P269" s="201" t="e">
        <v>#N/A</v>
      </c>
      <c r="Q269" s="205" t="e">
        <v>#N/A</v>
      </c>
      <c r="R269" s="231" t="e">
        <v>#N/A</v>
      </c>
      <c r="S269" s="185" t="e">
        <v>#N/A</v>
      </c>
      <c r="T269" s="185" t="e">
        <v>#N/A</v>
      </c>
      <c r="U269" s="201" t="e">
        <v>#N/A</v>
      </c>
      <c r="V269" s="185" t="e">
        <v>#N/A</v>
      </c>
      <c r="W269" s="185" t="e">
        <v>#N/A</v>
      </c>
      <c r="X269" s="201" t="e">
        <v>#N/A</v>
      </c>
      <c r="Y269" s="205" t="e">
        <v>#N/A</v>
      </c>
      <c r="Z269" s="231" t="e">
        <v>#N/A</v>
      </c>
      <c r="AA269" s="185" t="e">
        <v>#N/A</v>
      </c>
      <c r="AB269" s="185" t="e">
        <v>#N/A</v>
      </c>
      <c r="AC269" s="201" t="e">
        <v>#N/A</v>
      </c>
      <c r="AD269" s="185" t="e">
        <v>#N/A</v>
      </c>
      <c r="AE269" s="185" t="e">
        <v>#N/A</v>
      </c>
      <c r="AF269" s="201" t="e">
        <v>#N/A</v>
      </c>
      <c r="AH269" s="152" t="e">
        <f t="shared" si="48"/>
        <v>#N/A</v>
      </c>
      <c r="AI269" s="152" t="e">
        <f t="shared" si="49"/>
        <v>#N/A</v>
      </c>
      <c r="AJ269" s="152" t="e">
        <f t="shared" si="50"/>
        <v>#N/A</v>
      </c>
      <c r="AK269" s="152" t="e">
        <f t="shared" si="51"/>
        <v>#N/A</v>
      </c>
      <c r="AL269" s="152" t="e">
        <f t="shared" si="52"/>
        <v>#N/A</v>
      </c>
      <c r="AM269" s="152" t="e">
        <f t="shared" si="53"/>
        <v>#N/A</v>
      </c>
      <c r="AN269" s="152" t="e">
        <f t="shared" si="54"/>
        <v>#N/A</v>
      </c>
      <c r="AO269" s="152" t="e">
        <f t="shared" si="55"/>
        <v>#N/A</v>
      </c>
      <c r="AP269" s="152" t="e">
        <f t="shared" si="56"/>
        <v>#N/A</v>
      </c>
      <c r="AQ269" s="152" t="e">
        <f t="shared" si="57"/>
        <v>#N/A</v>
      </c>
      <c r="AR269" s="152" t="e">
        <f t="shared" si="58"/>
        <v>#N/A</v>
      </c>
      <c r="AS269" s="152" t="e">
        <f t="shared" si="59"/>
        <v>#N/A</v>
      </c>
    </row>
    <row r="270" spans="8:45" ht="15.75" customHeight="1">
      <c r="H270" s="212" t="e">
        <v>#N/A</v>
      </c>
      <c r="I270" s="205" t="e">
        <v>#N/A</v>
      </c>
      <c r="J270" s="231" t="e">
        <v>#N/A</v>
      </c>
      <c r="K270" s="185" t="e">
        <v>#N/A</v>
      </c>
      <c r="L270" s="185" t="e">
        <v>#N/A</v>
      </c>
      <c r="M270" s="201" t="e">
        <v>#N/A</v>
      </c>
      <c r="N270" s="185" t="e">
        <v>#N/A</v>
      </c>
      <c r="O270" s="185" t="e">
        <v>#N/A</v>
      </c>
      <c r="P270" s="201" t="e">
        <v>#N/A</v>
      </c>
      <c r="Q270" s="205" t="e">
        <v>#N/A</v>
      </c>
      <c r="R270" s="231" t="e">
        <v>#N/A</v>
      </c>
      <c r="S270" s="185" t="e">
        <v>#N/A</v>
      </c>
      <c r="T270" s="185" t="e">
        <v>#N/A</v>
      </c>
      <c r="U270" s="201" t="e">
        <v>#N/A</v>
      </c>
      <c r="V270" s="185" t="e">
        <v>#N/A</v>
      </c>
      <c r="W270" s="185" t="e">
        <v>#N/A</v>
      </c>
      <c r="X270" s="201" t="e">
        <v>#N/A</v>
      </c>
      <c r="Y270" s="205" t="e">
        <v>#N/A</v>
      </c>
      <c r="Z270" s="231" t="e">
        <v>#N/A</v>
      </c>
      <c r="AA270" s="185" t="e">
        <v>#N/A</v>
      </c>
      <c r="AB270" s="185" t="e">
        <v>#N/A</v>
      </c>
      <c r="AC270" s="201" t="e">
        <v>#N/A</v>
      </c>
      <c r="AD270" s="185" t="e">
        <v>#N/A</v>
      </c>
      <c r="AE270" s="185" t="e">
        <v>#N/A</v>
      </c>
      <c r="AF270" s="201" t="e">
        <v>#N/A</v>
      </c>
      <c r="AH270" s="152" t="e">
        <f t="shared" si="48"/>
        <v>#N/A</v>
      </c>
      <c r="AI270" s="152" t="e">
        <f t="shared" si="49"/>
        <v>#N/A</v>
      </c>
      <c r="AJ270" s="152" t="e">
        <f t="shared" si="50"/>
        <v>#N/A</v>
      </c>
      <c r="AK270" s="152" t="e">
        <f t="shared" si="51"/>
        <v>#N/A</v>
      </c>
      <c r="AL270" s="152" t="e">
        <f t="shared" si="52"/>
        <v>#N/A</v>
      </c>
      <c r="AM270" s="152" t="e">
        <f t="shared" si="53"/>
        <v>#N/A</v>
      </c>
      <c r="AN270" s="152" t="e">
        <f t="shared" si="54"/>
        <v>#N/A</v>
      </c>
      <c r="AO270" s="152" t="e">
        <f t="shared" si="55"/>
        <v>#N/A</v>
      </c>
      <c r="AP270" s="152" t="e">
        <f t="shared" si="56"/>
        <v>#N/A</v>
      </c>
      <c r="AQ270" s="152" t="e">
        <f t="shared" si="57"/>
        <v>#N/A</v>
      </c>
      <c r="AR270" s="152" t="e">
        <f t="shared" si="58"/>
        <v>#N/A</v>
      </c>
      <c r="AS270" s="152" t="e">
        <f t="shared" si="59"/>
        <v>#N/A</v>
      </c>
    </row>
    <row r="271" spans="8:45" ht="15.75" customHeight="1">
      <c r="H271" s="212" t="e">
        <v>#N/A</v>
      </c>
      <c r="I271" s="205" t="e">
        <v>#N/A</v>
      </c>
      <c r="J271" s="231" t="e">
        <v>#N/A</v>
      </c>
      <c r="K271" s="185" t="e">
        <v>#N/A</v>
      </c>
      <c r="L271" s="185" t="e">
        <v>#N/A</v>
      </c>
      <c r="M271" s="201" t="e">
        <v>#N/A</v>
      </c>
      <c r="N271" s="185" t="e">
        <v>#N/A</v>
      </c>
      <c r="O271" s="185" t="e">
        <v>#N/A</v>
      </c>
      <c r="P271" s="201" t="e">
        <v>#N/A</v>
      </c>
      <c r="Q271" s="205" t="e">
        <v>#N/A</v>
      </c>
      <c r="R271" s="231" t="e">
        <v>#N/A</v>
      </c>
      <c r="S271" s="185" t="e">
        <v>#N/A</v>
      </c>
      <c r="T271" s="185" t="e">
        <v>#N/A</v>
      </c>
      <c r="U271" s="201" t="e">
        <v>#N/A</v>
      </c>
      <c r="V271" s="185" t="e">
        <v>#N/A</v>
      </c>
      <c r="W271" s="185" t="e">
        <v>#N/A</v>
      </c>
      <c r="X271" s="201" t="e">
        <v>#N/A</v>
      </c>
      <c r="Y271" s="205" t="e">
        <v>#N/A</v>
      </c>
      <c r="Z271" s="231" t="e">
        <v>#N/A</v>
      </c>
      <c r="AA271" s="185" t="e">
        <v>#N/A</v>
      </c>
      <c r="AB271" s="185" t="e">
        <v>#N/A</v>
      </c>
      <c r="AC271" s="201" t="e">
        <v>#N/A</v>
      </c>
      <c r="AD271" s="185" t="e">
        <v>#N/A</v>
      </c>
      <c r="AE271" s="185" t="e">
        <v>#N/A</v>
      </c>
      <c r="AF271" s="201" t="e">
        <v>#N/A</v>
      </c>
      <c r="AH271" s="152" t="e">
        <f t="shared" si="48"/>
        <v>#N/A</v>
      </c>
      <c r="AI271" s="152" t="e">
        <f t="shared" si="49"/>
        <v>#N/A</v>
      </c>
      <c r="AJ271" s="152" t="e">
        <f t="shared" si="50"/>
        <v>#N/A</v>
      </c>
      <c r="AK271" s="152" t="e">
        <f t="shared" si="51"/>
        <v>#N/A</v>
      </c>
      <c r="AL271" s="152" t="e">
        <f t="shared" si="52"/>
        <v>#N/A</v>
      </c>
      <c r="AM271" s="152" t="e">
        <f t="shared" si="53"/>
        <v>#N/A</v>
      </c>
      <c r="AN271" s="152" t="e">
        <f t="shared" si="54"/>
        <v>#N/A</v>
      </c>
      <c r="AO271" s="152" t="e">
        <f t="shared" si="55"/>
        <v>#N/A</v>
      </c>
      <c r="AP271" s="152" t="e">
        <f t="shared" si="56"/>
        <v>#N/A</v>
      </c>
      <c r="AQ271" s="152" t="e">
        <f t="shared" si="57"/>
        <v>#N/A</v>
      </c>
      <c r="AR271" s="152" t="e">
        <f t="shared" si="58"/>
        <v>#N/A</v>
      </c>
      <c r="AS271" s="152" t="e">
        <f t="shared" si="59"/>
        <v>#N/A</v>
      </c>
    </row>
    <row r="272" spans="8:45" ht="15.75" customHeight="1">
      <c r="H272" s="212" t="e">
        <v>#N/A</v>
      </c>
      <c r="I272" s="205" t="e">
        <v>#N/A</v>
      </c>
      <c r="J272" s="231" t="e">
        <v>#N/A</v>
      </c>
      <c r="K272" s="185" t="e">
        <v>#N/A</v>
      </c>
      <c r="L272" s="185" t="e">
        <v>#N/A</v>
      </c>
      <c r="M272" s="201" t="e">
        <v>#N/A</v>
      </c>
      <c r="N272" s="185" t="e">
        <v>#N/A</v>
      </c>
      <c r="O272" s="185" t="e">
        <v>#N/A</v>
      </c>
      <c r="P272" s="201" t="e">
        <v>#N/A</v>
      </c>
      <c r="Q272" s="205" t="e">
        <v>#N/A</v>
      </c>
      <c r="R272" s="231" t="e">
        <v>#N/A</v>
      </c>
      <c r="S272" s="185" t="e">
        <v>#N/A</v>
      </c>
      <c r="T272" s="185" t="e">
        <v>#N/A</v>
      </c>
      <c r="U272" s="201" t="e">
        <v>#N/A</v>
      </c>
      <c r="V272" s="185" t="e">
        <v>#N/A</v>
      </c>
      <c r="W272" s="185" t="e">
        <v>#N/A</v>
      </c>
      <c r="X272" s="201" t="e">
        <v>#N/A</v>
      </c>
      <c r="Y272" s="205" t="e">
        <v>#N/A</v>
      </c>
      <c r="Z272" s="231" t="e">
        <v>#N/A</v>
      </c>
      <c r="AA272" s="185" t="e">
        <v>#N/A</v>
      </c>
      <c r="AB272" s="185" t="e">
        <v>#N/A</v>
      </c>
      <c r="AC272" s="201" t="e">
        <v>#N/A</v>
      </c>
      <c r="AD272" s="185" t="e">
        <v>#N/A</v>
      </c>
      <c r="AE272" s="185" t="e">
        <v>#N/A</v>
      </c>
      <c r="AF272" s="201" t="e">
        <v>#N/A</v>
      </c>
      <c r="AH272" s="152" t="e">
        <f t="shared" si="48"/>
        <v>#N/A</v>
      </c>
      <c r="AI272" s="152" t="e">
        <f t="shared" si="49"/>
        <v>#N/A</v>
      </c>
      <c r="AJ272" s="152" t="e">
        <f t="shared" si="50"/>
        <v>#N/A</v>
      </c>
      <c r="AK272" s="152" t="e">
        <f t="shared" si="51"/>
        <v>#N/A</v>
      </c>
      <c r="AL272" s="152" t="e">
        <f t="shared" si="52"/>
        <v>#N/A</v>
      </c>
      <c r="AM272" s="152" t="e">
        <f t="shared" si="53"/>
        <v>#N/A</v>
      </c>
      <c r="AN272" s="152" t="e">
        <f t="shared" si="54"/>
        <v>#N/A</v>
      </c>
      <c r="AO272" s="152" t="e">
        <f t="shared" si="55"/>
        <v>#N/A</v>
      </c>
      <c r="AP272" s="152" t="e">
        <f t="shared" si="56"/>
        <v>#N/A</v>
      </c>
      <c r="AQ272" s="152" t="e">
        <f t="shared" si="57"/>
        <v>#N/A</v>
      </c>
      <c r="AR272" s="152" t="e">
        <f t="shared" si="58"/>
        <v>#N/A</v>
      </c>
      <c r="AS272" s="152" t="e">
        <f t="shared" si="59"/>
        <v>#N/A</v>
      </c>
    </row>
    <row r="273" spans="8:45" ht="15.75" customHeight="1">
      <c r="H273" s="212" t="e">
        <v>#N/A</v>
      </c>
      <c r="I273" s="205" t="e">
        <v>#N/A</v>
      </c>
      <c r="J273" s="231" t="e">
        <v>#N/A</v>
      </c>
      <c r="K273" s="185" t="e">
        <v>#N/A</v>
      </c>
      <c r="L273" s="185" t="e">
        <v>#N/A</v>
      </c>
      <c r="M273" s="201" t="e">
        <v>#N/A</v>
      </c>
      <c r="N273" s="185" t="e">
        <v>#N/A</v>
      </c>
      <c r="O273" s="185" t="e">
        <v>#N/A</v>
      </c>
      <c r="P273" s="201" t="e">
        <v>#N/A</v>
      </c>
      <c r="Q273" s="205" t="e">
        <v>#N/A</v>
      </c>
      <c r="R273" s="231" t="e">
        <v>#N/A</v>
      </c>
      <c r="S273" s="185" t="e">
        <v>#N/A</v>
      </c>
      <c r="T273" s="185" t="e">
        <v>#N/A</v>
      </c>
      <c r="U273" s="201" t="e">
        <v>#N/A</v>
      </c>
      <c r="V273" s="185" t="e">
        <v>#N/A</v>
      </c>
      <c r="W273" s="185" t="e">
        <v>#N/A</v>
      </c>
      <c r="X273" s="201" t="e">
        <v>#N/A</v>
      </c>
      <c r="Y273" s="205" t="e">
        <v>#N/A</v>
      </c>
      <c r="Z273" s="231" t="e">
        <v>#N/A</v>
      </c>
      <c r="AA273" s="185" t="e">
        <v>#N/A</v>
      </c>
      <c r="AB273" s="185" t="e">
        <v>#N/A</v>
      </c>
      <c r="AC273" s="201" t="e">
        <v>#N/A</v>
      </c>
      <c r="AD273" s="185" t="e">
        <v>#N/A</v>
      </c>
      <c r="AE273" s="185" t="e">
        <v>#N/A</v>
      </c>
      <c r="AF273" s="201" t="e">
        <v>#N/A</v>
      </c>
      <c r="AH273" s="152" t="e">
        <f t="shared" si="48"/>
        <v>#N/A</v>
      </c>
      <c r="AI273" s="152" t="e">
        <f t="shared" si="49"/>
        <v>#N/A</v>
      </c>
      <c r="AJ273" s="152" t="e">
        <f t="shared" si="50"/>
        <v>#N/A</v>
      </c>
      <c r="AK273" s="152" t="e">
        <f t="shared" si="51"/>
        <v>#N/A</v>
      </c>
      <c r="AL273" s="152" t="e">
        <f t="shared" si="52"/>
        <v>#N/A</v>
      </c>
      <c r="AM273" s="152" t="e">
        <f t="shared" si="53"/>
        <v>#N/A</v>
      </c>
      <c r="AN273" s="152" t="e">
        <f t="shared" si="54"/>
        <v>#N/A</v>
      </c>
      <c r="AO273" s="152" t="e">
        <f t="shared" si="55"/>
        <v>#N/A</v>
      </c>
      <c r="AP273" s="152" t="e">
        <f t="shared" si="56"/>
        <v>#N/A</v>
      </c>
      <c r="AQ273" s="152" t="e">
        <f t="shared" si="57"/>
        <v>#N/A</v>
      </c>
      <c r="AR273" s="152" t="e">
        <f t="shared" si="58"/>
        <v>#N/A</v>
      </c>
      <c r="AS273" s="152" t="e">
        <f t="shared" si="59"/>
        <v>#N/A</v>
      </c>
    </row>
    <row r="274" spans="8:45" ht="15.75" customHeight="1">
      <c r="H274" s="212" t="e">
        <v>#N/A</v>
      </c>
      <c r="I274" s="205" t="e">
        <v>#N/A</v>
      </c>
      <c r="J274" s="231" t="e">
        <v>#N/A</v>
      </c>
      <c r="K274" s="185" t="e">
        <v>#N/A</v>
      </c>
      <c r="L274" s="185" t="e">
        <v>#N/A</v>
      </c>
      <c r="M274" s="201" t="e">
        <v>#N/A</v>
      </c>
      <c r="N274" s="185" t="e">
        <v>#N/A</v>
      </c>
      <c r="O274" s="185" t="e">
        <v>#N/A</v>
      </c>
      <c r="P274" s="201" t="e">
        <v>#N/A</v>
      </c>
      <c r="Q274" s="205" t="e">
        <v>#N/A</v>
      </c>
      <c r="R274" s="231" t="e">
        <v>#N/A</v>
      </c>
      <c r="S274" s="185" t="e">
        <v>#N/A</v>
      </c>
      <c r="T274" s="185" t="e">
        <v>#N/A</v>
      </c>
      <c r="U274" s="201" t="e">
        <v>#N/A</v>
      </c>
      <c r="V274" s="185" t="e">
        <v>#N/A</v>
      </c>
      <c r="W274" s="185" t="e">
        <v>#N/A</v>
      </c>
      <c r="X274" s="201" t="e">
        <v>#N/A</v>
      </c>
      <c r="Y274" s="205" t="e">
        <v>#N/A</v>
      </c>
      <c r="Z274" s="231" t="e">
        <v>#N/A</v>
      </c>
      <c r="AA274" s="185" t="e">
        <v>#N/A</v>
      </c>
      <c r="AB274" s="185" t="e">
        <v>#N/A</v>
      </c>
      <c r="AC274" s="201" t="e">
        <v>#N/A</v>
      </c>
      <c r="AD274" s="185" t="e">
        <v>#N/A</v>
      </c>
      <c r="AE274" s="185" t="e">
        <v>#N/A</v>
      </c>
      <c r="AF274" s="201" t="e">
        <v>#N/A</v>
      </c>
      <c r="AH274" s="152" t="e">
        <f t="shared" si="48"/>
        <v>#N/A</v>
      </c>
      <c r="AI274" s="152" t="e">
        <f t="shared" si="49"/>
        <v>#N/A</v>
      </c>
      <c r="AJ274" s="152" t="e">
        <f t="shared" si="50"/>
        <v>#N/A</v>
      </c>
      <c r="AK274" s="152" t="e">
        <f t="shared" si="51"/>
        <v>#N/A</v>
      </c>
      <c r="AL274" s="152" t="e">
        <f t="shared" si="52"/>
        <v>#N/A</v>
      </c>
      <c r="AM274" s="152" t="e">
        <f t="shared" si="53"/>
        <v>#N/A</v>
      </c>
      <c r="AN274" s="152" t="e">
        <f t="shared" si="54"/>
        <v>#N/A</v>
      </c>
      <c r="AO274" s="152" t="e">
        <f t="shared" si="55"/>
        <v>#N/A</v>
      </c>
      <c r="AP274" s="152" t="e">
        <f t="shared" si="56"/>
        <v>#N/A</v>
      </c>
      <c r="AQ274" s="152" t="e">
        <f t="shared" si="57"/>
        <v>#N/A</v>
      </c>
      <c r="AR274" s="152" t="e">
        <f t="shared" si="58"/>
        <v>#N/A</v>
      </c>
      <c r="AS274" s="152" t="e">
        <f t="shared" si="59"/>
        <v>#N/A</v>
      </c>
    </row>
    <row r="275" spans="8:45" ht="15.75" customHeight="1">
      <c r="H275" s="212" t="e">
        <v>#N/A</v>
      </c>
      <c r="I275" s="205" t="e">
        <v>#N/A</v>
      </c>
      <c r="J275" s="231" t="e">
        <v>#N/A</v>
      </c>
      <c r="K275" s="185" t="e">
        <v>#N/A</v>
      </c>
      <c r="L275" s="185" t="e">
        <v>#N/A</v>
      </c>
      <c r="M275" s="201" t="e">
        <v>#N/A</v>
      </c>
      <c r="N275" s="185" t="e">
        <v>#N/A</v>
      </c>
      <c r="O275" s="185" t="e">
        <v>#N/A</v>
      </c>
      <c r="P275" s="201" t="e">
        <v>#N/A</v>
      </c>
      <c r="Q275" s="205" t="e">
        <v>#N/A</v>
      </c>
      <c r="R275" s="231" t="e">
        <v>#N/A</v>
      </c>
      <c r="S275" s="185" t="e">
        <v>#N/A</v>
      </c>
      <c r="T275" s="185" t="e">
        <v>#N/A</v>
      </c>
      <c r="U275" s="201" t="e">
        <v>#N/A</v>
      </c>
      <c r="V275" s="185" t="e">
        <v>#N/A</v>
      </c>
      <c r="W275" s="185" t="e">
        <v>#N/A</v>
      </c>
      <c r="X275" s="201" t="e">
        <v>#N/A</v>
      </c>
      <c r="Y275" s="205" t="e">
        <v>#N/A</v>
      </c>
      <c r="Z275" s="231" t="e">
        <v>#N/A</v>
      </c>
      <c r="AA275" s="185" t="e">
        <v>#N/A</v>
      </c>
      <c r="AB275" s="185" t="e">
        <v>#N/A</v>
      </c>
      <c r="AC275" s="201" t="e">
        <v>#N/A</v>
      </c>
      <c r="AD275" s="185" t="e">
        <v>#N/A</v>
      </c>
      <c r="AE275" s="185" t="e">
        <v>#N/A</v>
      </c>
      <c r="AF275" s="201" t="e">
        <v>#N/A</v>
      </c>
      <c r="AH275" s="152" t="e">
        <f t="shared" si="48"/>
        <v>#N/A</v>
      </c>
      <c r="AI275" s="152" t="e">
        <f t="shared" si="49"/>
        <v>#N/A</v>
      </c>
      <c r="AJ275" s="152" t="e">
        <f t="shared" si="50"/>
        <v>#N/A</v>
      </c>
      <c r="AK275" s="152" t="e">
        <f t="shared" si="51"/>
        <v>#N/A</v>
      </c>
      <c r="AL275" s="152" t="e">
        <f t="shared" si="52"/>
        <v>#N/A</v>
      </c>
      <c r="AM275" s="152" t="e">
        <f t="shared" si="53"/>
        <v>#N/A</v>
      </c>
      <c r="AN275" s="152" t="e">
        <f t="shared" si="54"/>
        <v>#N/A</v>
      </c>
      <c r="AO275" s="152" t="e">
        <f t="shared" si="55"/>
        <v>#N/A</v>
      </c>
      <c r="AP275" s="152" t="e">
        <f t="shared" si="56"/>
        <v>#N/A</v>
      </c>
      <c r="AQ275" s="152" t="e">
        <f t="shared" si="57"/>
        <v>#N/A</v>
      </c>
      <c r="AR275" s="152" t="e">
        <f t="shared" si="58"/>
        <v>#N/A</v>
      </c>
      <c r="AS275" s="152" t="e">
        <f t="shared" si="59"/>
        <v>#N/A</v>
      </c>
    </row>
    <row r="276" spans="8:45" ht="15.75" customHeight="1">
      <c r="H276" s="212" t="e">
        <v>#N/A</v>
      </c>
      <c r="I276" s="205" t="e">
        <v>#N/A</v>
      </c>
      <c r="J276" s="231" t="e">
        <v>#N/A</v>
      </c>
      <c r="K276" s="185" t="e">
        <v>#N/A</v>
      </c>
      <c r="L276" s="185" t="e">
        <v>#N/A</v>
      </c>
      <c r="M276" s="201" t="e">
        <v>#N/A</v>
      </c>
      <c r="N276" s="185" t="e">
        <v>#N/A</v>
      </c>
      <c r="O276" s="185" t="e">
        <v>#N/A</v>
      </c>
      <c r="P276" s="201" t="e">
        <v>#N/A</v>
      </c>
      <c r="Q276" s="205" t="e">
        <v>#N/A</v>
      </c>
      <c r="R276" s="231" t="e">
        <v>#N/A</v>
      </c>
      <c r="S276" s="185" t="e">
        <v>#N/A</v>
      </c>
      <c r="T276" s="185" t="e">
        <v>#N/A</v>
      </c>
      <c r="U276" s="201" t="e">
        <v>#N/A</v>
      </c>
      <c r="V276" s="185" t="e">
        <v>#N/A</v>
      </c>
      <c r="W276" s="185" t="e">
        <v>#N/A</v>
      </c>
      <c r="X276" s="201" t="e">
        <v>#N/A</v>
      </c>
      <c r="Y276" s="205" t="e">
        <v>#N/A</v>
      </c>
      <c r="Z276" s="231" t="e">
        <v>#N/A</v>
      </c>
      <c r="AA276" s="185" t="e">
        <v>#N/A</v>
      </c>
      <c r="AB276" s="185" t="e">
        <v>#N/A</v>
      </c>
      <c r="AC276" s="201" t="e">
        <v>#N/A</v>
      </c>
      <c r="AD276" s="185" t="e">
        <v>#N/A</v>
      </c>
      <c r="AE276" s="185" t="e">
        <v>#N/A</v>
      </c>
      <c r="AF276" s="201" t="e">
        <v>#N/A</v>
      </c>
      <c r="AH276" s="152" t="e">
        <f t="shared" si="48"/>
        <v>#N/A</v>
      </c>
      <c r="AI276" s="152" t="e">
        <f t="shared" si="49"/>
        <v>#N/A</v>
      </c>
      <c r="AJ276" s="152" t="e">
        <f t="shared" si="50"/>
        <v>#N/A</v>
      </c>
      <c r="AK276" s="152" t="e">
        <f t="shared" si="51"/>
        <v>#N/A</v>
      </c>
      <c r="AL276" s="152" t="e">
        <f t="shared" si="52"/>
        <v>#N/A</v>
      </c>
      <c r="AM276" s="152" t="e">
        <f t="shared" si="53"/>
        <v>#N/A</v>
      </c>
      <c r="AN276" s="152" t="e">
        <f t="shared" si="54"/>
        <v>#N/A</v>
      </c>
      <c r="AO276" s="152" t="e">
        <f t="shared" si="55"/>
        <v>#N/A</v>
      </c>
      <c r="AP276" s="152" t="e">
        <f t="shared" si="56"/>
        <v>#N/A</v>
      </c>
      <c r="AQ276" s="152" t="e">
        <f t="shared" si="57"/>
        <v>#N/A</v>
      </c>
      <c r="AR276" s="152" t="e">
        <f t="shared" si="58"/>
        <v>#N/A</v>
      </c>
      <c r="AS276" s="152" t="e">
        <f t="shared" si="59"/>
        <v>#N/A</v>
      </c>
    </row>
    <row r="277" spans="8:45" ht="15.75" customHeight="1">
      <c r="H277" s="212" t="e">
        <v>#N/A</v>
      </c>
      <c r="I277" s="205" t="e">
        <v>#N/A</v>
      </c>
      <c r="J277" s="231" t="e">
        <v>#N/A</v>
      </c>
      <c r="K277" s="185" t="e">
        <v>#N/A</v>
      </c>
      <c r="L277" s="185" t="e">
        <v>#N/A</v>
      </c>
      <c r="M277" s="201" t="e">
        <v>#N/A</v>
      </c>
      <c r="N277" s="185" t="e">
        <v>#N/A</v>
      </c>
      <c r="O277" s="185" t="e">
        <v>#N/A</v>
      </c>
      <c r="P277" s="201" t="e">
        <v>#N/A</v>
      </c>
      <c r="Q277" s="205" t="e">
        <v>#N/A</v>
      </c>
      <c r="R277" s="231" t="e">
        <v>#N/A</v>
      </c>
      <c r="S277" s="185" t="e">
        <v>#N/A</v>
      </c>
      <c r="T277" s="185" t="e">
        <v>#N/A</v>
      </c>
      <c r="U277" s="201" t="e">
        <v>#N/A</v>
      </c>
      <c r="V277" s="185" t="e">
        <v>#N/A</v>
      </c>
      <c r="W277" s="185" t="e">
        <v>#N/A</v>
      </c>
      <c r="X277" s="201" t="e">
        <v>#N/A</v>
      </c>
      <c r="Y277" s="205" t="e">
        <v>#N/A</v>
      </c>
      <c r="Z277" s="231" t="e">
        <v>#N/A</v>
      </c>
      <c r="AA277" s="185" t="e">
        <v>#N/A</v>
      </c>
      <c r="AB277" s="185" t="e">
        <v>#N/A</v>
      </c>
      <c r="AC277" s="201" t="e">
        <v>#N/A</v>
      </c>
      <c r="AD277" s="185" t="e">
        <v>#N/A</v>
      </c>
      <c r="AE277" s="185" t="e">
        <v>#N/A</v>
      </c>
      <c r="AF277" s="201" t="e">
        <v>#N/A</v>
      </c>
      <c r="AH277" s="152" t="e">
        <f t="shared" si="48"/>
        <v>#N/A</v>
      </c>
      <c r="AI277" s="152" t="e">
        <f t="shared" si="49"/>
        <v>#N/A</v>
      </c>
      <c r="AJ277" s="152" t="e">
        <f t="shared" si="50"/>
        <v>#N/A</v>
      </c>
      <c r="AK277" s="152" t="e">
        <f t="shared" si="51"/>
        <v>#N/A</v>
      </c>
      <c r="AL277" s="152" t="e">
        <f t="shared" si="52"/>
        <v>#N/A</v>
      </c>
      <c r="AM277" s="152" t="e">
        <f t="shared" si="53"/>
        <v>#N/A</v>
      </c>
      <c r="AN277" s="152" t="e">
        <f t="shared" si="54"/>
        <v>#N/A</v>
      </c>
      <c r="AO277" s="152" t="e">
        <f t="shared" si="55"/>
        <v>#N/A</v>
      </c>
      <c r="AP277" s="152" t="e">
        <f t="shared" si="56"/>
        <v>#N/A</v>
      </c>
      <c r="AQ277" s="152" t="e">
        <f t="shared" si="57"/>
        <v>#N/A</v>
      </c>
      <c r="AR277" s="152" t="e">
        <f t="shared" si="58"/>
        <v>#N/A</v>
      </c>
      <c r="AS277" s="152" t="e">
        <f t="shared" si="59"/>
        <v>#N/A</v>
      </c>
    </row>
    <row r="278" spans="8:45" ht="15.75" customHeight="1">
      <c r="H278" s="212" t="e">
        <v>#N/A</v>
      </c>
      <c r="I278" s="205" t="e">
        <v>#N/A</v>
      </c>
      <c r="J278" s="231" t="e">
        <v>#N/A</v>
      </c>
      <c r="K278" s="185" t="e">
        <v>#N/A</v>
      </c>
      <c r="L278" s="185" t="e">
        <v>#N/A</v>
      </c>
      <c r="M278" s="201" t="e">
        <v>#N/A</v>
      </c>
      <c r="N278" s="185" t="e">
        <v>#N/A</v>
      </c>
      <c r="O278" s="185" t="e">
        <v>#N/A</v>
      </c>
      <c r="P278" s="201" t="e">
        <v>#N/A</v>
      </c>
      <c r="Q278" s="205" t="e">
        <v>#N/A</v>
      </c>
      <c r="R278" s="231" t="e">
        <v>#N/A</v>
      </c>
      <c r="S278" s="185" t="e">
        <v>#N/A</v>
      </c>
      <c r="T278" s="185" t="e">
        <v>#N/A</v>
      </c>
      <c r="U278" s="201" t="e">
        <v>#N/A</v>
      </c>
      <c r="V278" s="185" t="e">
        <v>#N/A</v>
      </c>
      <c r="W278" s="185" t="e">
        <v>#N/A</v>
      </c>
      <c r="X278" s="201" t="e">
        <v>#N/A</v>
      </c>
      <c r="Y278" s="205" t="e">
        <v>#N/A</v>
      </c>
      <c r="Z278" s="231" t="e">
        <v>#N/A</v>
      </c>
      <c r="AA278" s="185" t="e">
        <v>#N/A</v>
      </c>
      <c r="AB278" s="185" t="e">
        <v>#N/A</v>
      </c>
      <c r="AC278" s="201" t="e">
        <v>#N/A</v>
      </c>
      <c r="AD278" s="185" t="e">
        <v>#N/A</v>
      </c>
      <c r="AE278" s="185" t="e">
        <v>#N/A</v>
      </c>
      <c r="AF278" s="201" t="e">
        <v>#N/A</v>
      </c>
      <c r="AH278" s="152" t="e">
        <f t="shared" si="48"/>
        <v>#N/A</v>
      </c>
      <c r="AI278" s="152" t="e">
        <f t="shared" si="49"/>
        <v>#N/A</v>
      </c>
      <c r="AJ278" s="152" t="e">
        <f t="shared" si="50"/>
        <v>#N/A</v>
      </c>
      <c r="AK278" s="152" t="e">
        <f t="shared" si="51"/>
        <v>#N/A</v>
      </c>
      <c r="AL278" s="152" t="e">
        <f t="shared" si="52"/>
        <v>#N/A</v>
      </c>
      <c r="AM278" s="152" t="e">
        <f t="shared" si="53"/>
        <v>#N/A</v>
      </c>
      <c r="AN278" s="152" t="e">
        <f t="shared" si="54"/>
        <v>#N/A</v>
      </c>
      <c r="AO278" s="152" t="e">
        <f t="shared" si="55"/>
        <v>#N/A</v>
      </c>
      <c r="AP278" s="152" t="e">
        <f t="shared" si="56"/>
        <v>#N/A</v>
      </c>
      <c r="AQ278" s="152" t="e">
        <f t="shared" si="57"/>
        <v>#N/A</v>
      </c>
      <c r="AR278" s="152" t="e">
        <f t="shared" si="58"/>
        <v>#N/A</v>
      </c>
      <c r="AS278" s="152" t="e">
        <f t="shared" si="59"/>
        <v>#N/A</v>
      </c>
    </row>
    <row r="279" spans="8:45" ht="15.75" customHeight="1">
      <c r="H279" s="212" t="e">
        <v>#N/A</v>
      </c>
      <c r="I279" s="205" t="e">
        <v>#N/A</v>
      </c>
      <c r="J279" s="231" t="e">
        <v>#N/A</v>
      </c>
      <c r="K279" s="185" t="e">
        <v>#N/A</v>
      </c>
      <c r="L279" s="185" t="e">
        <v>#N/A</v>
      </c>
      <c r="M279" s="201" t="e">
        <v>#N/A</v>
      </c>
      <c r="N279" s="185" t="e">
        <v>#N/A</v>
      </c>
      <c r="O279" s="185" t="e">
        <v>#N/A</v>
      </c>
      <c r="P279" s="201" t="e">
        <v>#N/A</v>
      </c>
      <c r="Q279" s="205" t="e">
        <v>#N/A</v>
      </c>
      <c r="R279" s="231" t="e">
        <v>#N/A</v>
      </c>
      <c r="S279" s="185" t="e">
        <v>#N/A</v>
      </c>
      <c r="T279" s="185" t="e">
        <v>#N/A</v>
      </c>
      <c r="U279" s="201" t="e">
        <v>#N/A</v>
      </c>
      <c r="V279" s="185" t="e">
        <v>#N/A</v>
      </c>
      <c r="W279" s="185" t="e">
        <v>#N/A</v>
      </c>
      <c r="X279" s="201" t="e">
        <v>#N/A</v>
      </c>
      <c r="Y279" s="205" t="e">
        <v>#N/A</v>
      </c>
      <c r="Z279" s="231" t="e">
        <v>#N/A</v>
      </c>
      <c r="AA279" s="185" t="e">
        <v>#N/A</v>
      </c>
      <c r="AB279" s="185" t="e">
        <v>#N/A</v>
      </c>
      <c r="AC279" s="201" t="e">
        <v>#N/A</v>
      </c>
      <c r="AD279" s="185" t="e">
        <v>#N/A</v>
      </c>
      <c r="AE279" s="185" t="e">
        <v>#N/A</v>
      </c>
      <c r="AF279" s="201" t="e">
        <v>#N/A</v>
      </c>
      <c r="AH279" s="152" t="e">
        <f t="shared" si="48"/>
        <v>#N/A</v>
      </c>
      <c r="AI279" s="152" t="e">
        <f t="shared" si="49"/>
        <v>#N/A</v>
      </c>
      <c r="AJ279" s="152" t="e">
        <f t="shared" si="50"/>
        <v>#N/A</v>
      </c>
      <c r="AK279" s="152" t="e">
        <f t="shared" si="51"/>
        <v>#N/A</v>
      </c>
      <c r="AL279" s="152" t="e">
        <f t="shared" si="52"/>
        <v>#N/A</v>
      </c>
      <c r="AM279" s="152" t="e">
        <f t="shared" si="53"/>
        <v>#N/A</v>
      </c>
      <c r="AN279" s="152" t="e">
        <f t="shared" si="54"/>
        <v>#N/A</v>
      </c>
      <c r="AO279" s="152" t="e">
        <f t="shared" si="55"/>
        <v>#N/A</v>
      </c>
      <c r="AP279" s="152" t="e">
        <f t="shared" si="56"/>
        <v>#N/A</v>
      </c>
      <c r="AQ279" s="152" t="e">
        <f t="shared" si="57"/>
        <v>#N/A</v>
      </c>
      <c r="AR279" s="152" t="e">
        <f t="shared" si="58"/>
        <v>#N/A</v>
      </c>
      <c r="AS279" s="152" t="e">
        <f t="shared" si="59"/>
        <v>#N/A</v>
      </c>
    </row>
    <row r="280" spans="8:45" ht="15.75" customHeight="1">
      <c r="H280" s="212" t="e">
        <v>#N/A</v>
      </c>
      <c r="I280" s="205" t="e">
        <v>#N/A</v>
      </c>
      <c r="J280" s="231" t="e">
        <v>#N/A</v>
      </c>
      <c r="K280" s="185" t="e">
        <v>#N/A</v>
      </c>
      <c r="L280" s="185" t="e">
        <v>#N/A</v>
      </c>
      <c r="M280" s="201" t="e">
        <v>#N/A</v>
      </c>
      <c r="N280" s="185" t="e">
        <v>#N/A</v>
      </c>
      <c r="O280" s="185" t="e">
        <v>#N/A</v>
      </c>
      <c r="P280" s="201" t="e">
        <v>#N/A</v>
      </c>
      <c r="Q280" s="205" t="e">
        <v>#N/A</v>
      </c>
      <c r="R280" s="231" t="e">
        <v>#N/A</v>
      </c>
      <c r="S280" s="185" t="e">
        <v>#N/A</v>
      </c>
      <c r="T280" s="185" t="e">
        <v>#N/A</v>
      </c>
      <c r="U280" s="201" t="e">
        <v>#N/A</v>
      </c>
      <c r="V280" s="185" t="e">
        <v>#N/A</v>
      </c>
      <c r="W280" s="185" t="e">
        <v>#N/A</v>
      </c>
      <c r="X280" s="201" t="e">
        <v>#N/A</v>
      </c>
      <c r="Y280" s="205" t="e">
        <v>#N/A</v>
      </c>
      <c r="Z280" s="231" t="e">
        <v>#N/A</v>
      </c>
      <c r="AA280" s="185" t="e">
        <v>#N/A</v>
      </c>
      <c r="AB280" s="185" t="e">
        <v>#N/A</v>
      </c>
      <c r="AC280" s="201" t="e">
        <v>#N/A</v>
      </c>
      <c r="AD280" s="185" t="e">
        <v>#N/A</v>
      </c>
      <c r="AE280" s="185" t="e">
        <v>#N/A</v>
      </c>
      <c r="AF280" s="201" t="e">
        <v>#N/A</v>
      </c>
      <c r="AH280" s="152" t="e">
        <f t="shared" si="48"/>
        <v>#N/A</v>
      </c>
      <c r="AI280" s="152" t="e">
        <f t="shared" si="49"/>
        <v>#N/A</v>
      </c>
      <c r="AJ280" s="152" t="e">
        <f t="shared" si="50"/>
        <v>#N/A</v>
      </c>
      <c r="AK280" s="152" t="e">
        <f t="shared" si="51"/>
        <v>#N/A</v>
      </c>
      <c r="AL280" s="152" t="e">
        <f t="shared" si="52"/>
        <v>#N/A</v>
      </c>
      <c r="AM280" s="152" t="e">
        <f t="shared" si="53"/>
        <v>#N/A</v>
      </c>
      <c r="AN280" s="152" t="e">
        <f t="shared" si="54"/>
        <v>#N/A</v>
      </c>
      <c r="AO280" s="152" t="e">
        <f t="shared" si="55"/>
        <v>#N/A</v>
      </c>
      <c r="AP280" s="152" t="e">
        <f t="shared" si="56"/>
        <v>#N/A</v>
      </c>
      <c r="AQ280" s="152" t="e">
        <f t="shared" si="57"/>
        <v>#N/A</v>
      </c>
      <c r="AR280" s="152" t="e">
        <f t="shared" si="58"/>
        <v>#N/A</v>
      </c>
      <c r="AS280" s="152" t="e">
        <f t="shared" si="59"/>
        <v>#N/A</v>
      </c>
    </row>
    <row r="281" spans="8:45" ht="15.75" customHeight="1">
      <c r="H281" s="212" t="e">
        <v>#N/A</v>
      </c>
      <c r="I281" s="205" t="e">
        <v>#N/A</v>
      </c>
      <c r="J281" s="231" t="e">
        <v>#N/A</v>
      </c>
      <c r="K281" s="185" t="e">
        <v>#N/A</v>
      </c>
      <c r="L281" s="185" t="e">
        <v>#N/A</v>
      </c>
      <c r="M281" s="201" t="e">
        <v>#N/A</v>
      </c>
      <c r="N281" s="185" t="e">
        <v>#N/A</v>
      </c>
      <c r="O281" s="185" t="e">
        <v>#N/A</v>
      </c>
      <c r="P281" s="201" t="e">
        <v>#N/A</v>
      </c>
      <c r="Q281" s="205" t="e">
        <v>#N/A</v>
      </c>
      <c r="R281" s="231" t="e">
        <v>#N/A</v>
      </c>
      <c r="S281" s="185" t="e">
        <v>#N/A</v>
      </c>
      <c r="T281" s="185" t="e">
        <v>#N/A</v>
      </c>
      <c r="U281" s="201" t="e">
        <v>#N/A</v>
      </c>
      <c r="V281" s="185" t="e">
        <v>#N/A</v>
      </c>
      <c r="W281" s="185" t="e">
        <v>#N/A</v>
      </c>
      <c r="X281" s="201" t="e">
        <v>#N/A</v>
      </c>
      <c r="Y281" s="205" t="e">
        <v>#N/A</v>
      </c>
      <c r="Z281" s="231" t="e">
        <v>#N/A</v>
      </c>
      <c r="AA281" s="185" t="e">
        <v>#N/A</v>
      </c>
      <c r="AB281" s="185" t="e">
        <v>#N/A</v>
      </c>
      <c r="AC281" s="201" t="e">
        <v>#N/A</v>
      </c>
      <c r="AD281" s="185" t="e">
        <v>#N/A</v>
      </c>
      <c r="AE281" s="185" t="e">
        <v>#N/A</v>
      </c>
      <c r="AF281" s="201" t="e">
        <v>#N/A</v>
      </c>
      <c r="AH281" s="152" t="e">
        <f t="shared" si="48"/>
        <v>#N/A</v>
      </c>
      <c r="AI281" s="152" t="e">
        <f t="shared" si="49"/>
        <v>#N/A</v>
      </c>
      <c r="AJ281" s="152" t="e">
        <f t="shared" si="50"/>
        <v>#N/A</v>
      </c>
      <c r="AK281" s="152" t="e">
        <f t="shared" si="51"/>
        <v>#N/A</v>
      </c>
      <c r="AL281" s="152" t="e">
        <f t="shared" si="52"/>
        <v>#N/A</v>
      </c>
      <c r="AM281" s="152" t="e">
        <f t="shared" si="53"/>
        <v>#N/A</v>
      </c>
      <c r="AN281" s="152" t="e">
        <f t="shared" si="54"/>
        <v>#N/A</v>
      </c>
      <c r="AO281" s="152" t="e">
        <f t="shared" si="55"/>
        <v>#N/A</v>
      </c>
      <c r="AP281" s="152" t="e">
        <f t="shared" si="56"/>
        <v>#N/A</v>
      </c>
      <c r="AQ281" s="152" t="e">
        <f t="shared" si="57"/>
        <v>#N/A</v>
      </c>
      <c r="AR281" s="152" t="e">
        <f t="shared" si="58"/>
        <v>#N/A</v>
      </c>
      <c r="AS281" s="152" t="e">
        <f t="shared" si="59"/>
        <v>#N/A</v>
      </c>
    </row>
    <row r="282" spans="8:45" ht="15.75" customHeight="1">
      <c r="H282" s="212" t="e">
        <v>#N/A</v>
      </c>
      <c r="I282" s="205" t="e">
        <v>#N/A</v>
      </c>
      <c r="J282" s="231" t="e">
        <v>#N/A</v>
      </c>
      <c r="K282" s="185" t="e">
        <v>#N/A</v>
      </c>
      <c r="L282" s="185" t="e">
        <v>#N/A</v>
      </c>
      <c r="M282" s="201" t="e">
        <v>#N/A</v>
      </c>
      <c r="N282" s="185" t="e">
        <v>#N/A</v>
      </c>
      <c r="O282" s="185" t="e">
        <v>#N/A</v>
      </c>
      <c r="P282" s="201" t="e">
        <v>#N/A</v>
      </c>
      <c r="Q282" s="205" t="e">
        <v>#N/A</v>
      </c>
      <c r="R282" s="231" t="e">
        <v>#N/A</v>
      </c>
      <c r="S282" s="185" t="e">
        <v>#N/A</v>
      </c>
      <c r="T282" s="185" t="e">
        <v>#N/A</v>
      </c>
      <c r="U282" s="201" t="e">
        <v>#N/A</v>
      </c>
      <c r="V282" s="185" t="e">
        <v>#N/A</v>
      </c>
      <c r="W282" s="185" t="e">
        <v>#N/A</v>
      </c>
      <c r="X282" s="201" t="e">
        <v>#N/A</v>
      </c>
      <c r="Y282" s="205" t="e">
        <v>#N/A</v>
      </c>
      <c r="Z282" s="231" t="e">
        <v>#N/A</v>
      </c>
      <c r="AA282" s="185" t="e">
        <v>#N/A</v>
      </c>
      <c r="AB282" s="185" t="e">
        <v>#N/A</v>
      </c>
      <c r="AC282" s="201" t="e">
        <v>#N/A</v>
      </c>
      <c r="AD282" s="185" t="e">
        <v>#N/A</v>
      </c>
      <c r="AE282" s="185" t="e">
        <v>#N/A</v>
      </c>
      <c r="AF282" s="201" t="e">
        <v>#N/A</v>
      </c>
      <c r="AH282" s="152" t="e">
        <f t="shared" si="48"/>
        <v>#N/A</v>
      </c>
      <c r="AI282" s="152" t="e">
        <f t="shared" si="49"/>
        <v>#N/A</v>
      </c>
      <c r="AJ282" s="152" t="e">
        <f t="shared" si="50"/>
        <v>#N/A</v>
      </c>
      <c r="AK282" s="152" t="e">
        <f t="shared" si="51"/>
        <v>#N/A</v>
      </c>
      <c r="AL282" s="152" t="e">
        <f t="shared" si="52"/>
        <v>#N/A</v>
      </c>
      <c r="AM282" s="152" t="e">
        <f t="shared" si="53"/>
        <v>#N/A</v>
      </c>
      <c r="AN282" s="152" t="e">
        <f t="shared" si="54"/>
        <v>#N/A</v>
      </c>
      <c r="AO282" s="152" t="e">
        <f t="shared" si="55"/>
        <v>#N/A</v>
      </c>
      <c r="AP282" s="152" t="e">
        <f t="shared" si="56"/>
        <v>#N/A</v>
      </c>
      <c r="AQ282" s="152" t="e">
        <f t="shared" si="57"/>
        <v>#N/A</v>
      </c>
      <c r="AR282" s="152" t="e">
        <f t="shared" si="58"/>
        <v>#N/A</v>
      </c>
      <c r="AS282" s="152" t="e">
        <f t="shared" si="59"/>
        <v>#N/A</v>
      </c>
    </row>
    <row r="283" spans="8:45" ht="15.75" customHeight="1">
      <c r="H283" s="212" t="e">
        <v>#N/A</v>
      </c>
      <c r="I283" s="205" t="e">
        <v>#N/A</v>
      </c>
      <c r="J283" s="231" t="e">
        <v>#N/A</v>
      </c>
      <c r="K283" s="185" t="e">
        <v>#N/A</v>
      </c>
      <c r="L283" s="185" t="e">
        <v>#N/A</v>
      </c>
      <c r="M283" s="201" t="e">
        <v>#N/A</v>
      </c>
      <c r="N283" s="185" t="e">
        <v>#N/A</v>
      </c>
      <c r="O283" s="185" t="e">
        <v>#N/A</v>
      </c>
      <c r="P283" s="201" t="e">
        <v>#N/A</v>
      </c>
      <c r="Q283" s="205" t="e">
        <v>#N/A</v>
      </c>
      <c r="R283" s="231" t="e">
        <v>#N/A</v>
      </c>
      <c r="S283" s="185" t="e">
        <v>#N/A</v>
      </c>
      <c r="T283" s="185" t="e">
        <v>#N/A</v>
      </c>
      <c r="U283" s="201" t="e">
        <v>#N/A</v>
      </c>
      <c r="V283" s="185" t="e">
        <v>#N/A</v>
      </c>
      <c r="W283" s="185" t="e">
        <v>#N/A</v>
      </c>
      <c r="X283" s="201" t="e">
        <v>#N/A</v>
      </c>
      <c r="Y283" s="205" t="e">
        <v>#N/A</v>
      </c>
      <c r="Z283" s="231" t="e">
        <v>#N/A</v>
      </c>
      <c r="AA283" s="185" t="e">
        <v>#N/A</v>
      </c>
      <c r="AB283" s="185" t="e">
        <v>#N/A</v>
      </c>
      <c r="AC283" s="201" t="e">
        <v>#N/A</v>
      </c>
      <c r="AD283" s="185" t="e">
        <v>#N/A</v>
      </c>
      <c r="AE283" s="185" t="e">
        <v>#N/A</v>
      </c>
      <c r="AF283" s="201" t="e">
        <v>#N/A</v>
      </c>
      <c r="AH283" s="152" t="e">
        <f t="shared" si="48"/>
        <v>#N/A</v>
      </c>
      <c r="AI283" s="152" t="e">
        <f t="shared" si="49"/>
        <v>#N/A</v>
      </c>
      <c r="AJ283" s="152" t="e">
        <f t="shared" si="50"/>
        <v>#N/A</v>
      </c>
      <c r="AK283" s="152" t="e">
        <f t="shared" si="51"/>
        <v>#N/A</v>
      </c>
      <c r="AL283" s="152" t="e">
        <f t="shared" si="52"/>
        <v>#N/A</v>
      </c>
      <c r="AM283" s="152" t="e">
        <f t="shared" si="53"/>
        <v>#N/A</v>
      </c>
      <c r="AN283" s="152" t="e">
        <f t="shared" si="54"/>
        <v>#N/A</v>
      </c>
      <c r="AO283" s="152" t="e">
        <f t="shared" si="55"/>
        <v>#N/A</v>
      </c>
      <c r="AP283" s="152" t="e">
        <f t="shared" si="56"/>
        <v>#N/A</v>
      </c>
      <c r="AQ283" s="152" t="e">
        <f t="shared" si="57"/>
        <v>#N/A</v>
      </c>
      <c r="AR283" s="152" t="e">
        <f t="shared" si="58"/>
        <v>#N/A</v>
      </c>
      <c r="AS283" s="152" t="e">
        <f t="shared" si="59"/>
        <v>#N/A</v>
      </c>
    </row>
    <row r="284" spans="8:45" ht="15.75" customHeight="1">
      <c r="H284" s="212" t="e">
        <v>#N/A</v>
      </c>
      <c r="I284" s="205" t="e">
        <v>#N/A</v>
      </c>
      <c r="J284" s="231" t="e">
        <v>#N/A</v>
      </c>
      <c r="K284" s="185" t="e">
        <v>#N/A</v>
      </c>
      <c r="L284" s="185" t="e">
        <v>#N/A</v>
      </c>
      <c r="M284" s="201" t="e">
        <v>#N/A</v>
      </c>
      <c r="N284" s="185" t="e">
        <v>#N/A</v>
      </c>
      <c r="O284" s="185" t="e">
        <v>#N/A</v>
      </c>
      <c r="P284" s="201" t="e">
        <v>#N/A</v>
      </c>
      <c r="Q284" s="205" t="e">
        <v>#N/A</v>
      </c>
      <c r="R284" s="231" t="e">
        <v>#N/A</v>
      </c>
      <c r="S284" s="185" t="e">
        <v>#N/A</v>
      </c>
      <c r="T284" s="185" t="e">
        <v>#N/A</v>
      </c>
      <c r="U284" s="201" t="e">
        <v>#N/A</v>
      </c>
      <c r="V284" s="185" t="e">
        <v>#N/A</v>
      </c>
      <c r="W284" s="185" t="e">
        <v>#N/A</v>
      </c>
      <c r="X284" s="201" t="e">
        <v>#N/A</v>
      </c>
      <c r="Y284" s="205" t="e">
        <v>#N/A</v>
      </c>
      <c r="Z284" s="231" t="e">
        <v>#N/A</v>
      </c>
      <c r="AA284" s="185" t="e">
        <v>#N/A</v>
      </c>
      <c r="AB284" s="185" t="e">
        <v>#N/A</v>
      </c>
      <c r="AC284" s="201" t="e">
        <v>#N/A</v>
      </c>
      <c r="AD284" s="185" t="e">
        <v>#N/A</v>
      </c>
      <c r="AE284" s="185" t="e">
        <v>#N/A</v>
      </c>
      <c r="AF284" s="201" t="e">
        <v>#N/A</v>
      </c>
      <c r="AH284" s="152" t="e">
        <f t="shared" si="48"/>
        <v>#N/A</v>
      </c>
      <c r="AI284" s="152" t="e">
        <f t="shared" si="49"/>
        <v>#N/A</v>
      </c>
      <c r="AJ284" s="152" t="e">
        <f t="shared" si="50"/>
        <v>#N/A</v>
      </c>
      <c r="AK284" s="152" t="e">
        <f t="shared" si="51"/>
        <v>#N/A</v>
      </c>
      <c r="AL284" s="152" t="e">
        <f t="shared" si="52"/>
        <v>#N/A</v>
      </c>
      <c r="AM284" s="152" t="e">
        <f t="shared" si="53"/>
        <v>#N/A</v>
      </c>
      <c r="AN284" s="152" t="e">
        <f t="shared" si="54"/>
        <v>#N/A</v>
      </c>
      <c r="AO284" s="152" t="e">
        <f t="shared" si="55"/>
        <v>#N/A</v>
      </c>
      <c r="AP284" s="152" t="e">
        <f t="shared" si="56"/>
        <v>#N/A</v>
      </c>
      <c r="AQ284" s="152" t="e">
        <f t="shared" si="57"/>
        <v>#N/A</v>
      </c>
      <c r="AR284" s="152" t="e">
        <f t="shared" si="58"/>
        <v>#N/A</v>
      </c>
      <c r="AS284" s="152" t="e">
        <f t="shared" si="59"/>
        <v>#N/A</v>
      </c>
    </row>
    <row r="285" spans="8:45" ht="15.75" customHeight="1">
      <c r="H285" s="212" t="e">
        <v>#N/A</v>
      </c>
      <c r="I285" s="205" t="e">
        <v>#N/A</v>
      </c>
      <c r="J285" s="231" t="e">
        <v>#N/A</v>
      </c>
      <c r="K285" s="185" t="e">
        <v>#N/A</v>
      </c>
      <c r="L285" s="185" t="e">
        <v>#N/A</v>
      </c>
      <c r="M285" s="201" t="e">
        <v>#N/A</v>
      </c>
      <c r="N285" s="185" t="e">
        <v>#N/A</v>
      </c>
      <c r="O285" s="185" t="e">
        <v>#N/A</v>
      </c>
      <c r="P285" s="201" t="e">
        <v>#N/A</v>
      </c>
      <c r="Q285" s="205" t="e">
        <v>#N/A</v>
      </c>
      <c r="R285" s="231" t="e">
        <v>#N/A</v>
      </c>
      <c r="S285" s="185" t="e">
        <v>#N/A</v>
      </c>
      <c r="T285" s="185" t="e">
        <v>#N/A</v>
      </c>
      <c r="U285" s="201" t="e">
        <v>#N/A</v>
      </c>
      <c r="V285" s="185" t="e">
        <v>#N/A</v>
      </c>
      <c r="W285" s="185" t="e">
        <v>#N/A</v>
      </c>
      <c r="X285" s="201" t="e">
        <v>#N/A</v>
      </c>
      <c r="Y285" s="205" t="e">
        <v>#N/A</v>
      </c>
      <c r="Z285" s="231" t="e">
        <v>#N/A</v>
      </c>
      <c r="AA285" s="185" t="e">
        <v>#N/A</v>
      </c>
      <c r="AB285" s="185" t="e">
        <v>#N/A</v>
      </c>
      <c r="AC285" s="201" t="e">
        <v>#N/A</v>
      </c>
      <c r="AD285" s="185" t="e">
        <v>#N/A</v>
      </c>
      <c r="AE285" s="185" t="e">
        <v>#N/A</v>
      </c>
      <c r="AF285" s="201" t="e">
        <v>#N/A</v>
      </c>
      <c r="AH285" s="152" t="e">
        <f t="shared" si="48"/>
        <v>#N/A</v>
      </c>
      <c r="AI285" s="152" t="e">
        <f t="shared" si="49"/>
        <v>#N/A</v>
      </c>
      <c r="AJ285" s="152" t="e">
        <f t="shared" si="50"/>
        <v>#N/A</v>
      </c>
      <c r="AK285" s="152" t="e">
        <f t="shared" si="51"/>
        <v>#N/A</v>
      </c>
      <c r="AL285" s="152" t="e">
        <f t="shared" si="52"/>
        <v>#N/A</v>
      </c>
      <c r="AM285" s="152" t="e">
        <f t="shared" si="53"/>
        <v>#N/A</v>
      </c>
      <c r="AN285" s="152" t="e">
        <f t="shared" si="54"/>
        <v>#N/A</v>
      </c>
      <c r="AO285" s="152" t="e">
        <f t="shared" si="55"/>
        <v>#N/A</v>
      </c>
      <c r="AP285" s="152" t="e">
        <f t="shared" si="56"/>
        <v>#N/A</v>
      </c>
      <c r="AQ285" s="152" t="e">
        <f t="shared" si="57"/>
        <v>#N/A</v>
      </c>
      <c r="AR285" s="152" t="e">
        <f t="shared" si="58"/>
        <v>#N/A</v>
      </c>
      <c r="AS285" s="152" t="e">
        <f t="shared" si="59"/>
        <v>#N/A</v>
      </c>
    </row>
    <row r="286" spans="8:45" ht="15.75" customHeight="1">
      <c r="H286" s="212" t="e">
        <v>#N/A</v>
      </c>
      <c r="I286" s="205" t="e">
        <v>#N/A</v>
      </c>
      <c r="J286" s="231" t="e">
        <v>#N/A</v>
      </c>
      <c r="K286" s="185" t="e">
        <v>#N/A</v>
      </c>
      <c r="L286" s="185" t="e">
        <v>#N/A</v>
      </c>
      <c r="M286" s="201" t="e">
        <v>#N/A</v>
      </c>
      <c r="N286" s="185" t="e">
        <v>#N/A</v>
      </c>
      <c r="O286" s="185" t="e">
        <v>#N/A</v>
      </c>
      <c r="P286" s="201" t="e">
        <v>#N/A</v>
      </c>
      <c r="Q286" s="205" t="e">
        <v>#N/A</v>
      </c>
      <c r="R286" s="231" t="e">
        <v>#N/A</v>
      </c>
      <c r="S286" s="185" t="e">
        <v>#N/A</v>
      </c>
      <c r="T286" s="185" t="e">
        <v>#N/A</v>
      </c>
      <c r="U286" s="201" t="e">
        <v>#N/A</v>
      </c>
      <c r="V286" s="185" t="e">
        <v>#N/A</v>
      </c>
      <c r="W286" s="185" t="e">
        <v>#N/A</v>
      </c>
      <c r="X286" s="201" t="e">
        <v>#N/A</v>
      </c>
      <c r="Y286" s="205" t="e">
        <v>#N/A</v>
      </c>
      <c r="Z286" s="231" t="e">
        <v>#N/A</v>
      </c>
      <c r="AA286" s="185" t="e">
        <v>#N/A</v>
      </c>
      <c r="AB286" s="185" t="e">
        <v>#N/A</v>
      </c>
      <c r="AC286" s="201" t="e">
        <v>#N/A</v>
      </c>
      <c r="AD286" s="185" t="e">
        <v>#N/A</v>
      </c>
      <c r="AE286" s="185" t="e">
        <v>#N/A</v>
      </c>
      <c r="AF286" s="201" t="e">
        <v>#N/A</v>
      </c>
      <c r="AH286" s="152" t="e">
        <f t="shared" si="48"/>
        <v>#N/A</v>
      </c>
      <c r="AI286" s="152" t="e">
        <f t="shared" si="49"/>
        <v>#N/A</v>
      </c>
      <c r="AJ286" s="152" t="e">
        <f t="shared" si="50"/>
        <v>#N/A</v>
      </c>
      <c r="AK286" s="152" t="e">
        <f t="shared" si="51"/>
        <v>#N/A</v>
      </c>
      <c r="AL286" s="152" t="e">
        <f t="shared" si="52"/>
        <v>#N/A</v>
      </c>
      <c r="AM286" s="152" t="e">
        <f t="shared" si="53"/>
        <v>#N/A</v>
      </c>
      <c r="AN286" s="152" t="e">
        <f t="shared" si="54"/>
        <v>#N/A</v>
      </c>
      <c r="AO286" s="152" t="e">
        <f t="shared" si="55"/>
        <v>#N/A</v>
      </c>
      <c r="AP286" s="152" t="e">
        <f t="shared" si="56"/>
        <v>#N/A</v>
      </c>
      <c r="AQ286" s="152" t="e">
        <f t="shared" si="57"/>
        <v>#N/A</v>
      </c>
      <c r="AR286" s="152" t="e">
        <f t="shared" si="58"/>
        <v>#N/A</v>
      </c>
      <c r="AS286" s="152" t="e">
        <f t="shared" si="59"/>
        <v>#N/A</v>
      </c>
    </row>
    <row r="287" spans="8:45" ht="15.75" customHeight="1">
      <c r="H287" s="212" t="e">
        <v>#N/A</v>
      </c>
      <c r="I287" s="205" t="e">
        <v>#N/A</v>
      </c>
      <c r="J287" s="231" t="e">
        <v>#N/A</v>
      </c>
      <c r="K287" s="185" t="e">
        <v>#N/A</v>
      </c>
      <c r="L287" s="185" t="e">
        <v>#N/A</v>
      </c>
      <c r="M287" s="201" t="e">
        <v>#N/A</v>
      </c>
      <c r="N287" s="185" t="e">
        <v>#N/A</v>
      </c>
      <c r="O287" s="185" t="e">
        <v>#N/A</v>
      </c>
      <c r="P287" s="201" t="e">
        <v>#N/A</v>
      </c>
      <c r="Q287" s="205" t="e">
        <v>#N/A</v>
      </c>
      <c r="R287" s="231" t="e">
        <v>#N/A</v>
      </c>
      <c r="S287" s="185" t="e">
        <v>#N/A</v>
      </c>
      <c r="T287" s="185" t="e">
        <v>#N/A</v>
      </c>
      <c r="U287" s="201" t="e">
        <v>#N/A</v>
      </c>
      <c r="V287" s="185" t="e">
        <v>#N/A</v>
      </c>
      <c r="W287" s="185" t="e">
        <v>#N/A</v>
      </c>
      <c r="X287" s="201" t="e">
        <v>#N/A</v>
      </c>
      <c r="Y287" s="205" t="e">
        <v>#N/A</v>
      </c>
      <c r="Z287" s="231" t="e">
        <v>#N/A</v>
      </c>
      <c r="AA287" s="185" t="e">
        <v>#N/A</v>
      </c>
      <c r="AB287" s="185" t="e">
        <v>#N/A</v>
      </c>
      <c r="AC287" s="201" t="e">
        <v>#N/A</v>
      </c>
      <c r="AD287" s="185" t="e">
        <v>#N/A</v>
      </c>
      <c r="AE287" s="185" t="e">
        <v>#N/A</v>
      </c>
      <c r="AF287" s="201" t="e">
        <v>#N/A</v>
      </c>
      <c r="AH287" s="152" t="e">
        <f t="shared" si="48"/>
        <v>#N/A</v>
      </c>
      <c r="AI287" s="152" t="e">
        <f t="shared" si="49"/>
        <v>#N/A</v>
      </c>
      <c r="AJ287" s="152" t="e">
        <f t="shared" si="50"/>
        <v>#N/A</v>
      </c>
      <c r="AK287" s="152" t="e">
        <f t="shared" si="51"/>
        <v>#N/A</v>
      </c>
      <c r="AL287" s="152" t="e">
        <f t="shared" si="52"/>
        <v>#N/A</v>
      </c>
      <c r="AM287" s="152" t="e">
        <f t="shared" si="53"/>
        <v>#N/A</v>
      </c>
      <c r="AN287" s="152" t="e">
        <f t="shared" si="54"/>
        <v>#N/A</v>
      </c>
      <c r="AO287" s="152" t="e">
        <f t="shared" si="55"/>
        <v>#N/A</v>
      </c>
      <c r="AP287" s="152" t="e">
        <f t="shared" si="56"/>
        <v>#N/A</v>
      </c>
      <c r="AQ287" s="152" t="e">
        <f t="shared" si="57"/>
        <v>#N/A</v>
      </c>
      <c r="AR287" s="152" t="e">
        <f t="shared" si="58"/>
        <v>#N/A</v>
      </c>
      <c r="AS287" s="152" t="e">
        <f t="shared" si="59"/>
        <v>#N/A</v>
      </c>
    </row>
    <row r="288" spans="8:45" ht="15.75" customHeight="1">
      <c r="H288" s="212" t="e">
        <v>#N/A</v>
      </c>
      <c r="I288" s="205" t="e">
        <v>#N/A</v>
      </c>
      <c r="J288" s="231" t="e">
        <v>#N/A</v>
      </c>
      <c r="K288" s="185" t="e">
        <v>#N/A</v>
      </c>
      <c r="L288" s="185" t="e">
        <v>#N/A</v>
      </c>
      <c r="M288" s="201" t="e">
        <v>#N/A</v>
      </c>
      <c r="N288" s="185" t="e">
        <v>#N/A</v>
      </c>
      <c r="O288" s="185" t="e">
        <v>#N/A</v>
      </c>
      <c r="P288" s="201" t="e">
        <v>#N/A</v>
      </c>
      <c r="Q288" s="205" t="e">
        <v>#N/A</v>
      </c>
      <c r="R288" s="231" t="e">
        <v>#N/A</v>
      </c>
      <c r="S288" s="185" t="e">
        <v>#N/A</v>
      </c>
      <c r="T288" s="185" t="e">
        <v>#N/A</v>
      </c>
      <c r="U288" s="201" t="e">
        <v>#N/A</v>
      </c>
      <c r="V288" s="185" t="e">
        <v>#N/A</v>
      </c>
      <c r="W288" s="185" t="e">
        <v>#N/A</v>
      </c>
      <c r="X288" s="201" t="e">
        <v>#N/A</v>
      </c>
      <c r="Y288" s="205" t="e">
        <v>#N/A</v>
      </c>
      <c r="Z288" s="231" t="e">
        <v>#N/A</v>
      </c>
      <c r="AA288" s="185" t="e">
        <v>#N/A</v>
      </c>
      <c r="AB288" s="185" t="e">
        <v>#N/A</v>
      </c>
      <c r="AC288" s="201" t="e">
        <v>#N/A</v>
      </c>
      <c r="AD288" s="185" t="e">
        <v>#N/A</v>
      </c>
      <c r="AE288" s="185" t="e">
        <v>#N/A</v>
      </c>
      <c r="AF288" s="201" t="e">
        <v>#N/A</v>
      </c>
      <c r="AH288" s="152" t="e">
        <f t="shared" si="48"/>
        <v>#N/A</v>
      </c>
      <c r="AI288" s="152" t="e">
        <f t="shared" si="49"/>
        <v>#N/A</v>
      </c>
      <c r="AJ288" s="152" t="e">
        <f t="shared" si="50"/>
        <v>#N/A</v>
      </c>
      <c r="AK288" s="152" t="e">
        <f t="shared" si="51"/>
        <v>#N/A</v>
      </c>
      <c r="AL288" s="152" t="e">
        <f t="shared" si="52"/>
        <v>#N/A</v>
      </c>
      <c r="AM288" s="152" t="e">
        <f t="shared" si="53"/>
        <v>#N/A</v>
      </c>
      <c r="AN288" s="152" t="e">
        <f t="shared" si="54"/>
        <v>#N/A</v>
      </c>
      <c r="AO288" s="152" t="e">
        <f t="shared" si="55"/>
        <v>#N/A</v>
      </c>
      <c r="AP288" s="152" t="e">
        <f t="shared" si="56"/>
        <v>#N/A</v>
      </c>
      <c r="AQ288" s="152" t="e">
        <f t="shared" si="57"/>
        <v>#N/A</v>
      </c>
      <c r="AR288" s="152" t="e">
        <f t="shared" si="58"/>
        <v>#N/A</v>
      </c>
      <c r="AS288" s="152" t="e">
        <f t="shared" si="59"/>
        <v>#N/A</v>
      </c>
    </row>
    <row r="289" spans="8:45" ht="15.75" customHeight="1">
      <c r="H289" s="212" t="e">
        <v>#N/A</v>
      </c>
      <c r="I289" s="205" t="e">
        <v>#N/A</v>
      </c>
      <c r="J289" s="231" t="e">
        <v>#N/A</v>
      </c>
      <c r="K289" s="185" t="e">
        <v>#N/A</v>
      </c>
      <c r="L289" s="185" t="e">
        <v>#N/A</v>
      </c>
      <c r="M289" s="201" t="e">
        <v>#N/A</v>
      </c>
      <c r="N289" s="185" t="e">
        <v>#N/A</v>
      </c>
      <c r="O289" s="185" t="e">
        <v>#N/A</v>
      </c>
      <c r="P289" s="201" t="e">
        <v>#N/A</v>
      </c>
      <c r="Q289" s="205" t="e">
        <v>#N/A</v>
      </c>
      <c r="R289" s="231" t="e">
        <v>#N/A</v>
      </c>
      <c r="S289" s="185" t="e">
        <v>#N/A</v>
      </c>
      <c r="T289" s="185" t="e">
        <v>#N/A</v>
      </c>
      <c r="U289" s="201" t="e">
        <v>#N/A</v>
      </c>
      <c r="V289" s="185" t="e">
        <v>#N/A</v>
      </c>
      <c r="W289" s="185" t="e">
        <v>#N/A</v>
      </c>
      <c r="X289" s="201" t="e">
        <v>#N/A</v>
      </c>
      <c r="Y289" s="205" t="e">
        <v>#N/A</v>
      </c>
      <c r="Z289" s="231" t="e">
        <v>#N/A</v>
      </c>
      <c r="AA289" s="185" t="e">
        <v>#N/A</v>
      </c>
      <c r="AB289" s="185" t="e">
        <v>#N/A</v>
      </c>
      <c r="AC289" s="201" t="e">
        <v>#N/A</v>
      </c>
      <c r="AD289" s="185" t="e">
        <v>#N/A</v>
      </c>
      <c r="AE289" s="185" t="e">
        <v>#N/A</v>
      </c>
      <c r="AF289" s="201" t="e">
        <v>#N/A</v>
      </c>
      <c r="AH289" s="152" t="e">
        <f t="shared" si="48"/>
        <v>#N/A</v>
      </c>
      <c r="AI289" s="152" t="e">
        <f t="shared" si="49"/>
        <v>#N/A</v>
      </c>
      <c r="AJ289" s="152" t="e">
        <f t="shared" si="50"/>
        <v>#N/A</v>
      </c>
      <c r="AK289" s="152" t="e">
        <f t="shared" si="51"/>
        <v>#N/A</v>
      </c>
      <c r="AL289" s="152" t="e">
        <f t="shared" si="52"/>
        <v>#N/A</v>
      </c>
      <c r="AM289" s="152" t="e">
        <f t="shared" si="53"/>
        <v>#N/A</v>
      </c>
      <c r="AN289" s="152" t="e">
        <f t="shared" si="54"/>
        <v>#N/A</v>
      </c>
      <c r="AO289" s="152" t="e">
        <f t="shared" si="55"/>
        <v>#N/A</v>
      </c>
      <c r="AP289" s="152" t="e">
        <f t="shared" si="56"/>
        <v>#N/A</v>
      </c>
      <c r="AQ289" s="152" t="e">
        <f t="shared" si="57"/>
        <v>#N/A</v>
      </c>
      <c r="AR289" s="152" t="e">
        <f t="shared" si="58"/>
        <v>#N/A</v>
      </c>
      <c r="AS289" s="152" t="e">
        <f t="shared" si="59"/>
        <v>#N/A</v>
      </c>
    </row>
    <row r="290" spans="8:45" ht="15.75" customHeight="1">
      <c r="H290" s="212" t="e">
        <v>#N/A</v>
      </c>
      <c r="I290" s="205" t="e">
        <v>#N/A</v>
      </c>
      <c r="J290" s="231" t="e">
        <v>#N/A</v>
      </c>
      <c r="K290" s="185" t="e">
        <v>#N/A</v>
      </c>
      <c r="L290" s="185" t="e">
        <v>#N/A</v>
      </c>
      <c r="M290" s="201" t="e">
        <v>#N/A</v>
      </c>
      <c r="N290" s="185" t="e">
        <v>#N/A</v>
      </c>
      <c r="O290" s="185" t="e">
        <v>#N/A</v>
      </c>
      <c r="P290" s="201" t="e">
        <v>#N/A</v>
      </c>
      <c r="Q290" s="205" t="e">
        <v>#N/A</v>
      </c>
      <c r="R290" s="231" t="e">
        <v>#N/A</v>
      </c>
      <c r="S290" s="185" t="e">
        <v>#N/A</v>
      </c>
      <c r="T290" s="185" t="e">
        <v>#N/A</v>
      </c>
      <c r="U290" s="201" t="e">
        <v>#N/A</v>
      </c>
      <c r="V290" s="185" t="e">
        <v>#N/A</v>
      </c>
      <c r="W290" s="185" t="e">
        <v>#N/A</v>
      </c>
      <c r="X290" s="201" t="e">
        <v>#N/A</v>
      </c>
      <c r="Y290" s="205" t="e">
        <v>#N/A</v>
      </c>
      <c r="Z290" s="231" t="e">
        <v>#N/A</v>
      </c>
      <c r="AA290" s="185" t="e">
        <v>#N/A</v>
      </c>
      <c r="AB290" s="185" t="e">
        <v>#N/A</v>
      </c>
      <c r="AC290" s="201" t="e">
        <v>#N/A</v>
      </c>
      <c r="AD290" s="185" t="e">
        <v>#N/A</v>
      </c>
      <c r="AE290" s="185" t="e">
        <v>#N/A</v>
      </c>
      <c r="AF290" s="201" t="e">
        <v>#N/A</v>
      </c>
      <c r="AH290" s="152" t="e">
        <f t="shared" si="48"/>
        <v>#N/A</v>
      </c>
      <c r="AI290" s="152" t="e">
        <f t="shared" si="49"/>
        <v>#N/A</v>
      </c>
      <c r="AJ290" s="152" t="e">
        <f t="shared" si="50"/>
        <v>#N/A</v>
      </c>
      <c r="AK290" s="152" t="e">
        <f t="shared" si="51"/>
        <v>#N/A</v>
      </c>
      <c r="AL290" s="152" t="e">
        <f t="shared" si="52"/>
        <v>#N/A</v>
      </c>
      <c r="AM290" s="152" t="e">
        <f t="shared" si="53"/>
        <v>#N/A</v>
      </c>
      <c r="AN290" s="152" t="e">
        <f t="shared" si="54"/>
        <v>#N/A</v>
      </c>
      <c r="AO290" s="152" t="e">
        <f t="shared" si="55"/>
        <v>#N/A</v>
      </c>
      <c r="AP290" s="152" t="e">
        <f t="shared" si="56"/>
        <v>#N/A</v>
      </c>
      <c r="AQ290" s="152" t="e">
        <f t="shared" si="57"/>
        <v>#N/A</v>
      </c>
      <c r="AR290" s="152" t="e">
        <f t="shared" si="58"/>
        <v>#N/A</v>
      </c>
      <c r="AS290" s="152" t="e">
        <f t="shared" si="59"/>
        <v>#N/A</v>
      </c>
    </row>
    <row r="291" spans="8:45" ht="15.75" customHeight="1">
      <c r="H291" s="212" t="e">
        <v>#N/A</v>
      </c>
      <c r="I291" s="205" t="e">
        <v>#N/A</v>
      </c>
      <c r="J291" s="231" t="e">
        <v>#N/A</v>
      </c>
      <c r="K291" s="185" t="e">
        <v>#N/A</v>
      </c>
      <c r="L291" s="185" t="e">
        <v>#N/A</v>
      </c>
      <c r="M291" s="201" t="e">
        <v>#N/A</v>
      </c>
      <c r="N291" s="185" t="e">
        <v>#N/A</v>
      </c>
      <c r="O291" s="185" t="e">
        <v>#N/A</v>
      </c>
      <c r="P291" s="201" t="e">
        <v>#N/A</v>
      </c>
      <c r="Q291" s="205" t="e">
        <v>#N/A</v>
      </c>
      <c r="R291" s="231" t="e">
        <v>#N/A</v>
      </c>
      <c r="S291" s="185" t="e">
        <v>#N/A</v>
      </c>
      <c r="T291" s="185" t="e">
        <v>#N/A</v>
      </c>
      <c r="U291" s="201" t="e">
        <v>#N/A</v>
      </c>
      <c r="V291" s="185" t="e">
        <v>#N/A</v>
      </c>
      <c r="W291" s="185" t="e">
        <v>#N/A</v>
      </c>
      <c r="X291" s="201" t="e">
        <v>#N/A</v>
      </c>
      <c r="Y291" s="205" t="e">
        <v>#N/A</v>
      </c>
      <c r="Z291" s="231" t="e">
        <v>#N/A</v>
      </c>
      <c r="AA291" s="185" t="e">
        <v>#N/A</v>
      </c>
      <c r="AB291" s="185" t="e">
        <v>#N/A</v>
      </c>
      <c r="AC291" s="201" t="e">
        <v>#N/A</v>
      </c>
      <c r="AD291" s="185" t="e">
        <v>#N/A</v>
      </c>
      <c r="AE291" s="185" t="e">
        <v>#N/A</v>
      </c>
      <c r="AF291" s="201" t="e">
        <v>#N/A</v>
      </c>
      <c r="AH291" s="152" t="e">
        <f t="shared" si="48"/>
        <v>#N/A</v>
      </c>
      <c r="AI291" s="152" t="e">
        <f t="shared" si="49"/>
        <v>#N/A</v>
      </c>
      <c r="AJ291" s="152" t="e">
        <f t="shared" si="50"/>
        <v>#N/A</v>
      </c>
      <c r="AK291" s="152" t="e">
        <f t="shared" si="51"/>
        <v>#N/A</v>
      </c>
      <c r="AL291" s="152" t="e">
        <f t="shared" si="52"/>
        <v>#N/A</v>
      </c>
      <c r="AM291" s="152" t="e">
        <f t="shared" si="53"/>
        <v>#N/A</v>
      </c>
      <c r="AN291" s="152" t="e">
        <f t="shared" si="54"/>
        <v>#N/A</v>
      </c>
      <c r="AO291" s="152" t="e">
        <f t="shared" si="55"/>
        <v>#N/A</v>
      </c>
      <c r="AP291" s="152" t="e">
        <f t="shared" si="56"/>
        <v>#N/A</v>
      </c>
      <c r="AQ291" s="152" t="e">
        <f t="shared" si="57"/>
        <v>#N/A</v>
      </c>
      <c r="AR291" s="152" t="e">
        <f t="shared" si="58"/>
        <v>#N/A</v>
      </c>
      <c r="AS291" s="152" t="e">
        <f t="shared" si="59"/>
        <v>#N/A</v>
      </c>
    </row>
    <row r="292" spans="8:45" ht="15.75" customHeight="1">
      <c r="H292" s="212" t="e">
        <v>#N/A</v>
      </c>
      <c r="I292" s="205" t="e">
        <v>#N/A</v>
      </c>
      <c r="J292" s="231" t="e">
        <v>#N/A</v>
      </c>
      <c r="K292" s="185" t="e">
        <v>#N/A</v>
      </c>
      <c r="L292" s="185" t="e">
        <v>#N/A</v>
      </c>
      <c r="M292" s="201" t="e">
        <v>#N/A</v>
      </c>
      <c r="N292" s="185" t="e">
        <v>#N/A</v>
      </c>
      <c r="O292" s="185" t="e">
        <v>#N/A</v>
      </c>
      <c r="P292" s="201" t="e">
        <v>#N/A</v>
      </c>
      <c r="Q292" s="205" t="e">
        <v>#N/A</v>
      </c>
      <c r="R292" s="231" t="e">
        <v>#N/A</v>
      </c>
      <c r="S292" s="185" t="e">
        <v>#N/A</v>
      </c>
      <c r="T292" s="185" t="e">
        <v>#N/A</v>
      </c>
      <c r="U292" s="201" t="e">
        <v>#N/A</v>
      </c>
      <c r="V292" s="185" t="e">
        <v>#N/A</v>
      </c>
      <c r="W292" s="185" t="e">
        <v>#N/A</v>
      </c>
      <c r="X292" s="201" t="e">
        <v>#N/A</v>
      </c>
      <c r="Y292" s="205" t="e">
        <v>#N/A</v>
      </c>
      <c r="Z292" s="231" t="e">
        <v>#N/A</v>
      </c>
      <c r="AA292" s="185" t="e">
        <v>#N/A</v>
      </c>
      <c r="AB292" s="185" t="e">
        <v>#N/A</v>
      </c>
      <c r="AC292" s="201" t="e">
        <v>#N/A</v>
      </c>
      <c r="AD292" s="185" t="e">
        <v>#N/A</v>
      </c>
      <c r="AE292" s="185" t="e">
        <v>#N/A</v>
      </c>
      <c r="AF292" s="201" t="e">
        <v>#N/A</v>
      </c>
      <c r="AH292" s="152" t="e">
        <f t="shared" si="48"/>
        <v>#N/A</v>
      </c>
      <c r="AI292" s="152" t="e">
        <f t="shared" si="49"/>
        <v>#N/A</v>
      </c>
      <c r="AJ292" s="152" t="e">
        <f t="shared" si="50"/>
        <v>#N/A</v>
      </c>
      <c r="AK292" s="152" t="e">
        <f t="shared" si="51"/>
        <v>#N/A</v>
      </c>
      <c r="AL292" s="152" t="e">
        <f t="shared" si="52"/>
        <v>#N/A</v>
      </c>
      <c r="AM292" s="152" t="e">
        <f t="shared" si="53"/>
        <v>#N/A</v>
      </c>
      <c r="AN292" s="152" t="e">
        <f t="shared" si="54"/>
        <v>#N/A</v>
      </c>
      <c r="AO292" s="152" t="e">
        <f t="shared" si="55"/>
        <v>#N/A</v>
      </c>
      <c r="AP292" s="152" t="e">
        <f t="shared" si="56"/>
        <v>#N/A</v>
      </c>
      <c r="AQ292" s="152" t="e">
        <f t="shared" si="57"/>
        <v>#N/A</v>
      </c>
      <c r="AR292" s="152" t="e">
        <f t="shared" si="58"/>
        <v>#N/A</v>
      </c>
      <c r="AS292" s="152" t="e">
        <f t="shared" si="59"/>
        <v>#N/A</v>
      </c>
    </row>
    <row r="293" spans="8:45" ht="15.75" customHeight="1">
      <c r="H293" s="212" t="e">
        <v>#N/A</v>
      </c>
      <c r="I293" s="205" t="e">
        <v>#N/A</v>
      </c>
      <c r="J293" s="231" t="e">
        <v>#N/A</v>
      </c>
      <c r="K293" s="185" t="e">
        <v>#N/A</v>
      </c>
      <c r="L293" s="185" t="e">
        <v>#N/A</v>
      </c>
      <c r="M293" s="201" t="e">
        <v>#N/A</v>
      </c>
      <c r="N293" s="185" t="e">
        <v>#N/A</v>
      </c>
      <c r="O293" s="185" t="e">
        <v>#N/A</v>
      </c>
      <c r="P293" s="201" t="e">
        <v>#N/A</v>
      </c>
      <c r="Q293" s="205" t="e">
        <v>#N/A</v>
      </c>
      <c r="R293" s="231" t="e">
        <v>#N/A</v>
      </c>
      <c r="S293" s="185" t="e">
        <v>#N/A</v>
      </c>
      <c r="T293" s="185" t="e">
        <v>#N/A</v>
      </c>
      <c r="U293" s="201" t="e">
        <v>#N/A</v>
      </c>
      <c r="V293" s="185" t="e">
        <v>#N/A</v>
      </c>
      <c r="W293" s="185" t="e">
        <v>#N/A</v>
      </c>
      <c r="X293" s="201" t="e">
        <v>#N/A</v>
      </c>
      <c r="Y293" s="205" t="e">
        <v>#N/A</v>
      </c>
      <c r="Z293" s="231" t="e">
        <v>#N/A</v>
      </c>
      <c r="AA293" s="185" t="e">
        <v>#N/A</v>
      </c>
      <c r="AB293" s="185" t="e">
        <v>#N/A</v>
      </c>
      <c r="AC293" s="201" t="e">
        <v>#N/A</v>
      </c>
      <c r="AD293" s="185" t="e">
        <v>#N/A</v>
      </c>
      <c r="AE293" s="185" t="e">
        <v>#N/A</v>
      </c>
      <c r="AF293" s="201" t="e">
        <v>#N/A</v>
      </c>
      <c r="AH293" s="152" t="e">
        <f t="shared" si="48"/>
        <v>#N/A</v>
      </c>
      <c r="AI293" s="152" t="e">
        <f t="shared" si="49"/>
        <v>#N/A</v>
      </c>
      <c r="AJ293" s="152" t="e">
        <f t="shared" si="50"/>
        <v>#N/A</v>
      </c>
      <c r="AK293" s="152" t="e">
        <f t="shared" si="51"/>
        <v>#N/A</v>
      </c>
      <c r="AL293" s="152" t="e">
        <f t="shared" si="52"/>
        <v>#N/A</v>
      </c>
      <c r="AM293" s="152" t="e">
        <f t="shared" si="53"/>
        <v>#N/A</v>
      </c>
      <c r="AN293" s="152" t="e">
        <f t="shared" si="54"/>
        <v>#N/A</v>
      </c>
      <c r="AO293" s="152" t="e">
        <f t="shared" si="55"/>
        <v>#N/A</v>
      </c>
      <c r="AP293" s="152" t="e">
        <f t="shared" si="56"/>
        <v>#N/A</v>
      </c>
      <c r="AQ293" s="152" t="e">
        <f t="shared" si="57"/>
        <v>#N/A</v>
      </c>
      <c r="AR293" s="152" t="e">
        <f t="shared" si="58"/>
        <v>#N/A</v>
      </c>
      <c r="AS293" s="152" t="e">
        <f t="shared" si="59"/>
        <v>#N/A</v>
      </c>
    </row>
    <row r="294" spans="8:45" ht="15.75" customHeight="1">
      <c r="H294" s="212" t="e">
        <v>#N/A</v>
      </c>
      <c r="I294" s="205" t="e">
        <v>#N/A</v>
      </c>
      <c r="J294" s="231" t="e">
        <v>#N/A</v>
      </c>
      <c r="K294" s="185" t="e">
        <v>#N/A</v>
      </c>
      <c r="L294" s="185" t="e">
        <v>#N/A</v>
      </c>
      <c r="M294" s="201" t="e">
        <v>#N/A</v>
      </c>
      <c r="N294" s="185" t="e">
        <v>#N/A</v>
      </c>
      <c r="O294" s="185" t="e">
        <v>#N/A</v>
      </c>
      <c r="P294" s="201" t="e">
        <v>#N/A</v>
      </c>
      <c r="Q294" s="205" t="e">
        <v>#N/A</v>
      </c>
      <c r="R294" s="231" t="e">
        <v>#N/A</v>
      </c>
      <c r="S294" s="185" t="e">
        <v>#N/A</v>
      </c>
      <c r="T294" s="185" t="e">
        <v>#N/A</v>
      </c>
      <c r="U294" s="201" t="e">
        <v>#N/A</v>
      </c>
      <c r="V294" s="185" t="e">
        <v>#N/A</v>
      </c>
      <c r="W294" s="185" t="e">
        <v>#N/A</v>
      </c>
      <c r="X294" s="201" t="e">
        <v>#N/A</v>
      </c>
      <c r="Y294" s="205" t="e">
        <v>#N/A</v>
      </c>
      <c r="Z294" s="231" t="e">
        <v>#N/A</v>
      </c>
      <c r="AA294" s="185" t="e">
        <v>#N/A</v>
      </c>
      <c r="AB294" s="185" t="e">
        <v>#N/A</v>
      </c>
      <c r="AC294" s="201" t="e">
        <v>#N/A</v>
      </c>
      <c r="AD294" s="185" t="e">
        <v>#N/A</v>
      </c>
      <c r="AE294" s="185" t="e">
        <v>#N/A</v>
      </c>
      <c r="AF294" s="201" t="e">
        <v>#N/A</v>
      </c>
      <c r="AH294" s="152" t="e">
        <f t="shared" si="48"/>
        <v>#N/A</v>
      </c>
      <c r="AI294" s="152" t="e">
        <f t="shared" si="49"/>
        <v>#N/A</v>
      </c>
      <c r="AJ294" s="152" t="e">
        <f t="shared" si="50"/>
        <v>#N/A</v>
      </c>
      <c r="AK294" s="152" t="e">
        <f t="shared" si="51"/>
        <v>#N/A</v>
      </c>
      <c r="AL294" s="152" t="e">
        <f t="shared" si="52"/>
        <v>#N/A</v>
      </c>
      <c r="AM294" s="152" t="e">
        <f t="shared" si="53"/>
        <v>#N/A</v>
      </c>
      <c r="AN294" s="152" t="e">
        <f t="shared" si="54"/>
        <v>#N/A</v>
      </c>
      <c r="AO294" s="152" t="e">
        <f t="shared" si="55"/>
        <v>#N/A</v>
      </c>
      <c r="AP294" s="152" t="e">
        <f t="shared" si="56"/>
        <v>#N/A</v>
      </c>
      <c r="AQ294" s="152" t="e">
        <f t="shared" si="57"/>
        <v>#N/A</v>
      </c>
      <c r="AR294" s="152" t="e">
        <f t="shared" si="58"/>
        <v>#N/A</v>
      </c>
      <c r="AS294" s="152" t="e">
        <f t="shared" si="59"/>
        <v>#N/A</v>
      </c>
    </row>
    <row r="295" spans="8:45" ht="15.75" customHeight="1">
      <c r="H295" s="212" t="e">
        <v>#N/A</v>
      </c>
      <c r="I295" s="205" t="e">
        <v>#N/A</v>
      </c>
      <c r="J295" s="231" t="e">
        <v>#N/A</v>
      </c>
      <c r="K295" s="185" t="e">
        <v>#N/A</v>
      </c>
      <c r="L295" s="185" t="e">
        <v>#N/A</v>
      </c>
      <c r="M295" s="201" t="e">
        <v>#N/A</v>
      </c>
      <c r="N295" s="185" t="e">
        <v>#N/A</v>
      </c>
      <c r="O295" s="185" t="e">
        <v>#N/A</v>
      </c>
      <c r="P295" s="201" t="e">
        <v>#N/A</v>
      </c>
      <c r="Q295" s="205" t="e">
        <v>#N/A</v>
      </c>
      <c r="R295" s="231" t="e">
        <v>#N/A</v>
      </c>
      <c r="S295" s="185" t="e">
        <v>#N/A</v>
      </c>
      <c r="T295" s="185" t="e">
        <v>#N/A</v>
      </c>
      <c r="U295" s="201" t="e">
        <v>#N/A</v>
      </c>
      <c r="V295" s="185" t="e">
        <v>#N/A</v>
      </c>
      <c r="W295" s="185" t="e">
        <v>#N/A</v>
      </c>
      <c r="X295" s="201" t="e">
        <v>#N/A</v>
      </c>
      <c r="Y295" s="205" t="e">
        <v>#N/A</v>
      </c>
      <c r="Z295" s="231" t="e">
        <v>#N/A</v>
      </c>
      <c r="AA295" s="185" t="e">
        <v>#N/A</v>
      </c>
      <c r="AB295" s="185" t="e">
        <v>#N/A</v>
      </c>
      <c r="AC295" s="201" t="e">
        <v>#N/A</v>
      </c>
      <c r="AD295" s="185" t="e">
        <v>#N/A</v>
      </c>
      <c r="AE295" s="185" t="e">
        <v>#N/A</v>
      </c>
      <c r="AF295" s="201" t="e">
        <v>#N/A</v>
      </c>
      <c r="AH295" s="152" t="e">
        <f t="shared" si="48"/>
        <v>#N/A</v>
      </c>
      <c r="AI295" s="152" t="e">
        <f t="shared" si="49"/>
        <v>#N/A</v>
      </c>
      <c r="AJ295" s="152" t="e">
        <f t="shared" si="50"/>
        <v>#N/A</v>
      </c>
      <c r="AK295" s="152" t="e">
        <f t="shared" si="51"/>
        <v>#N/A</v>
      </c>
      <c r="AL295" s="152" t="e">
        <f t="shared" si="52"/>
        <v>#N/A</v>
      </c>
      <c r="AM295" s="152" t="e">
        <f t="shared" si="53"/>
        <v>#N/A</v>
      </c>
      <c r="AN295" s="152" t="e">
        <f t="shared" si="54"/>
        <v>#N/A</v>
      </c>
      <c r="AO295" s="152" t="e">
        <f t="shared" si="55"/>
        <v>#N/A</v>
      </c>
      <c r="AP295" s="152" t="e">
        <f t="shared" si="56"/>
        <v>#N/A</v>
      </c>
      <c r="AQ295" s="152" t="e">
        <f t="shared" si="57"/>
        <v>#N/A</v>
      </c>
      <c r="AR295" s="152" t="e">
        <f t="shared" si="58"/>
        <v>#N/A</v>
      </c>
      <c r="AS295" s="152" t="e">
        <f t="shared" si="59"/>
        <v>#N/A</v>
      </c>
    </row>
    <row r="296" spans="8:45" ht="15.75" customHeight="1">
      <c r="H296" s="212" t="e">
        <v>#N/A</v>
      </c>
      <c r="I296" s="205" t="e">
        <v>#N/A</v>
      </c>
      <c r="J296" s="231" t="e">
        <v>#N/A</v>
      </c>
      <c r="K296" s="185" t="e">
        <v>#N/A</v>
      </c>
      <c r="L296" s="185" t="e">
        <v>#N/A</v>
      </c>
      <c r="M296" s="201" t="e">
        <v>#N/A</v>
      </c>
      <c r="N296" s="185" t="e">
        <v>#N/A</v>
      </c>
      <c r="O296" s="185" t="e">
        <v>#N/A</v>
      </c>
      <c r="P296" s="201" t="e">
        <v>#N/A</v>
      </c>
      <c r="Q296" s="205" t="e">
        <v>#N/A</v>
      </c>
      <c r="R296" s="231" t="e">
        <v>#N/A</v>
      </c>
      <c r="S296" s="185" t="e">
        <v>#N/A</v>
      </c>
      <c r="T296" s="185" t="e">
        <v>#N/A</v>
      </c>
      <c r="U296" s="201" t="e">
        <v>#N/A</v>
      </c>
      <c r="V296" s="185" t="e">
        <v>#N/A</v>
      </c>
      <c r="W296" s="185" t="e">
        <v>#N/A</v>
      </c>
      <c r="X296" s="201" t="e">
        <v>#N/A</v>
      </c>
      <c r="Y296" s="205" t="e">
        <v>#N/A</v>
      </c>
      <c r="Z296" s="231" t="e">
        <v>#N/A</v>
      </c>
      <c r="AA296" s="185" t="e">
        <v>#N/A</v>
      </c>
      <c r="AB296" s="185" t="e">
        <v>#N/A</v>
      </c>
      <c r="AC296" s="201" t="e">
        <v>#N/A</v>
      </c>
      <c r="AD296" s="185" t="e">
        <v>#N/A</v>
      </c>
      <c r="AE296" s="185" t="e">
        <v>#N/A</v>
      </c>
      <c r="AF296" s="201" t="e">
        <v>#N/A</v>
      </c>
      <c r="AH296" s="152" t="e">
        <f t="shared" si="48"/>
        <v>#N/A</v>
      </c>
      <c r="AI296" s="152" t="e">
        <f t="shared" si="49"/>
        <v>#N/A</v>
      </c>
      <c r="AJ296" s="152" t="e">
        <f t="shared" si="50"/>
        <v>#N/A</v>
      </c>
      <c r="AK296" s="152" t="e">
        <f t="shared" si="51"/>
        <v>#N/A</v>
      </c>
      <c r="AL296" s="152" t="e">
        <f t="shared" si="52"/>
        <v>#N/A</v>
      </c>
      <c r="AM296" s="152" t="e">
        <f t="shared" si="53"/>
        <v>#N/A</v>
      </c>
      <c r="AN296" s="152" t="e">
        <f t="shared" si="54"/>
        <v>#N/A</v>
      </c>
      <c r="AO296" s="152" t="e">
        <f t="shared" si="55"/>
        <v>#N/A</v>
      </c>
      <c r="AP296" s="152" t="e">
        <f t="shared" si="56"/>
        <v>#N/A</v>
      </c>
      <c r="AQ296" s="152" t="e">
        <f t="shared" si="57"/>
        <v>#N/A</v>
      </c>
      <c r="AR296" s="152" t="e">
        <f t="shared" si="58"/>
        <v>#N/A</v>
      </c>
      <c r="AS296" s="152" t="e">
        <f t="shared" si="59"/>
        <v>#N/A</v>
      </c>
    </row>
    <row r="297" spans="8:45" ht="15.75" customHeight="1">
      <c r="H297" s="212" t="e">
        <v>#N/A</v>
      </c>
      <c r="I297" s="205" t="e">
        <v>#N/A</v>
      </c>
      <c r="J297" s="231" t="e">
        <v>#N/A</v>
      </c>
      <c r="K297" s="185" t="e">
        <v>#N/A</v>
      </c>
      <c r="L297" s="185" t="e">
        <v>#N/A</v>
      </c>
      <c r="M297" s="201" t="e">
        <v>#N/A</v>
      </c>
      <c r="N297" s="185" t="e">
        <v>#N/A</v>
      </c>
      <c r="O297" s="185" t="e">
        <v>#N/A</v>
      </c>
      <c r="P297" s="201" t="e">
        <v>#N/A</v>
      </c>
      <c r="Q297" s="205" t="e">
        <v>#N/A</v>
      </c>
      <c r="R297" s="231" t="e">
        <v>#N/A</v>
      </c>
      <c r="S297" s="185" t="e">
        <v>#N/A</v>
      </c>
      <c r="T297" s="185" t="e">
        <v>#N/A</v>
      </c>
      <c r="U297" s="201" t="e">
        <v>#N/A</v>
      </c>
      <c r="V297" s="185" t="e">
        <v>#N/A</v>
      </c>
      <c r="W297" s="185" t="e">
        <v>#N/A</v>
      </c>
      <c r="X297" s="201" t="e">
        <v>#N/A</v>
      </c>
      <c r="Y297" s="205" t="e">
        <v>#N/A</v>
      </c>
      <c r="Z297" s="231" t="e">
        <v>#N/A</v>
      </c>
      <c r="AA297" s="185" t="e">
        <v>#N/A</v>
      </c>
      <c r="AB297" s="185" t="e">
        <v>#N/A</v>
      </c>
      <c r="AC297" s="201" t="e">
        <v>#N/A</v>
      </c>
      <c r="AD297" s="185" t="e">
        <v>#N/A</v>
      </c>
      <c r="AE297" s="185" t="e">
        <v>#N/A</v>
      </c>
      <c r="AF297" s="201" t="e">
        <v>#N/A</v>
      </c>
      <c r="AH297" s="152" t="e">
        <f t="shared" si="48"/>
        <v>#N/A</v>
      </c>
      <c r="AI297" s="152" t="e">
        <f t="shared" si="49"/>
        <v>#N/A</v>
      </c>
      <c r="AJ297" s="152" t="e">
        <f t="shared" si="50"/>
        <v>#N/A</v>
      </c>
      <c r="AK297" s="152" t="e">
        <f t="shared" si="51"/>
        <v>#N/A</v>
      </c>
      <c r="AL297" s="152" t="e">
        <f t="shared" si="52"/>
        <v>#N/A</v>
      </c>
      <c r="AM297" s="152" t="e">
        <f t="shared" si="53"/>
        <v>#N/A</v>
      </c>
      <c r="AN297" s="152" t="e">
        <f t="shared" si="54"/>
        <v>#N/A</v>
      </c>
      <c r="AO297" s="152" t="e">
        <f t="shared" si="55"/>
        <v>#N/A</v>
      </c>
      <c r="AP297" s="152" t="e">
        <f t="shared" si="56"/>
        <v>#N/A</v>
      </c>
      <c r="AQ297" s="152" t="e">
        <f t="shared" si="57"/>
        <v>#N/A</v>
      </c>
      <c r="AR297" s="152" t="e">
        <f t="shared" si="58"/>
        <v>#N/A</v>
      </c>
      <c r="AS297" s="152" t="e">
        <f t="shared" si="59"/>
        <v>#N/A</v>
      </c>
    </row>
    <row r="298" spans="8:45" ht="15.75" customHeight="1">
      <c r="H298" s="212" t="e">
        <v>#N/A</v>
      </c>
      <c r="I298" s="205" t="e">
        <v>#N/A</v>
      </c>
      <c r="J298" s="231" t="e">
        <v>#N/A</v>
      </c>
      <c r="K298" s="185" t="e">
        <v>#N/A</v>
      </c>
      <c r="L298" s="185" t="e">
        <v>#N/A</v>
      </c>
      <c r="M298" s="201" t="e">
        <v>#N/A</v>
      </c>
      <c r="N298" s="185" t="e">
        <v>#N/A</v>
      </c>
      <c r="O298" s="185" t="e">
        <v>#N/A</v>
      </c>
      <c r="P298" s="201" t="e">
        <v>#N/A</v>
      </c>
      <c r="Q298" s="205" t="e">
        <v>#N/A</v>
      </c>
      <c r="R298" s="231" t="e">
        <v>#N/A</v>
      </c>
      <c r="S298" s="185" t="e">
        <v>#N/A</v>
      </c>
      <c r="T298" s="185" t="e">
        <v>#N/A</v>
      </c>
      <c r="U298" s="201" t="e">
        <v>#N/A</v>
      </c>
      <c r="V298" s="185" t="e">
        <v>#N/A</v>
      </c>
      <c r="W298" s="185" t="e">
        <v>#N/A</v>
      </c>
      <c r="X298" s="201" t="e">
        <v>#N/A</v>
      </c>
      <c r="Y298" s="205" t="e">
        <v>#N/A</v>
      </c>
      <c r="Z298" s="231" t="e">
        <v>#N/A</v>
      </c>
      <c r="AA298" s="185" t="e">
        <v>#N/A</v>
      </c>
      <c r="AB298" s="185" t="e">
        <v>#N/A</v>
      </c>
      <c r="AC298" s="201" t="e">
        <v>#N/A</v>
      </c>
      <c r="AD298" s="185" t="e">
        <v>#N/A</v>
      </c>
      <c r="AE298" s="185" t="e">
        <v>#N/A</v>
      </c>
      <c r="AF298" s="201" t="e">
        <v>#N/A</v>
      </c>
      <c r="AH298" s="152" t="e">
        <f t="shared" si="48"/>
        <v>#N/A</v>
      </c>
      <c r="AI298" s="152" t="e">
        <f t="shared" si="49"/>
        <v>#N/A</v>
      </c>
      <c r="AJ298" s="152" t="e">
        <f t="shared" si="50"/>
        <v>#N/A</v>
      </c>
      <c r="AK298" s="152" t="e">
        <f t="shared" si="51"/>
        <v>#N/A</v>
      </c>
      <c r="AL298" s="152" t="e">
        <f t="shared" si="52"/>
        <v>#N/A</v>
      </c>
      <c r="AM298" s="152" t="e">
        <f t="shared" si="53"/>
        <v>#N/A</v>
      </c>
      <c r="AN298" s="152" t="e">
        <f t="shared" si="54"/>
        <v>#N/A</v>
      </c>
      <c r="AO298" s="152" t="e">
        <f t="shared" si="55"/>
        <v>#N/A</v>
      </c>
      <c r="AP298" s="152" t="e">
        <f t="shared" si="56"/>
        <v>#N/A</v>
      </c>
      <c r="AQ298" s="152" t="e">
        <f t="shared" si="57"/>
        <v>#N/A</v>
      </c>
      <c r="AR298" s="152" t="e">
        <f t="shared" si="58"/>
        <v>#N/A</v>
      </c>
      <c r="AS298" s="152" t="e">
        <f t="shared" si="59"/>
        <v>#N/A</v>
      </c>
    </row>
    <row r="299" spans="8:45" ht="15.75" customHeight="1">
      <c r="H299" s="212" t="e">
        <v>#N/A</v>
      </c>
      <c r="I299" s="205" t="e">
        <v>#N/A</v>
      </c>
      <c r="J299" s="231" t="e">
        <v>#N/A</v>
      </c>
      <c r="K299" s="185" t="e">
        <v>#N/A</v>
      </c>
      <c r="L299" s="185" t="e">
        <v>#N/A</v>
      </c>
      <c r="M299" s="201" t="e">
        <v>#N/A</v>
      </c>
      <c r="N299" s="185" t="e">
        <v>#N/A</v>
      </c>
      <c r="O299" s="185" t="e">
        <v>#N/A</v>
      </c>
      <c r="P299" s="201" t="e">
        <v>#N/A</v>
      </c>
      <c r="Q299" s="205" t="e">
        <v>#N/A</v>
      </c>
      <c r="R299" s="231" t="e">
        <v>#N/A</v>
      </c>
      <c r="S299" s="185" t="e">
        <v>#N/A</v>
      </c>
      <c r="T299" s="185" t="e">
        <v>#N/A</v>
      </c>
      <c r="U299" s="201" t="e">
        <v>#N/A</v>
      </c>
      <c r="V299" s="185" t="e">
        <v>#N/A</v>
      </c>
      <c r="W299" s="185" t="e">
        <v>#N/A</v>
      </c>
      <c r="X299" s="201" t="e">
        <v>#N/A</v>
      </c>
      <c r="Y299" s="205" t="e">
        <v>#N/A</v>
      </c>
      <c r="Z299" s="231" t="e">
        <v>#N/A</v>
      </c>
      <c r="AA299" s="185" t="e">
        <v>#N/A</v>
      </c>
      <c r="AB299" s="185" t="e">
        <v>#N/A</v>
      </c>
      <c r="AC299" s="201" t="e">
        <v>#N/A</v>
      </c>
      <c r="AD299" s="185" t="e">
        <v>#N/A</v>
      </c>
      <c r="AE299" s="185" t="e">
        <v>#N/A</v>
      </c>
      <c r="AF299" s="201" t="e">
        <v>#N/A</v>
      </c>
      <c r="AH299" s="152" t="e">
        <f t="shared" si="48"/>
        <v>#N/A</v>
      </c>
      <c r="AI299" s="152" t="e">
        <f t="shared" si="49"/>
        <v>#N/A</v>
      </c>
      <c r="AJ299" s="152" t="e">
        <f t="shared" si="50"/>
        <v>#N/A</v>
      </c>
      <c r="AK299" s="152" t="e">
        <f t="shared" si="51"/>
        <v>#N/A</v>
      </c>
      <c r="AL299" s="152" t="e">
        <f t="shared" si="52"/>
        <v>#N/A</v>
      </c>
      <c r="AM299" s="152" t="e">
        <f t="shared" si="53"/>
        <v>#N/A</v>
      </c>
      <c r="AN299" s="152" t="e">
        <f t="shared" si="54"/>
        <v>#N/A</v>
      </c>
      <c r="AO299" s="152" t="e">
        <f t="shared" si="55"/>
        <v>#N/A</v>
      </c>
      <c r="AP299" s="152" t="e">
        <f t="shared" si="56"/>
        <v>#N/A</v>
      </c>
      <c r="AQ299" s="152" t="e">
        <f t="shared" si="57"/>
        <v>#N/A</v>
      </c>
      <c r="AR299" s="152" t="e">
        <f t="shared" si="58"/>
        <v>#N/A</v>
      </c>
      <c r="AS299" s="152" t="e">
        <f t="shared" si="59"/>
        <v>#N/A</v>
      </c>
    </row>
    <row r="300" spans="8:45" ht="15.75" customHeight="1">
      <c r="H300" s="212" t="e">
        <v>#N/A</v>
      </c>
      <c r="I300" s="205" t="e">
        <v>#N/A</v>
      </c>
      <c r="J300" s="231" t="e">
        <v>#N/A</v>
      </c>
      <c r="K300" s="185" t="e">
        <v>#N/A</v>
      </c>
      <c r="L300" s="185" t="e">
        <v>#N/A</v>
      </c>
      <c r="M300" s="201" t="e">
        <v>#N/A</v>
      </c>
      <c r="N300" s="185" t="e">
        <v>#N/A</v>
      </c>
      <c r="O300" s="185" t="e">
        <v>#N/A</v>
      </c>
      <c r="P300" s="201" t="e">
        <v>#N/A</v>
      </c>
      <c r="Q300" s="205" t="e">
        <v>#N/A</v>
      </c>
      <c r="R300" s="231" t="e">
        <v>#N/A</v>
      </c>
      <c r="S300" s="185" t="e">
        <v>#N/A</v>
      </c>
      <c r="T300" s="185" t="e">
        <v>#N/A</v>
      </c>
      <c r="U300" s="201" t="e">
        <v>#N/A</v>
      </c>
      <c r="V300" s="185" t="e">
        <v>#N/A</v>
      </c>
      <c r="W300" s="185" t="e">
        <v>#N/A</v>
      </c>
      <c r="X300" s="201" t="e">
        <v>#N/A</v>
      </c>
      <c r="Y300" s="205" t="e">
        <v>#N/A</v>
      </c>
      <c r="Z300" s="231" t="e">
        <v>#N/A</v>
      </c>
      <c r="AA300" s="185" t="e">
        <v>#N/A</v>
      </c>
      <c r="AB300" s="185" t="e">
        <v>#N/A</v>
      </c>
      <c r="AC300" s="201" t="e">
        <v>#N/A</v>
      </c>
      <c r="AD300" s="185" t="e">
        <v>#N/A</v>
      </c>
      <c r="AE300" s="185" t="e">
        <v>#N/A</v>
      </c>
      <c r="AF300" s="201" t="e">
        <v>#N/A</v>
      </c>
      <c r="AH300" s="152" t="e">
        <f t="shared" si="48"/>
        <v>#N/A</v>
      </c>
      <c r="AI300" s="152" t="e">
        <f t="shared" si="49"/>
        <v>#N/A</v>
      </c>
      <c r="AJ300" s="152" t="e">
        <f t="shared" si="50"/>
        <v>#N/A</v>
      </c>
      <c r="AK300" s="152" t="e">
        <f t="shared" si="51"/>
        <v>#N/A</v>
      </c>
      <c r="AL300" s="152" t="e">
        <f t="shared" si="52"/>
        <v>#N/A</v>
      </c>
      <c r="AM300" s="152" t="e">
        <f t="shared" si="53"/>
        <v>#N/A</v>
      </c>
      <c r="AN300" s="152" t="e">
        <f t="shared" si="54"/>
        <v>#N/A</v>
      </c>
      <c r="AO300" s="152" t="e">
        <f t="shared" si="55"/>
        <v>#N/A</v>
      </c>
      <c r="AP300" s="152" t="e">
        <f t="shared" si="56"/>
        <v>#N/A</v>
      </c>
      <c r="AQ300" s="152" t="e">
        <f t="shared" si="57"/>
        <v>#N/A</v>
      </c>
      <c r="AR300" s="152" t="e">
        <f t="shared" si="58"/>
        <v>#N/A</v>
      </c>
      <c r="AS300" s="152" t="e">
        <f t="shared" si="59"/>
        <v>#N/A</v>
      </c>
    </row>
    <row r="301" spans="8:45" ht="15.75" customHeight="1">
      <c r="H301" s="212" t="e">
        <v>#N/A</v>
      </c>
      <c r="I301" s="205" t="e">
        <v>#N/A</v>
      </c>
      <c r="J301" s="231" t="e">
        <v>#N/A</v>
      </c>
      <c r="K301" s="185" t="e">
        <v>#N/A</v>
      </c>
      <c r="L301" s="185" t="e">
        <v>#N/A</v>
      </c>
      <c r="M301" s="201" t="e">
        <v>#N/A</v>
      </c>
      <c r="N301" s="185" t="e">
        <v>#N/A</v>
      </c>
      <c r="O301" s="185" t="e">
        <v>#N/A</v>
      </c>
      <c r="P301" s="201" t="e">
        <v>#N/A</v>
      </c>
      <c r="Q301" s="205" t="e">
        <v>#N/A</v>
      </c>
      <c r="R301" s="231" t="e">
        <v>#N/A</v>
      </c>
      <c r="S301" s="185" t="e">
        <v>#N/A</v>
      </c>
      <c r="T301" s="185" t="e">
        <v>#N/A</v>
      </c>
      <c r="U301" s="201" t="e">
        <v>#N/A</v>
      </c>
      <c r="V301" s="185" t="e">
        <v>#N/A</v>
      </c>
      <c r="W301" s="185" t="e">
        <v>#N/A</v>
      </c>
      <c r="X301" s="201" t="e">
        <v>#N/A</v>
      </c>
      <c r="Y301" s="205" t="e">
        <v>#N/A</v>
      </c>
      <c r="Z301" s="231" t="e">
        <v>#N/A</v>
      </c>
      <c r="AA301" s="185" t="e">
        <v>#N/A</v>
      </c>
      <c r="AB301" s="185" t="e">
        <v>#N/A</v>
      </c>
      <c r="AC301" s="201" t="e">
        <v>#N/A</v>
      </c>
      <c r="AD301" s="185" t="e">
        <v>#N/A</v>
      </c>
      <c r="AE301" s="185" t="e">
        <v>#N/A</v>
      </c>
      <c r="AF301" s="201" t="e">
        <v>#N/A</v>
      </c>
      <c r="AH301" s="152" t="e">
        <f t="shared" si="48"/>
        <v>#N/A</v>
      </c>
      <c r="AI301" s="152" t="e">
        <f t="shared" si="49"/>
        <v>#N/A</v>
      </c>
      <c r="AJ301" s="152" t="e">
        <f t="shared" si="50"/>
        <v>#N/A</v>
      </c>
      <c r="AK301" s="152" t="e">
        <f t="shared" si="51"/>
        <v>#N/A</v>
      </c>
      <c r="AL301" s="152" t="e">
        <f t="shared" si="52"/>
        <v>#N/A</v>
      </c>
      <c r="AM301" s="152" t="e">
        <f t="shared" si="53"/>
        <v>#N/A</v>
      </c>
      <c r="AN301" s="152" t="e">
        <f t="shared" si="54"/>
        <v>#N/A</v>
      </c>
      <c r="AO301" s="152" t="e">
        <f t="shared" si="55"/>
        <v>#N/A</v>
      </c>
      <c r="AP301" s="152" t="e">
        <f t="shared" si="56"/>
        <v>#N/A</v>
      </c>
      <c r="AQ301" s="152" t="e">
        <f t="shared" si="57"/>
        <v>#N/A</v>
      </c>
      <c r="AR301" s="152" t="e">
        <f t="shared" si="58"/>
        <v>#N/A</v>
      </c>
      <c r="AS301" s="152" t="e">
        <f t="shared" si="59"/>
        <v>#N/A</v>
      </c>
    </row>
    <row r="302" spans="8:45" ht="15.75" customHeight="1">
      <c r="H302" s="212" t="e">
        <v>#N/A</v>
      </c>
      <c r="I302" s="205" t="e">
        <v>#N/A</v>
      </c>
      <c r="J302" s="231" t="e">
        <v>#N/A</v>
      </c>
      <c r="K302" s="185" t="e">
        <v>#N/A</v>
      </c>
      <c r="L302" s="185" t="e">
        <v>#N/A</v>
      </c>
      <c r="M302" s="201" t="e">
        <v>#N/A</v>
      </c>
      <c r="N302" s="185" t="e">
        <v>#N/A</v>
      </c>
      <c r="O302" s="185" t="e">
        <v>#N/A</v>
      </c>
      <c r="P302" s="201" t="e">
        <v>#N/A</v>
      </c>
      <c r="Q302" s="205" t="e">
        <v>#N/A</v>
      </c>
      <c r="R302" s="231" t="e">
        <v>#N/A</v>
      </c>
      <c r="S302" s="185" t="e">
        <v>#N/A</v>
      </c>
      <c r="T302" s="185" t="e">
        <v>#N/A</v>
      </c>
      <c r="U302" s="201" t="e">
        <v>#N/A</v>
      </c>
      <c r="V302" s="185" t="e">
        <v>#N/A</v>
      </c>
      <c r="W302" s="185" t="e">
        <v>#N/A</v>
      </c>
      <c r="X302" s="201" t="e">
        <v>#N/A</v>
      </c>
      <c r="Y302" s="205" t="e">
        <v>#N/A</v>
      </c>
      <c r="Z302" s="231" t="e">
        <v>#N/A</v>
      </c>
      <c r="AA302" s="185" t="e">
        <v>#N/A</v>
      </c>
      <c r="AB302" s="185" t="e">
        <v>#N/A</v>
      </c>
      <c r="AC302" s="201" t="e">
        <v>#N/A</v>
      </c>
      <c r="AD302" s="185" t="e">
        <v>#N/A</v>
      </c>
      <c r="AE302" s="185" t="e">
        <v>#N/A</v>
      </c>
      <c r="AF302" s="201" t="e">
        <v>#N/A</v>
      </c>
      <c r="AH302" s="152" t="e">
        <f t="shared" si="48"/>
        <v>#N/A</v>
      </c>
      <c r="AI302" s="152" t="e">
        <f t="shared" si="49"/>
        <v>#N/A</v>
      </c>
      <c r="AJ302" s="152" t="e">
        <f t="shared" si="50"/>
        <v>#N/A</v>
      </c>
      <c r="AK302" s="152" t="e">
        <f t="shared" si="51"/>
        <v>#N/A</v>
      </c>
      <c r="AL302" s="152" t="e">
        <f t="shared" si="52"/>
        <v>#N/A</v>
      </c>
      <c r="AM302" s="152" t="e">
        <f t="shared" si="53"/>
        <v>#N/A</v>
      </c>
      <c r="AN302" s="152" t="e">
        <f t="shared" si="54"/>
        <v>#N/A</v>
      </c>
      <c r="AO302" s="152" t="e">
        <f t="shared" si="55"/>
        <v>#N/A</v>
      </c>
      <c r="AP302" s="152" t="e">
        <f t="shared" si="56"/>
        <v>#N/A</v>
      </c>
      <c r="AQ302" s="152" t="e">
        <f t="shared" si="57"/>
        <v>#N/A</v>
      </c>
      <c r="AR302" s="152" t="e">
        <f t="shared" si="58"/>
        <v>#N/A</v>
      </c>
      <c r="AS302" s="152" t="e">
        <f t="shared" si="59"/>
        <v>#N/A</v>
      </c>
    </row>
    <row r="303" spans="8:45" ht="15.75" customHeight="1">
      <c r="H303" s="212" t="e">
        <v>#N/A</v>
      </c>
      <c r="I303" s="205" t="e">
        <v>#N/A</v>
      </c>
      <c r="J303" s="231" t="e">
        <v>#N/A</v>
      </c>
      <c r="K303" s="185" t="e">
        <v>#N/A</v>
      </c>
      <c r="L303" s="185" t="e">
        <v>#N/A</v>
      </c>
      <c r="M303" s="201" t="e">
        <v>#N/A</v>
      </c>
      <c r="N303" s="185" t="e">
        <v>#N/A</v>
      </c>
      <c r="O303" s="185" t="e">
        <v>#N/A</v>
      </c>
      <c r="P303" s="201" t="e">
        <v>#N/A</v>
      </c>
      <c r="Q303" s="205" t="e">
        <v>#N/A</v>
      </c>
      <c r="R303" s="231" t="e">
        <v>#N/A</v>
      </c>
      <c r="S303" s="185" t="e">
        <v>#N/A</v>
      </c>
      <c r="T303" s="185" t="e">
        <v>#N/A</v>
      </c>
      <c r="U303" s="201" t="e">
        <v>#N/A</v>
      </c>
      <c r="V303" s="185" t="e">
        <v>#N/A</v>
      </c>
      <c r="W303" s="185" t="e">
        <v>#N/A</v>
      </c>
      <c r="X303" s="201" t="e">
        <v>#N/A</v>
      </c>
      <c r="Y303" s="205" t="e">
        <v>#N/A</v>
      </c>
      <c r="Z303" s="231" t="e">
        <v>#N/A</v>
      </c>
      <c r="AA303" s="185" t="e">
        <v>#N/A</v>
      </c>
      <c r="AB303" s="185" t="e">
        <v>#N/A</v>
      </c>
      <c r="AC303" s="201" t="e">
        <v>#N/A</v>
      </c>
      <c r="AD303" s="185" t="e">
        <v>#N/A</v>
      </c>
      <c r="AE303" s="185" t="e">
        <v>#N/A</v>
      </c>
      <c r="AF303" s="201" t="e">
        <v>#N/A</v>
      </c>
      <c r="AH303" s="152" t="e">
        <f t="shared" si="48"/>
        <v>#N/A</v>
      </c>
      <c r="AI303" s="152" t="e">
        <f t="shared" si="49"/>
        <v>#N/A</v>
      </c>
      <c r="AJ303" s="152" t="e">
        <f t="shared" si="50"/>
        <v>#N/A</v>
      </c>
      <c r="AK303" s="152" t="e">
        <f t="shared" si="51"/>
        <v>#N/A</v>
      </c>
      <c r="AL303" s="152" t="e">
        <f t="shared" si="52"/>
        <v>#N/A</v>
      </c>
      <c r="AM303" s="152" t="e">
        <f t="shared" si="53"/>
        <v>#N/A</v>
      </c>
      <c r="AN303" s="152" t="e">
        <f t="shared" si="54"/>
        <v>#N/A</v>
      </c>
      <c r="AO303" s="152" t="e">
        <f t="shared" si="55"/>
        <v>#N/A</v>
      </c>
      <c r="AP303" s="152" t="e">
        <f t="shared" si="56"/>
        <v>#N/A</v>
      </c>
      <c r="AQ303" s="152" t="e">
        <f t="shared" si="57"/>
        <v>#N/A</v>
      </c>
      <c r="AR303" s="152" t="e">
        <f t="shared" si="58"/>
        <v>#N/A</v>
      </c>
      <c r="AS303" s="152" t="e">
        <f t="shared" si="59"/>
        <v>#N/A</v>
      </c>
    </row>
    <row r="304" spans="8:45" ht="15.75" customHeight="1">
      <c r="H304" s="212" t="e">
        <v>#N/A</v>
      </c>
      <c r="I304" s="205" t="e">
        <v>#N/A</v>
      </c>
      <c r="J304" s="231" t="e">
        <v>#N/A</v>
      </c>
      <c r="K304" s="185" t="e">
        <v>#N/A</v>
      </c>
      <c r="L304" s="185" t="e">
        <v>#N/A</v>
      </c>
      <c r="M304" s="201" t="e">
        <v>#N/A</v>
      </c>
      <c r="N304" s="185" t="e">
        <v>#N/A</v>
      </c>
      <c r="O304" s="185" t="e">
        <v>#N/A</v>
      </c>
      <c r="P304" s="201" t="e">
        <v>#N/A</v>
      </c>
      <c r="Q304" s="205" t="e">
        <v>#N/A</v>
      </c>
      <c r="R304" s="231" t="e">
        <v>#N/A</v>
      </c>
      <c r="S304" s="185" t="e">
        <v>#N/A</v>
      </c>
      <c r="T304" s="185" t="e">
        <v>#N/A</v>
      </c>
      <c r="U304" s="201" t="e">
        <v>#N/A</v>
      </c>
      <c r="V304" s="185" t="e">
        <v>#N/A</v>
      </c>
      <c r="W304" s="185" t="e">
        <v>#N/A</v>
      </c>
      <c r="X304" s="201" t="e">
        <v>#N/A</v>
      </c>
      <c r="Y304" s="205" t="e">
        <v>#N/A</v>
      </c>
      <c r="Z304" s="231" t="e">
        <v>#N/A</v>
      </c>
      <c r="AA304" s="185" t="e">
        <v>#N/A</v>
      </c>
      <c r="AB304" s="185" t="e">
        <v>#N/A</v>
      </c>
      <c r="AC304" s="201" t="e">
        <v>#N/A</v>
      </c>
      <c r="AD304" s="185" t="e">
        <v>#N/A</v>
      </c>
      <c r="AE304" s="185" t="e">
        <v>#N/A</v>
      </c>
      <c r="AF304" s="201" t="e">
        <v>#N/A</v>
      </c>
      <c r="AH304" s="152" t="e">
        <f t="shared" si="48"/>
        <v>#N/A</v>
      </c>
      <c r="AI304" s="152" t="e">
        <f t="shared" si="49"/>
        <v>#N/A</v>
      </c>
      <c r="AJ304" s="152" t="e">
        <f t="shared" si="50"/>
        <v>#N/A</v>
      </c>
      <c r="AK304" s="152" t="e">
        <f t="shared" si="51"/>
        <v>#N/A</v>
      </c>
      <c r="AL304" s="152" t="e">
        <f t="shared" si="52"/>
        <v>#N/A</v>
      </c>
      <c r="AM304" s="152" t="e">
        <f t="shared" si="53"/>
        <v>#N/A</v>
      </c>
      <c r="AN304" s="152" t="e">
        <f t="shared" si="54"/>
        <v>#N/A</v>
      </c>
      <c r="AO304" s="152" t="e">
        <f t="shared" si="55"/>
        <v>#N/A</v>
      </c>
      <c r="AP304" s="152" t="e">
        <f t="shared" si="56"/>
        <v>#N/A</v>
      </c>
      <c r="AQ304" s="152" t="e">
        <f t="shared" si="57"/>
        <v>#N/A</v>
      </c>
      <c r="AR304" s="152" t="e">
        <f t="shared" si="58"/>
        <v>#N/A</v>
      </c>
      <c r="AS304" s="152" t="e">
        <f t="shared" si="59"/>
        <v>#N/A</v>
      </c>
    </row>
    <row r="305" spans="8:45" ht="15.75" customHeight="1">
      <c r="H305" s="212" t="e">
        <v>#N/A</v>
      </c>
      <c r="I305" s="205" t="e">
        <v>#N/A</v>
      </c>
      <c r="J305" s="231" t="e">
        <v>#N/A</v>
      </c>
      <c r="K305" s="185" t="e">
        <v>#N/A</v>
      </c>
      <c r="L305" s="185" t="e">
        <v>#N/A</v>
      </c>
      <c r="M305" s="201" t="e">
        <v>#N/A</v>
      </c>
      <c r="N305" s="185" t="e">
        <v>#N/A</v>
      </c>
      <c r="O305" s="185" t="e">
        <v>#N/A</v>
      </c>
      <c r="P305" s="201" t="e">
        <v>#N/A</v>
      </c>
      <c r="Q305" s="205" t="e">
        <v>#N/A</v>
      </c>
      <c r="R305" s="231" t="e">
        <v>#N/A</v>
      </c>
      <c r="S305" s="185" t="e">
        <v>#N/A</v>
      </c>
      <c r="T305" s="185" t="e">
        <v>#N/A</v>
      </c>
      <c r="U305" s="201" t="e">
        <v>#N/A</v>
      </c>
      <c r="V305" s="185" t="e">
        <v>#N/A</v>
      </c>
      <c r="W305" s="185" t="e">
        <v>#N/A</v>
      </c>
      <c r="X305" s="201" t="e">
        <v>#N/A</v>
      </c>
      <c r="Y305" s="205" t="e">
        <v>#N/A</v>
      </c>
      <c r="Z305" s="231" t="e">
        <v>#N/A</v>
      </c>
      <c r="AA305" s="185" t="e">
        <v>#N/A</v>
      </c>
      <c r="AB305" s="185" t="e">
        <v>#N/A</v>
      </c>
      <c r="AC305" s="201" t="e">
        <v>#N/A</v>
      </c>
      <c r="AD305" s="185" t="e">
        <v>#N/A</v>
      </c>
      <c r="AE305" s="185" t="e">
        <v>#N/A</v>
      </c>
      <c r="AF305" s="201" t="e">
        <v>#N/A</v>
      </c>
      <c r="AH305" s="152" t="e">
        <f t="shared" si="48"/>
        <v>#N/A</v>
      </c>
      <c r="AI305" s="152" t="e">
        <f t="shared" si="49"/>
        <v>#N/A</v>
      </c>
      <c r="AJ305" s="152" t="e">
        <f t="shared" si="50"/>
        <v>#N/A</v>
      </c>
      <c r="AK305" s="152" t="e">
        <f t="shared" si="51"/>
        <v>#N/A</v>
      </c>
      <c r="AL305" s="152" t="e">
        <f t="shared" si="52"/>
        <v>#N/A</v>
      </c>
      <c r="AM305" s="152" t="e">
        <f t="shared" si="53"/>
        <v>#N/A</v>
      </c>
      <c r="AN305" s="152" t="e">
        <f t="shared" si="54"/>
        <v>#N/A</v>
      </c>
      <c r="AO305" s="152" t="e">
        <f t="shared" si="55"/>
        <v>#N/A</v>
      </c>
      <c r="AP305" s="152" t="e">
        <f t="shared" si="56"/>
        <v>#N/A</v>
      </c>
      <c r="AQ305" s="152" t="e">
        <f t="shared" si="57"/>
        <v>#N/A</v>
      </c>
      <c r="AR305" s="152" t="e">
        <f t="shared" si="58"/>
        <v>#N/A</v>
      </c>
      <c r="AS305" s="152" t="e">
        <f t="shared" si="59"/>
        <v>#N/A</v>
      </c>
    </row>
    <row r="306" spans="8:45" ht="15.75" customHeight="1">
      <c r="H306" s="212" t="e">
        <v>#N/A</v>
      </c>
      <c r="I306" s="205" t="e">
        <v>#N/A</v>
      </c>
      <c r="J306" s="231" t="e">
        <v>#N/A</v>
      </c>
      <c r="K306" s="185" t="e">
        <v>#N/A</v>
      </c>
      <c r="L306" s="185" t="e">
        <v>#N/A</v>
      </c>
      <c r="M306" s="201" t="e">
        <v>#N/A</v>
      </c>
      <c r="N306" s="185" t="e">
        <v>#N/A</v>
      </c>
      <c r="O306" s="185" t="e">
        <v>#N/A</v>
      </c>
      <c r="P306" s="201" t="e">
        <v>#N/A</v>
      </c>
      <c r="Q306" s="205" t="e">
        <v>#N/A</v>
      </c>
      <c r="R306" s="231" t="e">
        <v>#N/A</v>
      </c>
      <c r="S306" s="185" t="e">
        <v>#N/A</v>
      </c>
      <c r="T306" s="185" t="e">
        <v>#N/A</v>
      </c>
      <c r="U306" s="201" t="e">
        <v>#N/A</v>
      </c>
      <c r="V306" s="185" t="e">
        <v>#N/A</v>
      </c>
      <c r="W306" s="185" t="e">
        <v>#N/A</v>
      </c>
      <c r="X306" s="201" t="e">
        <v>#N/A</v>
      </c>
      <c r="Y306" s="205" t="e">
        <v>#N/A</v>
      </c>
      <c r="Z306" s="231" t="e">
        <v>#N/A</v>
      </c>
      <c r="AA306" s="185" t="e">
        <v>#N/A</v>
      </c>
      <c r="AB306" s="185" t="e">
        <v>#N/A</v>
      </c>
      <c r="AC306" s="201" t="e">
        <v>#N/A</v>
      </c>
      <c r="AD306" s="185" t="e">
        <v>#N/A</v>
      </c>
      <c r="AE306" s="185" t="e">
        <v>#N/A</v>
      </c>
      <c r="AF306" s="201" t="e">
        <v>#N/A</v>
      </c>
      <c r="AH306" s="152" t="e">
        <f t="shared" si="48"/>
        <v>#N/A</v>
      </c>
      <c r="AI306" s="152" t="e">
        <f t="shared" si="49"/>
        <v>#N/A</v>
      </c>
      <c r="AJ306" s="152" t="e">
        <f t="shared" si="50"/>
        <v>#N/A</v>
      </c>
      <c r="AK306" s="152" t="e">
        <f t="shared" si="51"/>
        <v>#N/A</v>
      </c>
      <c r="AL306" s="152" t="e">
        <f t="shared" si="52"/>
        <v>#N/A</v>
      </c>
      <c r="AM306" s="152" t="e">
        <f t="shared" si="53"/>
        <v>#N/A</v>
      </c>
      <c r="AN306" s="152" t="e">
        <f t="shared" si="54"/>
        <v>#N/A</v>
      </c>
      <c r="AO306" s="152" t="e">
        <f t="shared" si="55"/>
        <v>#N/A</v>
      </c>
      <c r="AP306" s="152" t="e">
        <f t="shared" si="56"/>
        <v>#N/A</v>
      </c>
      <c r="AQ306" s="152" t="e">
        <f t="shared" si="57"/>
        <v>#N/A</v>
      </c>
      <c r="AR306" s="152" t="e">
        <f t="shared" si="58"/>
        <v>#N/A</v>
      </c>
      <c r="AS306" s="152" t="e">
        <f t="shared" si="59"/>
        <v>#N/A</v>
      </c>
    </row>
    <row r="307" spans="8:45" ht="15.75" customHeight="1">
      <c r="H307" s="230" t="e">
        <v>#N/A</v>
      </c>
      <c r="I307" s="206" t="e">
        <v>#N/A</v>
      </c>
      <c r="J307" s="232" t="e">
        <v>#N/A</v>
      </c>
      <c r="K307" s="195" t="e">
        <v>#N/A</v>
      </c>
      <c r="L307" s="195" t="e">
        <v>#N/A</v>
      </c>
      <c r="M307" s="204" t="e">
        <v>#N/A</v>
      </c>
      <c r="N307" s="195" t="e">
        <v>#N/A</v>
      </c>
      <c r="O307" s="195" t="e">
        <v>#N/A</v>
      </c>
      <c r="P307" s="204" t="e">
        <v>#N/A</v>
      </c>
      <c r="Q307" s="206" t="e">
        <v>#N/A</v>
      </c>
      <c r="R307" s="232" t="e">
        <v>#N/A</v>
      </c>
      <c r="S307" s="195" t="e">
        <v>#N/A</v>
      </c>
      <c r="T307" s="195" t="e">
        <v>#N/A</v>
      </c>
      <c r="U307" s="204" t="e">
        <v>#N/A</v>
      </c>
      <c r="V307" s="195" t="e">
        <v>#N/A</v>
      </c>
      <c r="W307" s="195" t="e">
        <v>#N/A</v>
      </c>
      <c r="X307" s="204" t="e">
        <v>#N/A</v>
      </c>
      <c r="Y307" s="206" t="e">
        <v>#N/A</v>
      </c>
      <c r="Z307" s="232" t="e">
        <v>#N/A</v>
      </c>
      <c r="AA307" s="195" t="e">
        <v>#N/A</v>
      </c>
      <c r="AB307" s="195" t="e">
        <v>#N/A</v>
      </c>
      <c r="AC307" s="204" t="e">
        <v>#N/A</v>
      </c>
      <c r="AD307" s="195" t="e">
        <v>#N/A</v>
      </c>
      <c r="AE307" s="195" t="e">
        <v>#N/A</v>
      </c>
      <c r="AF307" s="204" t="e">
        <v>#N/A</v>
      </c>
      <c r="AH307" s="152" t="e">
        <f t="shared" si="48"/>
        <v>#N/A</v>
      </c>
      <c r="AI307" s="152" t="e">
        <f t="shared" si="49"/>
        <v>#N/A</v>
      </c>
      <c r="AJ307" s="152" t="e">
        <f t="shared" si="50"/>
        <v>#N/A</v>
      </c>
      <c r="AK307" s="152" t="e">
        <f t="shared" si="51"/>
        <v>#N/A</v>
      </c>
      <c r="AL307" s="152" t="e">
        <f t="shared" si="52"/>
        <v>#N/A</v>
      </c>
      <c r="AM307" s="152" t="e">
        <f t="shared" si="53"/>
        <v>#N/A</v>
      </c>
      <c r="AN307" s="152" t="e">
        <f t="shared" si="54"/>
        <v>#N/A</v>
      </c>
      <c r="AO307" s="152" t="e">
        <f t="shared" si="55"/>
        <v>#N/A</v>
      </c>
      <c r="AP307" s="152" t="e">
        <f t="shared" si="56"/>
        <v>#N/A</v>
      </c>
      <c r="AQ307" s="152" t="e">
        <f t="shared" si="57"/>
        <v>#N/A</v>
      </c>
      <c r="AR307" s="152" t="e">
        <f t="shared" si="58"/>
        <v>#N/A</v>
      </c>
      <c r="AS307" s="152" t="e">
        <f t="shared" si="59"/>
        <v>#N/A</v>
      </c>
    </row>
  </sheetData>
  <pageMargins left="0.7" right="0.7" top="0.78740157499999996" bottom="0.78740157499999996"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tblTernaryHelp">
    <tabColor theme="0" tint="-0.499984740745262"/>
  </sheetPr>
  <dimension ref="A2:AO52"/>
  <sheetViews>
    <sheetView zoomScale="85" zoomScaleNormal="85" workbookViewId="0">
      <selection activeCell="Q44" sqref="Q44"/>
    </sheetView>
  </sheetViews>
  <sheetFormatPr baseColWidth="10" defaultColWidth="7.140625" defaultRowHeight="15"/>
  <cols>
    <col min="1" max="4" width="7.28515625" style="245" bestFit="1" customWidth="1"/>
    <col min="5" max="5" width="7.140625" style="245" customWidth="1"/>
    <col min="6" max="6" width="7.140625" style="245"/>
    <col min="7" max="11" width="7.28515625" style="245" bestFit="1" customWidth="1"/>
    <col min="12" max="12" width="7.140625" style="245"/>
    <col min="13" max="18" width="7.28515625" style="245" bestFit="1" customWidth="1"/>
    <col min="19" max="19" width="7.140625" style="245"/>
    <col min="20" max="21" width="7.28515625" style="245" bestFit="1" customWidth="1"/>
    <col min="22" max="22" width="7.140625" style="245"/>
    <col min="23" max="25" width="7.28515625" style="245" bestFit="1" customWidth="1"/>
    <col min="26" max="26" width="7.140625" style="245"/>
    <col min="27" max="28" width="7.28515625" style="245" bestFit="1" customWidth="1"/>
    <col min="29" max="29" width="7.140625" style="245"/>
    <col min="30" max="31" width="7.28515625" style="245" bestFit="1" customWidth="1"/>
    <col min="32" max="32" width="7.140625" style="245"/>
    <col min="33" max="33" width="8.42578125" style="245" bestFit="1" customWidth="1"/>
    <col min="34" max="35" width="7.28515625" style="245" bestFit="1" customWidth="1"/>
    <col min="36" max="36" width="7.140625" style="245"/>
    <col min="37" max="38" width="7.28515625" style="245" bestFit="1" customWidth="1"/>
    <col min="39" max="39" width="7.140625" style="245"/>
    <col min="40" max="41" width="7.28515625" style="245" bestFit="1" customWidth="1"/>
    <col min="42" max="16384" width="7.140625" style="245"/>
  </cols>
  <sheetData>
    <row r="2" spans="1:41" ht="20.25" thickBot="1">
      <c r="A2" s="244" t="s">
        <v>390</v>
      </c>
      <c r="G2" s="244" t="s">
        <v>391</v>
      </c>
      <c r="M2" s="244" t="s">
        <v>392</v>
      </c>
      <c r="W2" s="244" t="s">
        <v>393</v>
      </c>
      <c r="AG2" s="244" t="s">
        <v>394</v>
      </c>
    </row>
    <row r="3" spans="1:41" ht="18.75" thickTop="1" thickBot="1">
      <c r="N3" s="246" t="str">
        <f>CONCATENATE("A ",LOWER(M2))</f>
        <v>A axis ticks</v>
      </c>
      <c r="Q3" s="246" t="str">
        <f>CONCATENATE("B ",LOWER(M2))</f>
        <v>B axis ticks</v>
      </c>
      <c r="T3" s="246" t="str">
        <f>CONCATENATE("C ",LOWER(M2))</f>
        <v>C axis ticks</v>
      </c>
      <c r="X3" s="246" t="str">
        <f>CONCATENATE("A ",LOWER(W2))</f>
        <v>A axis tick labels</v>
      </c>
      <c r="AA3" s="246" t="str">
        <f>CONCATENATE("B ",LOWER(W2))</f>
        <v>B axis tick labels</v>
      </c>
      <c r="AD3" s="246" t="str">
        <f>CONCATENATE("C ",LOWER(W2))</f>
        <v>C axis tick labels</v>
      </c>
      <c r="AH3" s="246" t="s">
        <v>395</v>
      </c>
      <c r="AK3" s="246" t="s">
        <v>396</v>
      </c>
      <c r="AN3" s="246" t="s">
        <v>397</v>
      </c>
    </row>
    <row r="4" spans="1:41" ht="15.75" thickTop="1"/>
    <row r="5" spans="1:41">
      <c r="G5" s="245" t="s">
        <v>398</v>
      </c>
      <c r="I5" s="253">
        <v>0.1</v>
      </c>
      <c r="N5" s="245" t="s">
        <v>398</v>
      </c>
      <c r="P5" s="253">
        <v>0.2</v>
      </c>
      <c r="W5" s="245" t="s">
        <v>399</v>
      </c>
      <c r="X5" s="253">
        <v>-2.5000000000000001E-2</v>
      </c>
      <c r="Y5" s="245">
        <f>X5</f>
        <v>-2.5000000000000001E-2</v>
      </c>
      <c r="AA5" s="253">
        <v>-0.01</v>
      </c>
      <c r="AB5" s="245">
        <f>AA5</f>
        <v>-0.01</v>
      </c>
      <c r="AD5" s="253">
        <v>-2.5000000000000001E-2</v>
      </c>
      <c r="AE5" s="245">
        <f>AD5</f>
        <v>-2.5000000000000001E-2</v>
      </c>
      <c r="AG5" s="245" t="s">
        <v>400</v>
      </c>
      <c r="AH5" s="253">
        <v>0.15</v>
      </c>
      <c r="AK5" s="253">
        <f>AH5</f>
        <v>0.15</v>
      </c>
      <c r="AN5" s="253">
        <f>AH5</f>
        <v>0.15</v>
      </c>
    </row>
    <row r="6" spans="1:41">
      <c r="N6" s="245" t="s">
        <v>401</v>
      </c>
      <c r="P6" s="253">
        <v>2.5000000000000001E-2</v>
      </c>
      <c r="W6" s="245" t="s">
        <v>402</v>
      </c>
      <c r="X6" s="253">
        <v>2.5000000000000001E-2</v>
      </c>
      <c r="Y6" s="245">
        <f>X6*$E$7</f>
        <v>2.1650635094610966E-2</v>
      </c>
      <c r="AA6" s="253">
        <v>5.0000000000000001E-3</v>
      </c>
      <c r="AB6" s="245">
        <f>AA6*$E$7</f>
        <v>4.3301270189221933E-3</v>
      </c>
      <c r="AD6" s="253">
        <v>-2.5000000000000001E-2</v>
      </c>
      <c r="AE6" s="245">
        <f>AD6*$E$7</f>
        <v>-2.1650635094610966E-2</v>
      </c>
    </row>
    <row r="7" spans="1:41">
      <c r="D7" s="253">
        <v>0.5</v>
      </c>
      <c r="E7" s="254">
        <f>SQRT(3)/2</f>
        <v>0.8660254037844386</v>
      </c>
    </row>
    <row r="8" spans="1:41">
      <c r="A8" s="252" t="s">
        <v>251</v>
      </c>
      <c r="B8" s="252" t="s">
        <v>35</v>
      </c>
      <c r="C8" s="252" t="s">
        <v>36</v>
      </c>
      <c r="D8" s="252" t="s">
        <v>403</v>
      </c>
      <c r="E8" s="252" t="s">
        <v>404</v>
      </c>
      <c r="G8" s="252" t="s">
        <v>251</v>
      </c>
      <c r="H8" s="252" t="s">
        <v>35</v>
      </c>
      <c r="I8" s="252" t="s">
        <v>36</v>
      </c>
      <c r="J8" s="252" t="s">
        <v>403</v>
      </c>
      <c r="K8" s="252" t="s">
        <v>404</v>
      </c>
      <c r="N8" s="252" t="s">
        <v>403</v>
      </c>
      <c r="O8" s="252" t="s">
        <v>404</v>
      </c>
      <c r="Q8" s="252" t="s">
        <v>403</v>
      </c>
      <c r="R8" s="252" t="s">
        <v>404</v>
      </c>
      <c r="T8" s="252" t="s">
        <v>403</v>
      </c>
      <c r="U8" s="252" t="s">
        <v>404</v>
      </c>
      <c r="W8" s="247" t="s">
        <v>405</v>
      </c>
      <c r="X8" s="252" t="s">
        <v>403</v>
      </c>
      <c r="Y8" s="252" t="s">
        <v>404</v>
      </c>
      <c r="AA8" s="252" t="s">
        <v>403</v>
      </c>
      <c r="AB8" s="252" t="s">
        <v>404</v>
      </c>
      <c r="AD8" s="252" t="s">
        <v>403</v>
      </c>
      <c r="AE8" s="252" t="s">
        <v>404</v>
      </c>
      <c r="AG8" s="247" t="s">
        <v>405</v>
      </c>
      <c r="AH8" s="252" t="s">
        <v>403</v>
      </c>
      <c r="AI8" s="252" t="s">
        <v>404</v>
      </c>
      <c r="AK8" s="252" t="s">
        <v>403</v>
      </c>
      <c r="AL8" s="252" t="s">
        <v>404</v>
      </c>
      <c r="AN8" s="252" t="s">
        <v>403</v>
      </c>
      <c r="AO8" s="252" t="s">
        <v>404</v>
      </c>
    </row>
    <row r="9" spans="1:41">
      <c r="A9" s="245">
        <v>0</v>
      </c>
      <c r="B9" s="245">
        <v>0</v>
      </c>
      <c r="C9" s="245">
        <v>1</v>
      </c>
      <c r="D9" s="245">
        <f>A9 + B9*$D$7</f>
        <v>0</v>
      </c>
      <c r="E9" s="245">
        <f>B9*$E$7</f>
        <v>0</v>
      </c>
      <c r="G9" s="248">
        <f>SUM(I$5,G7)</f>
        <v>0.1</v>
      </c>
      <c r="H9" s="248">
        <v>0</v>
      </c>
      <c r="I9" s="248">
        <f>1-SUM(G9:H9)</f>
        <v>0.9</v>
      </c>
      <c r="J9" s="248">
        <f>0.5*H9+G9</f>
        <v>0.1</v>
      </c>
      <c r="K9" s="248">
        <f>H9*$E$7</f>
        <v>0</v>
      </c>
      <c r="M9" s="248">
        <v>0</v>
      </c>
      <c r="N9" s="249">
        <f>M9</f>
        <v>0</v>
      </c>
      <c r="O9" s="249">
        <v>0</v>
      </c>
      <c r="Q9" s="245">
        <f>(1-M9*$D$7)</f>
        <v>1</v>
      </c>
      <c r="R9" s="245">
        <f>M9*$E$7</f>
        <v>0</v>
      </c>
      <c r="T9" s="245">
        <f>(1-M9)*$D$7</f>
        <v>0.5</v>
      </c>
      <c r="U9" s="245">
        <f>(1-M9)*$E$7</f>
        <v>0.8660254037844386</v>
      </c>
    </row>
    <row r="10" spans="1:41">
      <c r="A10" s="245">
        <v>1</v>
      </c>
      <c r="B10" s="245">
        <v>0</v>
      </c>
      <c r="C10" s="245">
        <f>1-SUM(A10:B10)</f>
        <v>0</v>
      </c>
      <c r="D10" s="245">
        <f>A10 + B10*$D$7</f>
        <v>1</v>
      </c>
      <c r="E10" s="245">
        <f>B10*$E$7</f>
        <v>0</v>
      </c>
      <c r="G10" s="250">
        <f>G9</f>
        <v>0.1</v>
      </c>
      <c r="H10" s="250">
        <f>1-G10</f>
        <v>0.9</v>
      </c>
      <c r="I10" s="251">
        <f t="shared" ref="I10:I16" si="0">1-SUM(G10:H10)</f>
        <v>0</v>
      </c>
      <c r="J10" s="251">
        <f t="shared" ref="J10:J16" si="1">0.5*H10+G10</f>
        <v>0.55000000000000004</v>
      </c>
      <c r="K10" s="251">
        <f t="shared" ref="K10:K16" si="2">H10*$E$7</f>
        <v>0.77942286340599476</v>
      </c>
      <c r="M10" s="249">
        <f>M9</f>
        <v>0</v>
      </c>
      <c r="N10" s="245">
        <f>N9-$P$6*$D$7</f>
        <v>-1.2500000000000001E-2</v>
      </c>
      <c r="O10" s="245">
        <f>O9-$P$6*$E$7</f>
        <v>-2.1650635094610966E-2</v>
      </c>
      <c r="Q10" s="245">
        <f>Q9+$P$6</f>
        <v>1.0249999999999999</v>
      </c>
      <c r="R10" s="245">
        <f>R9</f>
        <v>0</v>
      </c>
      <c r="T10" s="245">
        <f>T9-$P$6*$D$7</f>
        <v>0.48749999999999999</v>
      </c>
      <c r="U10" s="245">
        <f>U9+$P$6*$E$7</f>
        <v>0.88767603887904956</v>
      </c>
      <c r="W10" s="249">
        <f>M10</f>
        <v>0</v>
      </c>
      <c r="X10" s="245">
        <f>N10+Y$5</f>
        <v>-3.7500000000000006E-2</v>
      </c>
      <c r="Y10" s="245">
        <f>O10+Y$6</f>
        <v>0</v>
      </c>
      <c r="AA10" s="245">
        <f>Q10+AB$5</f>
        <v>1.0149999999999999</v>
      </c>
      <c r="AB10" s="245">
        <f>R10+AB$6</f>
        <v>4.3301270189221933E-3</v>
      </c>
      <c r="AD10" s="245">
        <f>T10+AE$5</f>
        <v>0.46249999999999997</v>
      </c>
      <c r="AE10" s="245">
        <f>U10+AE$6</f>
        <v>0.8660254037844386</v>
      </c>
      <c r="AG10" s="253" t="str">
        <f>TernaryDiagEos!K6</f>
        <v>x_ethane</v>
      </c>
      <c r="AH10" s="253">
        <v>0.5</v>
      </c>
      <c r="AI10" s="253">
        <f>-AH5*$E$7</f>
        <v>-0.12990381056766578</v>
      </c>
    </row>
    <row r="11" spans="1:41">
      <c r="A11" s="245">
        <v>0</v>
      </c>
      <c r="B11" s="245">
        <v>1</v>
      </c>
      <c r="C11" s="245">
        <f>1-SUM(A11:B11)</f>
        <v>0</v>
      </c>
      <c r="D11" s="245">
        <f>A11 + B11*$D$7</f>
        <v>0.5</v>
      </c>
      <c r="E11" s="245">
        <f>B11*$E$7</f>
        <v>0.8660254037844386</v>
      </c>
      <c r="G11" s="250">
        <f>H9</f>
        <v>0</v>
      </c>
      <c r="H11" s="250">
        <f>H10</f>
        <v>0.9</v>
      </c>
      <c r="I11" s="251">
        <f t="shared" si="0"/>
        <v>9.9999999999999978E-2</v>
      </c>
      <c r="J11" s="251">
        <f t="shared" si="1"/>
        <v>0.45</v>
      </c>
      <c r="K11" s="251">
        <f t="shared" si="2"/>
        <v>0.77942286340599476</v>
      </c>
      <c r="AG11" s="253" t="str">
        <f>TernaryDiagEos!L6</f>
        <v>x_methane</v>
      </c>
      <c r="AK11" s="253">
        <f>0.75+AK5</f>
        <v>0.9</v>
      </c>
      <c r="AL11" s="253">
        <v>0.5</v>
      </c>
    </row>
    <row r="12" spans="1:41">
      <c r="A12" s="245">
        <v>0</v>
      </c>
      <c r="B12" s="245">
        <v>0</v>
      </c>
      <c r="C12" s="245">
        <f>1-SUM(A12:B12)</f>
        <v>1</v>
      </c>
      <c r="D12" s="245">
        <f>A12 + B12*$D$7</f>
        <v>0</v>
      </c>
      <c r="E12" s="245">
        <f>B12*$E$7</f>
        <v>0</v>
      </c>
      <c r="G12" s="250">
        <f>H10</f>
        <v>0.9</v>
      </c>
      <c r="H12" s="250">
        <f>H9</f>
        <v>0</v>
      </c>
      <c r="I12" s="251">
        <f t="shared" si="0"/>
        <v>9.9999999999999978E-2</v>
      </c>
      <c r="J12" s="251">
        <f t="shared" si="1"/>
        <v>0.9</v>
      </c>
      <c r="K12" s="251">
        <f t="shared" si="2"/>
        <v>0</v>
      </c>
      <c r="M12" s="248">
        <f>IF(M9=1,NA(),IFERROR(SUM(M9,$P$5),NA()))</f>
        <v>0.2</v>
      </c>
      <c r="N12" s="249">
        <f>M12</f>
        <v>0.2</v>
      </c>
      <c r="O12" s="249">
        <f>IF(ISNA(M12),NA(),O9)</f>
        <v>0</v>
      </c>
      <c r="Q12" s="245">
        <f>(1-M12*$D$7)</f>
        <v>0.9</v>
      </c>
      <c r="R12" s="245">
        <f>M12*$E$7</f>
        <v>0.17320508075688773</v>
      </c>
      <c r="T12" s="245">
        <f>(1-M12)*$D$7</f>
        <v>0.4</v>
      </c>
      <c r="U12" s="245">
        <f>(1-M12)*$E$7</f>
        <v>0.69282032302755092</v>
      </c>
      <c r="AG12" s="253" t="str">
        <f>TernaryDiagEos!M6</f>
        <v>x_nitrogen</v>
      </c>
      <c r="AN12" s="253">
        <f>0.25 - AN5</f>
        <v>0.1</v>
      </c>
      <c r="AO12" s="253">
        <v>0.5</v>
      </c>
    </row>
    <row r="13" spans="1:41">
      <c r="G13" s="250">
        <f>G12</f>
        <v>0.9</v>
      </c>
      <c r="H13" s="250">
        <f>G9</f>
        <v>0.1</v>
      </c>
      <c r="I13" s="251">
        <f t="shared" si="0"/>
        <v>0</v>
      </c>
      <c r="J13" s="251">
        <f t="shared" si="1"/>
        <v>0.95000000000000007</v>
      </c>
      <c r="K13" s="251">
        <f t="shared" si="2"/>
        <v>8.6602540378443865E-2</v>
      </c>
      <c r="M13" s="249">
        <f>M12</f>
        <v>0.2</v>
      </c>
      <c r="N13" s="245">
        <f>N12-$P$6*$D$7</f>
        <v>0.1875</v>
      </c>
      <c r="O13" s="245">
        <f>O12-$P$6*$E$7</f>
        <v>-2.1650635094610966E-2</v>
      </c>
      <c r="Q13" s="245">
        <f>Q12+$P$6</f>
        <v>0.92500000000000004</v>
      </c>
      <c r="R13" s="245">
        <f>R12</f>
        <v>0.17320508075688773</v>
      </c>
      <c r="T13" s="245">
        <f>T12-$P$6*$D$7</f>
        <v>0.38750000000000001</v>
      </c>
      <c r="U13" s="245">
        <f>U12+$P$6*$E$7</f>
        <v>0.71447095812216188</v>
      </c>
      <c r="W13" s="249">
        <f>M13</f>
        <v>0.2</v>
      </c>
      <c r="X13" s="245">
        <f>N13+Y$5</f>
        <v>0.16250000000000001</v>
      </c>
      <c r="Y13" s="245">
        <f>O13+Y$6</f>
        <v>0</v>
      </c>
      <c r="AA13" s="245">
        <f>Q13+AB$5</f>
        <v>0.91500000000000004</v>
      </c>
      <c r="AB13" s="245">
        <f>R13+AB$6</f>
        <v>0.17753520777580992</v>
      </c>
      <c r="AD13" s="245">
        <f>T13+AE$5</f>
        <v>0.36249999999999999</v>
      </c>
      <c r="AE13" s="245">
        <f>U13+AE$6</f>
        <v>0.69282032302755092</v>
      </c>
    </row>
    <row r="14" spans="1:41">
      <c r="G14" s="250">
        <f>G13</f>
        <v>0.9</v>
      </c>
      <c r="H14" s="250">
        <f>G9</f>
        <v>0.1</v>
      </c>
      <c r="I14" s="251">
        <f t="shared" si="0"/>
        <v>0</v>
      </c>
      <c r="J14" s="251">
        <f t="shared" si="1"/>
        <v>0.95000000000000007</v>
      </c>
      <c r="K14" s="251">
        <f t="shared" si="2"/>
        <v>8.6602540378443865E-2</v>
      </c>
    </row>
    <row r="15" spans="1:41">
      <c r="G15" s="250">
        <f>H9</f>
        <v>0</v>
      </c>
      <c r="H15" s="250">
        <f>G9</f>
        <v>0.1</v>
      </c>
      <c r="I15" s="251">
        <f t="shared" si="0"/>
        <v>0.9</v>
      </c>
      <c r="J15" s="251">
        <f t="shared" si="1"/>
        <v>0.05</v>
      </c>
      <c r="K15" s="251">
        <f t="shared" si="2"/>
        <v>8.6602540378443865E-2</v>
      </c>
      <c r="M15" s="248">
        <f>IF(M12=1,NA(),IFERROR(SUM(M12,$P$5),NA()))</f>
        <v>0.4</v>
      </c>
      <c r="N15" s="249">
        <f>M15</f>
        <v>0.4</v>
      </c>
      <c r="O15" s="249">
        <f>IF(ISNA(M15),NA(),O12)</f>
        <v>0</v>
      </c>
      <c r="Q15" s="245">
        <f>(1-M15*$D$7)</f>
        <v>0.8</v>
      </c>
      <c r="R15" s="245">
        <f>M15*$E$7</f>
        <v>0.34641016151377546</v>
      </c>
      <c r="T15" s="245">
        <f>(1-M15)*$D$7</f>
        <v>0.3</v>
      </c>
      <c r="U15" s="245">
        <f>(1-M15)*$E$7</f>
        <v>0.51961524227066314</v>
      </c>
    </row>
    <row r="16" spans="1:41">
      <c r="G16" s="250">
        <f>G9</f>
        <v>0.1</v>
      </c>
      <c r="H16" s="250">
        <f>H9</f>
        <v>0</v>
      </c>
      <c r="I16" s="251">
        <f t="shared" si="0"/>
        <v>0.9</v>
      </c>
      <c r="J16" s="251">
        <f t="shared" si="1"/>
        <v>0.1</v>
      </c>
      <c r="K16" s="251">
        <f t="shared" si="2"/>
        <v>0</v>
      </c>
      <c r="M16" s="249">
        <f>M15</f>
        <v>0.4</v>
      </c>
      <c r="N16" s="245">
        <f>N15-$P$6*$D$7</f>
        <v>0.38750000000000001</v>
      </c>
      <c r="O16" s="245">
        <f>O15-$P$6*$E$7</f>
        <v>-2.1650635094610966E-2</v>
      </c>
      <c r="Q16" s="245">
        <f>Q15+$P$6</f>
        <v>0.82500000000000007</v>
      </c>
      <c r="R16" s="245">
        <f>R15</f>
        <v>0.34641016151377546</v>
      </c>
      <c r="T16" s="245">
        <f>T15-$P$6*$D$7</f>
        <v>0.28749999999999998</v>
      </c>
      <c r="U16" s="245">
        <f>U15+$P$6*$E$7</f>
        <v>0.5412658773652741</v>
      </c>
      <c r="W16" s="249">
        <f>M16</f>
        <v>0.4</v>
      </c>
      <c r="X16" s="245">
        <f>N16+Y$5</f>
        <v>0.36249999999999999</v>
      </c>
      <c r="Y16" s="245">
        <f>O16+Y$6</f>
        <v>0</v>
      </c>
      <c r="AA16" s="245">
        <f>Q16+AB$5</f>
        <v>0.81500000000000006</v>
      </c>
      <c r="AB16" s="245">
        <f>R16+AB$6</f>
        <v>0.35074028853269767</v>
      </c>
      <c r="AD16" s="245">
        <f>T16+AE$5</f>
        <v>0.26249999999999996</v>
      </c>
      <c r="AE16" s="245">
        <f>U16+AE$6</f>
        <v>0.51961524227066314</v>
      </c>
    </row>
    <row r="17" spans="7:31">
      <c r="G17" s="250"/>
      <c r="H17" s="250"/>
      <c r="I17" s="251"/>
      <c r="J17" s="251"/>
      <c r="K17" s="251"/>
    </row>
    <row r="18" spans="7:31">
      <c r="G18" s="248">
        <f>SUM(I$5,G16)</f>
        <v>0.2</v>
      </c>
      <c r="H18" s="248">
        <v>0</v>
      </c>
      <c r="I18" s="248">
        <f>1-SUM(G18:H18)</f>
        <v>0.8</v>
      </c>
      <c r="J18" s="248">
        <f>0.5*H18+G18</f>
        <v>0.2</v>
      </c>
      <c r="K18" s="248">
        <f t="shared" ref="K18:K25" si="3">H18*$E$7</f>
        <v>0</v>
      </c>
      <c r="M18" s="248">
        <f>IF(M15=1,NA(),IFERROR(SUM(M15,$P$5),NA()))</f>
        <v>0.60000000000000009</v>
      </c>
      <c r="N18" s="249">
        <f>M18</f>
        <v>0.60000000000000009</v>
      </c>
      <c r="O18" s="249">
        <f>IF(ISNA(M18),NA(),O15)</f>
        <v>0</v>
      </c>
      <c r="Q18" s="245">
        <f>(1-M18*$D$7)</f>
        <v>0.7</v>
      </c>
      <c r="R18" s="245">
        <f>M18*$E$7</f>
        <v>0.51961524227066325</v>
      </c>
      <c r="T18" s="245">
        <f>(1-M18)*$D$7</f>
        <v>0.19999999999999996</v>
      </c>
      <c r="U18" s="245">
        <f>(1-M18)*$E$7</f>
        <v>0.34641016151377535</v>
      </c>
    </row>
    <row r="19" spans="7:31">
      <c r="G19" s="250">
        <f>G18</f>
        <v>0.2</v>
      </c>
      <c r="H19" s="250">
        <f>1-G19</f>
        <v>0.8</v>
      </c>
      <c r="I19" s="251">
        <f t="shared" ref="I19:I25" si="4">1-SUM(G19:H19)</f>
        <v>0</v>
      </c>
      <c r="J19" s="251">
        <f t="shared" ref="J19:J25" si="5">0.5*H19+G19</f>
        <v>0.60000000000000009</v>
      </c>
      <c r="K19" s="251">
        <f t="shared" si="3"/>
        <v>0.69282032302755092</v>
      </c>
      <c r="M19" s="249">
        <f>M18</f>
        <v>0.60000000000000009</v>
      </c>
      <c r="N19" s="245">
        <f>N18-$P$6*$D$7</f>
        <v>0.58750000000000013</v>
      </c>
      <c r="O19" s="245">
        <f>O18-$P$6*$E$7</f>
        <v>-2.1650635094610966E-2</v>
      </c>
      <c r="Q19" s="245">
        <f>Q18+$P$6</f>
        <v>0.72499999999999998</v>
      </c>
      <c r="R19" s="245">
        <f>R18</f>
        <v>0.51961524227066325</v>
      </c>
      <c r="T19" s="245">
        <f>T18-$P$6*$D$7</f>
        <v>0.18749999999999994</v>
      </c>
      <c r="U19" s="245">
        <f>U18+$P$6*$E$7</f>
        <v>0.36806079660838631</v>
      </c>
      <c r="W19" s="249">
        <f>M19</f>
        <v>0.60000000000000009</v>
      </c>
      <c r="X19" s="245">
        <f>N19+Y$5</f>
        <v>0.56250000000000011</v>
      </c>
      <c r="Y19" s="245">
        <f>O19+Y$6</f>
        <v>0</v>
      </c>
      <c r="AA19" s="245">
        <f>Q19+AB$5</f>
        <v>0.71499999999999997</v>
      </c>
      <c r="AB19" s="245">
        <f>R19+AB$6</f>
        <v>0.52394536928958546</v>
      </c>
      <c r="AD19" s="245">
        <f>T19+AE$5</f>
        <v>0.16249999999999995</v>
      </c>
      <c r="AE19" s="245">
        <f>U19+AE$6</f>
        <v>0.34641016151377535</v>
      </c>
    </row>
    <row r="20" spans="7:31">
      <c r="G20" s="250">
        <f>H18</f>
        <v>0</v>
      </c>
      <c r="H20" s="250">
        <f>H19</f>
        <v>0.8</v>
      </c>
      <c r="I20" s="251">
        <f t="shared" si="4"/>
        <v>0.19999999999999996</v>
      </c>
      <c r="J20" s="251">
        <f t="shared" si="5"/>
        <v>0.4</v>
      </c>
      <c r="K20" s="251">
        <f t="shared" si="3"/>
        <v>0.69282032302755092</v>
      </c>
    </row>
    <row r="21" spans="7:31">
      <c r="G21" s="250">
        <f>H19</f>
        <v>0.8</v>
      </c>
      <c r="H21" s="250">
        <f>H18</f>
        <v>0</v>
      </c>
      <c r="I21" s="251">
        <f t="shared" si="4"/>
        <v>0.19999999999999996</v>
      </c>
      <c r="J21" s="251">
        <f t="shared" si="5"/>
        <v>0.8</v>
      </c>
      <c r="K21" s="251">
        <f t="shared" si="3"/>
        <v>0</v>
      </c>
      <c r="M21" s="248">
        <f>IF(M18=1,NA(),IFERROR(SUM(M18,$P$5),NA()))</f>
        <v>0.8</v>
      </c>
      <c r="N21" s="249">
        <f>M21</f>
        <v>0.8</v>
      </c>
      <c r="O21" s="249">
        <f>IF(ISNA(M21),NA(),O18)</f>
        <v>0</v>
      </c>
      <c r="Q21" s="245">
        <f>(1-M21*$D$7)</f>
        <v>0.6</v>
      </c>
      <c r="R21" s="245">
        <f>M21*$E$7</f>
        <v>0.69282032302755092</v>
      </c>
      <c r="T21" s="245">
        <f>(1-M21)*$D$7</f>
        <v>9.9999999999999978E-2</v>
      </c>
      <c r="U21" s="245">
        <f>(1-M21)*$E$7</f>
        <v>0.17320508075688767</v>
      </c>
    </row>
    <row r="22" spans="7:31">
      <c r="G22" s="250">
        <f>G21</f>
        <v>0.8</v>
      </c>
      <c r="H22" s="250">
        <f>G18</f>
        <v>0.2</v>
      </c>
      <c r="I22" s="251">
        <f t="shared" si="4"/>
        <v>0</v>
      </c>
      <c r="J22" s="251">
        <f t="shared" si="5"/>
        <v>0.9</v>
      </c>
      <c r="K22" s="251">
        <f t="shared" si="3"/>
        <v>0.17320508075688773</v>
      </c>
      <c r="M22" s="249">
        <f>M21</f>
        <v>0.8</v>
      </c>
      <c r="N22" s="245">
        <f>N21-$P$6*$D$7</f>
        <v>0.78750000000000009</v>
      </c>
      <c r="O22" s="245">
        <f>O21-$P$6*$E$7</f>
        <v>-2.1650635094610966E-2</v>
      </c>
      <c r="Q22" s="245">
        <f>Q21+$P$6</f>
        <v>0.625</v>
      </c>
      <c r="R22" s="245">
        <f>R21</f>
        <v>0.69282032302755092</v>
      </c>
      <c r="T22" s="245">
        <f>T21-$P$6*$D$7</f>
        <v>8.7499999999999981E-2</v>
      </c>
      <c r="U22" s="245">
        <f>U21+$P$6*$E$7</f>
        <v>0.19485571585149863</v>
      </c>
      <c r="W22" s="249">
        <f>M22</f>
        <v>0.8</v>
      </c>
      <c r="X22" s="245">
        <f>N22+Y$5</f>
        <v>0.76250000000000007</v>
      </c>
      <c r="Y22" s="245">
        <f>O22+Y$6</f>
        <v>0</v>
      </c>
      <c r="AA22" s="245">
        <f>Q22+AB$5</f>
        <v>0.61499999999999999</v>
      </c>
      <c r="AB22" s="245">
        <f>R22+AB$6</f>
        <v>0.69715045004647314</v>
      </c>
      <c r="AD22" s="245">
        <f>T22+AE$5</f>
        <v>6.2499999999999979E-2</v>
      </c>
      <c r="AE22" s="245">
        <f>U22+AE$6</f>
        <v>0.17320508075688767</v>
      </c>
    </row>
    <row r="23" spans="7:31">
      <c r="G23" s="250">
        <f>G22</f>
        <v>0.8</v>
      </c>
      <c r="H23" s="250">
        <f>G18</f>
        <v>0.2</v>
      </c>
      <c r="I23" s="251">
        <f t="shared" si="4"/>
        <v>0</v>
      </c>
      <c r="J23" s="251">
        <f t="shared" si="5"/>
        <v>0.9</v>
      </c>
      <c r="K23" s="251">
        <f t="shared" si="3"/>
        <v>0.17320508075688773</v>
      </c>
    </row>
    <row r="24" spans="7:31">
      <c r="G24" s="250">
        <f>H18</f>
        <v>0</v>
      </c>
      <c r="H24" s="250">
        <f>G18</f>
        <v>0.2</v>
      </c>
      <c r="I24" s="251">
        <f t="shared" si="4"/>
        <v>0.8</v>
      </c>
      <c r="J24" s="251">
        <f t="shared" si="5"/>
        <v>0.1</v>
      </c>
      <c r="K24" s="251">
        <f t="shared" si="3"/>
        <v>0.17320508075688773</v>
      </c>
      <c r="M24" s="248">
        <f>IF(M21=1,NA(),IFERROR(SUM(M21,$P$5),NA()))</f>
        <v>1</v>
      </c>
      <c r="N24" s="249">
        <f>M24</f>
        <v>1</v>
      </c>
      <c r="O24" s="249">
        <f>IF(ISNA(M24),NA(),O21)</f>
        <v>0</v>
      </c>
      <c r="Q24" s="245">
        <f>(1-M24*$D$7)</f>
        <v>0.5</v>
      </c>
      <c r="R24" s="245">
        <f>M24*$E$7</f>
        <v>0.8660254037844386</v>
      </c>
      <c r="T24" s="245">
        <f>(1-M24)*$D$7</f>
        <v>0</v>
      </c>
      <c r="U24" s="245">
        <f>(1-M24)*$E$7</f>
        <v>0</v>
      </c>
    </row>
    <row r="25" spans="7:31">
      <c r="G25" s="250">
        <f>G18</f>
        <v>0.2</v>
      </c>
      <c r="H25" s="250">
        <f>H18</f>
        <v>0</v>
      </c>
      <c r="I25" s="251">
        <f t="shared" si="4"/>
        <v>0.8</v>
      </c>
      <c r="J25" s="251">
        <f t="shared" si="5"/>
        <v>0.2</v>
      </c>
      <c r="K25" s="251">
        <f t="shared" si="3"/>
        <v>0</v>
      </c>
      <c r="M25" s="249">
        <f>M24</f>
        <v>1</v>
      </c>
      <c r="N25" s="245">
        <f>N24-$P$6*$D$7</f>
        <v>0.98750000000000004</v>
      </c>
      <c r="O25" s="245">
        <f>O24-$P$6*$E$7</f>
        <v>-2.1650635094610966E-2</v>
      </c>
      <c r="Q25" s="245">
        <f>Q24+$P$6</f>
        <v>0.52500000000000002</v>
      </c>
      <c r="R25" s="245">
        <f>R24</f>
        <v>0.8660254037844386</v>
      </c>
      <c r="T25" s="245">
        <f>T24-$P$6*$D$7</f>
        <v>-1.2500000000000001E-2</v>
      </c>
      <c r="U25" s="245">
        <f>U24+$P$6*$E$7</f>
        <v>2.1650635094610966E-2</v>
      </c>
      <c r="W25" s="249">
        <f>M25</f>
        <v>1</v>
      </c>
      <c r="X25" s="245">
        <f>N25+Y$5</f>
        <v>0.96250000000000002</v>
      </c>
      <c r="Y25" s="245">
        <f>O25+Y$6</f>
        <v>0</v>
      </c>
      <c r="AA25" s="245">
        <f>Q25+AB$5</f>
        <v>0.51500000000000001</v>
      </c>
      <c r="AB25" s="245">
        <f>R25+AB$6</f>
        <v>0.87035553080336081</v>
      </c>
      <c r="AD25" s="245">
        <f>T25+AE$5</f>
        <v>-3.7500000000000006E-2</v>
      </c>
      <c r="AE25" s="245">
        <f>U25+AE$6</f>
        <v>0</v>
      </c>
    </row>
    <row r="26" spans="7:31">
      <c r="G26" s="250"/>
      <c r="H26" s="250"/>
      <c r="I26" s="251"/>
      <c r="J26" s="251"/>
      <c r="K26" s="251"/>
    </row>
    <row r="27" spans="7:31">
      <c r="G27" s="248">
        <f>SUM(I$5,G25)</f>
        <v>0.30000000000000004</v>
      </c>
      <c r="H27" s="248">
        <v>0</v>
      </c>
      <c r="I27" s="248">
        <f>1-SUM(G27:H27)</f>
        <v>0.7</v>
      </c>
      <c r="J27" s="248">
        <f>0.5*H27+G27</f>
        <v>0.30000000000000004</v>
      </c>
      <c r="K27" s="248">
        <f t="shared" ref="K27:K34" si="6">H27*$E$7</f>
        <v>0</v>
      </c>
      <c r="M27" s="248" t="e">
        <f>IF(M24=1,NA(),IFERROR(SUM(M24,$P$5),NA()))</f>
        <v>#N/A</v>
      </c>
      <c r="N27" s="249" t="e">
        <f>M27</f>
        <v>#N/A</v>
      </c>
      <c r="O27" s="249" t="e">
        <f>IF(ISNA(M27),NA(),O24)</f>
        <v>#N/A</v>
      </c>
      <c r="Q27" s="245" t="e">
        <f>(1-M27*$D$7)</f>
        <v>#N/A</v>
      </c>
      <c r="R27" s="245" t="e">
        <f>M27*$E$7</f>
        <v>#N/A</v>
      </c>
      <c r="T27" s="245" t="e">
        <f>(1-M27)*$D$7</f>
        <v>#N/A</v>
      </c>
      <c r="U27" s="245" t="e">
        <f>(1-M27)*$E$7</f>
        <v>#N/A</v>
      </c>
    </row>
    <row r="28" spans="7:31">
      <c r="G28" s="250">
        <f>G27</f>
        <v>0.30000000000000004</v>
      </c>
      <c r="H28" s="250">
        <f>1-G28</f>
        <v>0.7</v>
      </c>
      <c r="I28" s="251">
        <f t="shared" ref="I28:I34" si="7">1-SUM(G28:H28)</f>
        <v>0</v>
      </c>
      <c r="J28" s="251">
        <f t="shared" ref="J28:J34" si="8">0.5*H28+G28</f>
        <v>0.65</v>
      </c>
      <c r="K28" s="251">
        <f t="shared" si="6"/>
        <v>0.60621778264910697</v>
      </c>
      <c r="M28" s="249" t="e">
        <f>M27</f>
        <v>#N/A</v>
      </c>
      <c r="N28" s="245" t="e">
        <f>N27-$P$6*$D$7</f>
        <v>#N/A</v>
      </c>
      <c r="O28" s="245" t="e">
        <f>O27-$P$6*$E$7</f>
        <v>#N/A</v>
      </c>
      <c r="Q28" s="245" t="e">
        <f>Q27+$P$6</f>
        <v>#N/A</v>
      </c>
      <c r="R28" s="245" t="e">
        <f>R27</f>
        <v>#N/A</v>
      </c>
      <c r="T28" s="245" t="e">
        <f>T27-$P$6*$D$7</f>
        <v>#N/A</v>
      </c>
      <c r="U28" s="245" t="e">
        <f>U27+$P$6*$E$7</f>
        <v>#N/A</v>
      </c>
      <c r="W28" s="249" t="e">
        <f>M28</f>
        <v>#N/A</v>
      </c>
      <c r="X28" s="245" t="e">
        <f>N28+Y$5</f>
        <v>#N/A</v>
      </c>
      <c r="Y28" s="245" t="e">
        <f>O28+Y$6</f>
        <v>#N/A</v>
      </c>
      <c r="AA28" s="245" t="e">
        <f>Q28+AB$5</f>
        <v>#N/A</v>
      </c>
      <c r="AB28" s="245" t="e">
        <f>R28+AB$6</f>
        <v>#N/A</v>
      </c>
      <c r="AD28" s="245" t="e">
        <f>T28+AE$5</f>
        <v>#N/A</v>
      </c>
      <c r="AE28" s="245" t="e">
        <f>U28+AE$6</f>
        <v>#N/A</v>
      </c>
    </row>
    <row r="29" spans="7:31">
      <c r="G29" s="250">
        <f>H27</f>
        <v>0</v>
      </c>
      <c r="H29" s="250">
        <f>H28</f>
        <v>0.7</v>
      </c>
      <c r="I29" s="251">
        <f t="shared" si="7"/>
        <v>0.30000000000000004</v>
      </c>
      <c r="J29" s="251">
        <f t="shared" si="8"/>
        <v>0.35</v>
      </c>
      <c r="K29" s="251">
        <f t="shared" si="6"/>
        <v>0.60621778264910697</v>
      </c>
    </row>
    <row r="30" spans="7:31">
      <c r="G30" s="250">
        <f>H28</f>
        <v>0.7</v>
      </c>
      <c r="H30" s="250">
        <f>H27</f>
        <v>0</v>
      </c>
      <c r="I30" s="251">
        <f t="shared" si="7"/>
        <v>0.30000000000000004</v>
      </c>
      <c r="J30" s="251">
        <f t="shared" si="8"/>
        <v>0.7</v>
      </c>
      <c r="K30" s="251">
        <f t="shared" si="6"/>
        <v>0</v>
      </c>
      <c r="M30" s="248" t="e">
        <f>IF(M27=1,NA(),IFERROR(SUM(M27,$P$5),NA()))</f>
        <v>#N/A</v>
      </c>
      <c r="N30" s="249" t="e">
        <f>M30</f>
        <v>#N/A</v>
      </c>
      <c r="O30" s="249" t="e">
        <f>IF(ISNA(M30),NA(),O27)</f>
        <v>#N/A</v>
      </c>
      <c r="Q30" s="245" t="e">
        <f>(1-M30*$D$7)</f>
        <v>#N/A</v>
      </c>
      <c r="R30" s="245" t="e">
        <f>M30*$E$7</f>
        <v>#N/A</v>
      </c>
      <c r="T30" s="245" t="e">
        <f>(1-M30)*$D$7</f>
        <v>#N/A</v>
      </c>
      <c r="U30" s="245" t="e">
        <f>(1-M30)*$E$7</f>
        <v>#N/A</v>
      </c>
    </row>
    <row r="31" spans="7:31">
      <c r="G31" s="250">
        <f>G30</f>
        <v>0.7</v>
      </c>
      <c r="H31" s="250">
        <f>G27</f>
        <v>0.30000000000000004</v>
      </c>
      <c r="I31" s="251">
        <f t="shared" si="7"/>
        <v>0</v>
      </c>
      <c r="J31" s="251">
        <f t="shared" si="8"/>
        <v>0.85</v>
      </c>
      <c r="K31" s="251">
        <f t="shared" si="6"/>
        <v>0.25980762113533162</v>
      </c>
      <c r="M31" s="249" t="e">
        <f>M30</f>
        <v>#N/A</v>
      </c>
      <c r="N31" s="245" t="e">
        <f>N30-$P$6*$D$7</f>
        <v>#N/A</v>
      </c>
      <c r="O31" s="245" t="e">
        <f>O30-$P$6*$E$7</f>
        <v>#N/A</v>
      </c>
      <c r="Q31" s="245" t="e">
        <f>Q30+$P$6</f>
        <v>#N/A</v>
      </c>
      <c r="R31" s="245" t="e">
        <f>R30</f>
        <v>#N/A</v>
      </c>
      <c r="T31" s="245" t="e">
        <f>T30-$P$6*$D$7</f>
        <v>#N/A</v>
      </c>
      <c r="U31" s="245" t="e">
        <f>U30+$P$6*$E$7</f>
        <v>#N/A</v>
      </c>
      <c r="W31" s="249" t="e">
        <f>M31</f>
        <v>#N/A</v>
      </c>
      <c r="X31" s="245" t="e">
        <f>N31+Y$5</f>
        <v>#N/A</v>
      </c>
      <c r="Y31" s="245" t="e">
        <f>O31+Y$6</f>
        <v>#N/A</v>
      </c>
      <c r="AA31" s="245" t="e">
        <f>Q31+AB$5</f>
        <v>#N/A</v>
      </c>
      <c r="AB31" s="245" t="e">
        <f>R31+AB$6</f>
        <v>#N/A</v>
      </c>
      <c r="AD31" s="245" t="e">
        <f>T31+AE$5</f>
        <v>#N/A</v>
      </c>
      <c r="AE31" s="245" t="e">
        <f>U31+AE$6</f>
        <v>#N/A</v>
      </c>
    </row>
    <row r="32" spans="7:31">
      <c r="G32" s="250">
        <f>G31</f>
        <v>0.7</v>
      </c>
      <c r="H32" s="250">
        <f>G27</f>
        <v>0.30000000000000004</v>
      </c>
      <c r="I32" s="251">
        <f t="shared" si="7"/>
        <v>0</v>
      </c>
      <c r="J32" s="251">
        <f t="shared" si="8"/>
        <v>0.85</v>
      </c>
      <c r="K32" s="251">
        <f t="shared" si="6"/>
        <v>0.25980762113533162</v>
      </c>
    </row>
    <row r="33" spans="7:31">
      <c r="G33" s="250">
        <f>H27</f>
        <v>0</v>
      </c>
      <c r="H33" s="250">
        <f>G27</f>
        <v>0.30000000000000004</v>
      </c>
      <c r="I33" s="251">
        <f t="shared" si="7"/>
        <v>0.7</v>
      </c>
      <c r="J33" s="251">
        <f t="shared" si="8"/>
        <v>0.15000000000000002</v>
      </c>
      <c r="K33" s="251">
        <f t="shared" si="6"/>
        <v>0.25980762113533162</v>
      </c>
      <c r="M33" s="248" t="e">
        <f>IF(M30=1,NA(),IFERROR(SUM(M30,$P$5),NA()))</f>
        <v>#N/A</v>
      </c>
      <c r="N33" s="249" t="e">
        <f>M33</f>
        <v>#N/A</v>
      </c>
      <c r="O33" s="249" t="e">
        <f>IF(ISNA(M33),NA(),O30)</f>
        <v>#N/A</v>
      </c>
      <c r="Q33" s="245" t="e">
        <f>(1-M33*$D$7)</f>
        <v>#N/A</v>
      </c>
      <c r="R33" s="245" t="e">
        <f>M33*$E$7</f>
        <v>#N/A</v>
      </c>
      <c r="T33" s="245" t="e">
        <f>(1-M33)*$D$7</f>
        <v>#N/A</v>
      </c>
      <c r="U33" s="245" t="e">
        <f>(1-M33)*$E$7</f>
        <v>#N/A</v>
      </c>
    </row>
    <row r="34" spans="7:31">
      <c r="G34" s="250">
        <f>G27</f>
        <v>0.30000000000000004</v>
      </c>
      <c r="H34" s="250">
        <f>H27</f>
        <v>0</v>
      </c>
      <c r="I34" s="251">
        <f t="shared" si="7"/>
        <v>0.7</v>
      </c>
      <c r="J34" s="251">
        <f t="shared" si="8"/>
        <v>0.30000000000000004</v>
      </c>
      <c r="K34" s="251">
        <f t="shared" si="6"/>
        <v>0</v>
      </c>
      <c r="M34" s="249" t="e">
        <f>M33</f>
        <v>#N/A</v>
      </c>
      <c r="N34" s="245" t="e">
        <f>N33-$P$6*$D$7</f>
        <v>#N/A</v>
      </c>
      <c r="O34" s="245" t="e">
        <f>O33-$P$6*$E$7</f>
        <v>#N/A</v>
      </c>
      <c r="Q34" s="245" t="e">
        <f>Q33+$P$6</f>
        <v>#N/A</v>
      </c>
      <c r="R34" s="245" t="e">
        <f>R33</f>
        <v>#N/A</v>
      </c>
      <c r="T34" s="245" t="e">
        <f>T33-$P$6*$D$7</f>
        <v>#N/A</v>
      </c>
      <c r="U34" s="245" t="e">
        <f>U33+$P$6*$E$7</f>
        <v>#N/A</v>
      </c>
      <c r="W34" s="249" t="e">
        <f>M34</f>
        <v>#N/A</v>
      </c>
      <c r="X34" s="245" t="e">
        <f>N34+Y$5</f>
        <v>#N/A</v>
      </c>
      <c r="Y34" s="245" t="e">
        <f>O34+Y$6</f>
        <v>#N/A</v>
      </c>
      <c r="AA34" s="245" t="e">
        <f>Q34+AB$5</f>
        <v>#N/A</v>
      </c>
      <c r="AB34" s="245" t="e">
        <f>R34+AB$6</f>
        <v>#N/A</v>
      </c>
      <c r="AD34" s="245" t="e">
        <f>T34+AE$5</f>
        <v>#N/A</v>
      </c>
      <c r="AE34" s="245" t="e">
        <f>U34+AE$6</f>
        <v>#N/A</v>
      </c>
    </row>
    <row r="35" spans="7:31">
      <c r="G35" s="250"/>
      <c r="H35" s="250"/>
      <c r="I35" s="251"/>
      <c r="J35" s="251"/>
      <c r="K35" s="251"/>
    </row>
    <row r="36" spans="7:31">
      <c r="G36" s="248">
        <f>SUM(I$5,G34)</f>
        <v>0.4</v>
      </c>
      <c r="H36" s="248">
        <v>0</v>
      </c>
      <c r="I36" s="248">
        <f>1-SUM(G36:H36)</f>
        <v>0.6</v>
      </c>
      <c r="J36" s="248">
        <f>0.5*H36+G36</f>
        <v>0.4</v>
      </c>
      <c r="K36" s="248">
        <f t="shared" ref="K36:K43" si="9">H36*$E$7</f>
        <v>0</v>
      </c>
      <c r="M36" s="248" t="e">
        <f>IF(M33=1,NA(),IFERROR(SUM(M33,$P$5),NA()))</f>
        <v>#N/A</v>
      </c>
      <c r="N36" s="249" t="e">
        <f>M36</f>
        <v>#N/A</v>
      </c>
      <c r="O36" s="249" t="e">
        <f>IF(ISNA(M36),NA(),O33)</f>
        <v>#N/A</v>
      </c>
      <c r="Q36" s="245" t="e">
        <f>(1-M36*$D$7)</f>
        <v>#N/A</v>
      </c>
      <c r="R36" s="245" t="e">
        <f>M36*$E$7</f>
        <v>#N/A</v>
      </c>
      <c r="T36" s="245" t="e">
        <f>(1-M36)*$D$7</f>
        <v>#N/A</v>
      </c>
      <c r="U36" s="245" t="e">
        <f>(1-M36)*$E$7</f>
        <v>#N/A</v>
      </c>
    </row>
    <row r="37" spans="7:31">
      <c r="G37" s="250">
        <f>G36</f>
        <v>0.4</v>
      </c>
      <c r="H37" s="250">
        <f>1-G37</f>
        <v>0.6</v>
      </c>
      <c r="I37" s="251">
        <f t="shared" ref="I37:I43" si="10">1-SUM(G37:H37)</f>
        <v>0</v>
      </c>
      <c r="J37" s="251">
        <f t="shared" ref="J37:J43" si="11">0.5*H37+G37</f>
        <v>0.7</v>
      </c>
      <c r="K37" s="251">
        <f t="shared" si="9"/>
        <v>0.51961524227066314</v>
      </c>
      <c r="M37" s="249" t="e">
        <f>M36</f>
        <v>#N/A</v>
      </c>
      <c r="N37" s="245" t="e">
        <f>N36-$P$6*$D$7</f>
        <v>#N/A</v>
      </c>
      <c r="O37" s="245" t="e">
        <f>O36-$P$6*$E$7</f>
        <v>#N/A</v>
      </c>
      <c r="Q37" s="245" t="e">
        <f>Q36+$P$6</f>
        <v>#N/A</v>
      </c>
      <c r="R37" s="245" t="e">
        <f>R36</f>
        <v>#N/A</v>
      </c>
      <c r="T37" s="245" t="e">
        <f>T36-$P$6*$D$7</f>
        <v>#N/A</v>
      </c>
      <c r="U37" s="245" t="e">
        <f>U36+$P$6*$E$7</f>
        <v>#N/A</v>
      </c>
      <c r="W37" s="249" t="e">
        <f>M37</f>
        <v>#N/A</v>
      </c>
      <c r="X37" s="245" t="e">
        <f>N37+Y$5</f>
        <v>#N/A</v>
      </c>
      <c r="Y37" s="245" t="e">
        <f>O37+Y$6</f>
        <v>#N/A</v>
      </c>
      <c r="AA37" s="245" t="e">
        <f>Q37+AB$5</f>
        <v>#N/A</v>
      </c>
      <c r="AB37" s="245" t="e">
        <f>R37+AB$6</f>
        <v>#N/A</v>
      </c>
      <c r="AD37" s="245" t="e">
        <f>T37+AE$5</f>
        <v>#N/A</v>
      </c>
      <c r="AE37" s="245" t="e">
        <f>U37+AE$6</f>
        <v>#N/A</v>
      </c>
    </row>
    <row r="38" spans="7:31">
      <c r="G38" s="250">
        <f>H36</f>
        <v>0</v>
      </c>
      <c r="H38" s="250">
        <f>H37</f>
        <v>0.6</v>
      </c>
      <c r="I38" s="251">
        <f t="shared" si="10"/>
        <v>0.4</v>
      </c>
      <c r="J38" s="251">
        <f t="shared" si="11"/>
        <v>0.3</v>
      </c>
      <c r="K38" s="251">
        <f t="shared" si="9"/>
        <v>0.51961524227066314</v>
      </c>
    </row>
    <row r="39" spans="7:31">
      <c r="G39" s="250">
        <f>H37</f>
        <v>0.6</v>
      </c>
      <c r="H39" s="250">
        <f>H36</f>
        <v>0</v>
      </c>
      <c r="I39" s="251">
        <f t="shared" si="10"/>
        <v>0.4</v>
      </c>
      <c r="J39" s="251">
        <f t="shared" si="11"/>
        <v>0.6</v>
      </c>
      <c r="K39" s="251">
        <f t="shared" si="9"/>
        <v>0</v>
      </c>
      <c r="M39" s="248" t="e">
        <f>IF(M36=1,NA(),IFERROR(SUM(M36,$P$5),NA()))</f>
        <v>#N/A</v>
      </c>
      <c r="N39" s="249" t="e">
        <f>M39</f>
        <v>#N/A</v>
      </c>
      <c r="O39" s="249" t="e">
        <f>IF(ISNA(M39),NA(),O36)</f>
        <v>#N/A</v>
      </c>
      <c r="Q39" s="245" t="e">
        <f>(1-M39*$D$7)</f>
        <v>#N/A</v>
      </c>
      <c r="R39" s="245" t="e">
        <f>M39*$E$7</f>
        <v>#N/A</v>
      </c>
      <c r="T39" s="245" t="e">
        <f>(1-M39)*$D$7</f>
        <v>#N/A</v>
      </c>
      <c r="U39" s="245" t="e">
        <f>(1-M39)*$E$7</f>
        <v>#N/A</v>
      </c>
    </row>
    <row r="40" spans="7:31">
      <c r="G40" s="250">
        <f>G39</f>
        <v>0.6</v>
      </c>
      <c r="H40" s="250">
        <f>G36</f>
        <v>0.4</v>
      </c>
      <c r="I40" s="251">
        <f t="shared" si="10"/>
        <v>0</v>
      </c>
      <c r="J40" s="251">
        <f t="shared" si="11"/>
        <v>0.8</v>
      </c>
      <c r="K40" s="251">
        <f t="shared" si="9"/>
        <v>0.34641016151377546</v>
      </c>
      <c r="M40" s="249" t="e">
        <f>M39</f>
        <v>#N/A</v>
      </c>
      <c r="N40" s="245" t="e">
        <f>N39-$P$6*$D$7</f>
        <v>#N/A</v>
      </c>
      <c r="O40" s="245" t="e">
        <f>O39-$P$6*$E$7</f>
        <v>#N/A</v>
      </c>
      <c r="Q40" s="245" t="e">
        <f>Q39+$P$6</f>
        <v>#N/A</v>
      </c>
      <c r="R40" s="245" t="e">
        <f>R39</f>
        <v>#N/A</v>
      </c>
      <c r="T40" s="245" t="e">
        <f>T39-$P$6*$D$7</f>
        <v>#N/A</v>
      </c>
      <c r="U40" s="245" t="e">
        <f>U39+$P$6*$E$7</f>
        <v>#N/A</v>
      </c>
      <c r="W40" s="249" t="e">
        <f>M40</f>
        <v>#N/A</v>
      </c>
      <c r="X40" s="245" t="e">
        <f>N40+Y$5</f>
        <v>#N/A</v>
      </c>
      <c r="Y40" s="245" t="e">
        <f>O40+Y$6</f>
        <v>#N/A</v>
      </c>
      <c r="AA40" s="245" t="e">
        <f>Q40+AB$5</f>
        <v>#N/A</v>
      </c>
      <c r="AB40" s="245" t="e">
        <f>R40+AB$6</f>
        <v>#N/A</v>
      </c>
      <c r="AD40" s="245" t="e">
        <f>T40+AE$5</f>
        <v>#N/A</v>
      </c>
      <c r="AE40" s="245" t="e">
        <f>U40+AE$6</f>
        <v>#N/A</v>
      </c>
    </row>
    <row r="41" spans="7:31">
      <c r="G41" s="250">
        <f>G40</f>
        <v>0.6</v>
      </c>
      <c r="H41" s="250">
        <f>G36</f>
        <v>0.4</v>
      </c>
      <c r="I41" s="251">
        <f t="shared" si="10"/>
        <v>0</v>
      </c>
      <c r="J41" s="251">
        <f t="shared" si="11"/>
        <v>0.8</v>
      </c>
      <c r="K41" s="251">
        <f t="shared" si="9"/>
        <v>0.34641016151377546</v>
      </c>
    </row>
    <row r="42" spans="7:31">
      <c r="G42" s="250">
        <f>H36</f>
        <v>0</v>
      </c>
      <c r="H42" s="250">
        <f>G36</f>
        <v>0.4</v>
      </c>
      <c r="I42" s="251">
        <f t="shared" si="10"/>
        <v>0.6</v>
      </c>
      <c r="J42" s="251">
        <f t="shared" si="11"/>
        <v>0.2</v>
      </c>
      <c r="K42" s="251">
        <f t="shared" si="9"/>
        <v>0.34641016151377546</v>
      </c>
    </row>
    <row r="43" spans="7:31">
      <c r="G43" s="250">
        <f>G36</f>
        <v>0.4</v>
      </c>
      <c r="H43" s="250">
        <f>H36</f>
        <v>0</v>
      </c>
      <c r="I43" s="251">
        <f t="shared" si="10"/>
        <v>0.6</v>
      </c>
      <c r="J43" s="251">
        <f t="shared" si="11"/>
        <v>0.4</v>
      </c>
      <c r="K43" s="251">
        <f t="shared" si="9"/>
        <v>0</v>
      </c>
    </row>
    <row r="44" spans="7:31">
      <c r="G44" s="250"/>
      <c r="H44" s="250"/>
      <c r="I44" s="251"/>
      <c r="J44" s="251"/>
      <c r="K44" s="251"/>
    </row>
    <row r="45" spans="7:31">
      <c r="G45" s="248">
        <f>SUM(I$5,G43)</f>
        <v>0.5</v>
      </c>
      <c r="H45" s="248">
        <v>0</v>
      </c>
      <c r="I45" s="248">
        <f>1-SUM(G45:H45)</f>
        <v>0.5</v>
      </c>
      <c r="J45" s="248">
        <f>0.5*H45+G45</f>
        <v>0.5</v>
      </c>
      <c r="K45" s="248">
        <f t="shared" ref="K45:K52" si="12">H45*$E$7</f>
        <v>0</v>
      </c>
    </row>
    <row r="46" spans="7:31">
      <c r="G46" s="250">
        <f>G45</f>
        <v>0.5</v>
      </c>
      <c r="H46" s="250">
        <f>1-G46</f>
        <v>0.5</v>
      </c>
      <c r="I46" s="251">
        <f t="shared" ref="I46:I52" si="13">1-SUM(G46:H46)</f>
        <v>0</v>
      </c>
      <c r="J46" s="251">
        <f t="shared" ref="J46:J52" si="14">0.5*H46+G46</f>
        <v>0.75</v>
      </c>
      <c r="K46" s="251">
        <f t="shared" si="12"/>
        <v>0.4330127018922193</v>
      </c>
    </row>
    <row r="47" spans="7:31">
      <c r="G47" s="250">
        <f>H45</f>
        <v>0</v>
      </c>
      <c r="H47" s="250">
        <f>H46</f>
        <v>0.5</v>
      </c>
      <c r="I47" s="251">
        <f t="shared" si="13"/>
        <v>0.5</v>
      </c>
      <c r="J47" s="251">
        <f t="shared" si="14"/>
        <v>0.25</v>
      </c>
      <c r="K47" s="251">
        <f t="shared" si="12"/>
        <v>0.4330127018922193</v>
      </c>
    </row>
    <row r="48" spans="7:31">
      <c r="G48" s="250">
        <f>H46</f>
        <v>0.5</v>
      </c>
      <c r="H48" s="250">
        <f>H45</f>
        <v>0</v>
      </c>
      <c r="I48" s="251">
        <f t="shared" si="13"/>
        <v>0.5</v>
      </c>
      <c r="J48" s="251">
        <f t="shared" si="14"/>
        <v>0.5</v>
      </c>
      <c r="K48" s="251">
        <f t="shared" si="12"/>
        <v>0</v>
      </c>
    </row>
    <row r="49" spans="7:11">
      <c r="G49" s="250">
        <f>G48</f>
        <v>0.5</v>
      </c>
      <c r="H49" s="250">
        <f>G45</f>
        <v>0.5</v>
      </c>
      <c r="I49" s="251">
        <f t="shared" si="13"/>
        <v>0</v>
      </c>
      <c r="J49" s="251">
        <f t="shared" si="14"/>
        <v>0.75</v>
      </c>
      <c r="K49" s="251">
        <f t="shared" si="12"/>
        <v>0.4330127018922193</v>
      </c>
    </row>
    <row r="50" spans="7:11">
      <c r="G50" s="250">
        <f>G49</f>
        <v>0.5</v>
      </c>
      <c r="H50" s="250">
        <f>G45</f>
        <v>0.5</v>
      </c>
      <c r="I50" s="251">
        <f t="shared" si="13"/>
        <v>0</v>
      </c>
      <c r="J50" s="251">
        <f t="shared" si="14"/>
        <v>0.75</v>
      </c>
      <c r="K50" s="251">
        <f t="shared" si="12"/>
        <v>0.4330127018922193</v>
      </c>
    </row>
    <row r="51" spans="7:11">
      <c r="G51" s="250">
        <f>H45</f>
        <v>0</v>
      </c>
      <c r="H51" s="250">
        <f>G45</f>
        <v>0.5</v>
      </c>
      <c r="I51" s="251">
        <f t="shared" si="13"/>
        <v>0.5</v>
      </c>
      <c r="J51" s="251">
        <f t="shared" si="14"/>
        <v>0.25</v>
      </c>
      <c r="K51" s="251">
        <f t="shared" si="12"/>
        <v>0.4330127018922193</v>
      </c>
    </row>
    <row r="52" spans="7:11">
      <c r="G52" s="250">
        <f>G45</f>
        <v>0.5</v>
      </c>
      <c r="H52" s="250">
        <f>H45</f>
        <v>0</v>
      </c>
      <c r="I52" s="251">
        <f t="shared" si="13"/>
        <v>0.5</v>
      </c>
      <c r="J52" s="251">
        <f t="shared" si="14"/>
        <v>0.5</v>
      </c>
      <c r="K52" s="251">
        <f t="shared" si="12"/>
        <v>0</v>
      </c>
    </row>
  </sheetData>
  <pageMargins left="0.7" right="0.7" top="0.78740157499999996" bottom="0.78740157499999996"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tblFlash"/>
  <dimension ref="A2:O41"/>
  <sheetViews>
    <sheetView zoomScale="90" zoomScaleNormal="90" workbookViewId="0">
      <selection activeCell="B7" sqref="B7"/>
    </sheetView>
  </sheetViews>
  <sheetFormatPr baseColWidth="10" defaultColWidth="11.42578125" defaultRowHeight="15"/>
  <cols>
    <col min="1" max="1" width="15.7109375" style="3" customWidth="1"/>
    <col min="2" max="2" width="13.7109375" style="3" customWidth="1"/>
    <col min="3" max="4" width="9.7109375" style="3" customWidth="1"/>
    <col min="5" max="5" width="3.7109375" style="3" customWidth="1"/>
    <col min="6" max="6" width="24.7109375" style="3" customWidth="1"/>
    <col min="7" max="7" width="15.7109375" style="71" customWidth="1"/>
    <col min="8" max="8" width="9.7109375" style="3" customWidth="1"/>
    <col min="9" max="14" width="15.7109375" style="3" customWidth="1"/>
    <col min="15" max="16384" width="11.42578125" style="3"/>
  </cols>
  <sheetData>
    <row r="2" spans="1:15" ht="18.75">
      <c r="A2" s="6" t="s">
        <v>14</v>
      </c>
      <c r="B2" s="7"/>
      <c r="C2" s="7"/>
      <c r="D2" s="7"/>
      <c r="E2" s="7"/>
      <c r="F2" s="6" t="s">
        <v>43</v>
      </c>
      <c r="G2" s="68"/>
    </row>
    <row r="3" spans="1:15" ht="15.75" customHeight="1">
      <c r="A3" s="10"/>
      <c r="F3" s="93" t="str">
        <f>[2]!ERRORTEXT(F4)</f>
        <v/>
      </c>
    </row>
    <row r="4" spans="1:15" ht="16.350000000000001" customHeight="1">
      <c r="A4" s="127" t="s">
        <v>0</v>
      </c>
      <c r="B4" s="181"/>
      <c r="F4" s="165" t="str">
        <f t="array" ref="F4:N41">[2]!FLASHEOS(B6,B7,B8,A13:A32,B13:B32,C13:C32,D13,B4,$B$9,$B$10)</f>
        <v>Description</v>
      </c>
      <c r="G4" s="166" t="str">
        <v>Symbol</v>
      </c>
      <c r="H4" s="167" t="str">
        <v>Unit</v>
      </c>
      <c r="I4" s="104" t="str">
        <v xml:space="preserve">vap </v>
      </c>
      <c r="J4" s="104" t="str">
        <v>liq1</v>
      </c>
      <c r="K4" s="104" t="str">
        <v>liq2</v>
      </c>
      <c r="L4" s="104" t="str">
        <v xml:space="preserve">sol </v>
      </c>
      <c r="M4" s="104" t="str">
        <v xml:space="preserve">hyd </v>
      </c>
      <c r="N4" s="105" t="str">
        <v>Overall</v>
      </c>
    </row>
    <row r="5" spans="1:15" ht="16.350000000000001" customHeight="1">
      <c r="A5" s="128"/>
      <c r="F5" s="271" t="str">
        <v>Temperature</v>
      </c>
      <c r="G5" s="187" t="str">
        <v>T</v>
      </c>
      <c r="H5" s="188" t="str">
        <v>K</v>
      </c>
      <c r="I5" s="272">
        <v>180</v>
      </c>
      <c r="J5" s="272" t="str">
        <v/>
      </c>
      <c r="K5" s="272">
        <v>180</v>
      </c>
      <c r="L5" s="272" t="str">
        <v/>
      </c>
      <c r="M5" s="272" t="str">
        <v/>
      </c>
      <c r="N5" s="273">
        <v>180</v>
      </c>
      <c r="O5" s="93" t="str">
        <f>[2]!ERRORTEXT(N5)</f>
        <v/>
      </c>
    </row>
    <row r="6" spans="1:15" ht="16.350000000000001" customHeight="1">
      <c r="A6" s="127" t="s">
        <v>13</v>
      </c>
      <c r="B6" s="266" t="s">
        <v>318</v>
      </c>
      <c r="F6" s="258" t="str">
        <v>Pressure</v>
      </c>
      <c r="G6" s="186" t="str">
        <v>P</v>
      </c>
      <c r="H6" s="189" t="str">
        <v>MPa</v>
      </c>
      <c r="I6" s="274">
        <v>1</v>
      </c>
      <c r="J6" s="274" t="str">
        <v/>
      </c>
      <c r="K6" s="274">
        <v>1</v>
      </c>
      <c r="L6" s="274" t="str">
        <v/>
      </c>
      <c r="M6" s="274" t="str">
        <v/>
      </c>
      <c r="N6" s="275">
        <v>1</v>
      </c>
      <c r="O6" s="93" t="str">
        <f>[2]!ERRORTEXT(N6)</f>
        <v/>
      </c>
    </row>
    <row r="7" spans="1:15" ht="16.350000000000001" customHeight="1">
      <c r="A7" s="127" t="s">
        <v>11</v>
      </c>
      <c r="B7" s="267">
        <v>180</v>
      </c>
      <c r="C7" s="3" t="str">
        <f>[2]!PROPUNIT(LEFT($B$6,1),$B$9)</f>
        <v>K</v>
      </c>
      <c r="F7" s="258" t="str">
        <v>Density</v>
      </c>
      <c r="G7" s="186" t="str">
        <v>D</v>
      </c>
      <c r="H7" s="189" t="str">
        <v>mol/m3</v>
      </c>
      <c r="I7" s="274">
        <v>749.30299337431507</v>
      </c>
      <c r="J7" s="274" t="str">
        <v/>
      </c>
      <c r="K7" s="276">
        <v>19216.931168006049</v>
      </c>
      <c r="L7" s="274" t="str">
        <v/>
      </c>
      <c r="M7" s="274" t="str">
        <v/>
      </c>
      <c r="N7" s="275">
        <v>1490.535620733144</v>
      </c>
      <c r="O7" s="93"/>
    </row>
    <row r="8" spans="1:15" ht="16.350000000000001" customHeight="1">
      <c r="A8" s="127" t="s">
        <v>12</v>
      </c>
      <c r="B8" s="268">
        <v>1</v>
      </c>
      <c r="C8" s="3" t="str">
        <f>_xlfn.IFS(LEN(TRIM(B6))&lt;4,[2]!PROPUNIT(MID(B6,2,1),B9,B10),LEN(B6)&gt;3,"-")</f>
        <v>MPa</v>
      </c>
      <c r="D8" s="58"/>
      <c r="F8" s="258" t="str">
        <v>Int. energy</v>
      </c>
      <c r="G8" s="186" t="str">
        <v>U</v>
      </c>
      <c r="H8" s="189" t="str">
        <v>J/mol</v>
      </c>
      <c r="I8" s="274">
        <v>9070.8172364194215</v>
      </c>
      <c r="J8" s="274" t="str">
        <v/>
      </c>
      <c r="K8" s="277">
        <v>958.44072914815786</v>
      </c>
      <c r="L8" s="274" t="str">
        <v/>
      </c>
      <c r="M8" s="274" t="str">
        <v/>
      </c>
      <c r="N8" s="275">
        <v>4872.9066910742904</v>
      </c>
      <c r="O8" s="93" t="str">
        <f>[2]!ERRORTEXT(N8)</f>
        <v/>
      </c>
    </row>
    <row r="9" spans="1:15" ht="16.350000000000001" customHeight="1">
      <c r="A9" s="127" t="s">
        <v>17</v>
      </c>
      <c r="B9" s="176" t="s">
        <v>305</v>
      </c>
      <c r="F9" s="258" t="str">
        <v>Enthalpy</v>
      </c>
      <c r="G9" s="186" t="str">
        <v>H</v>
      </c>
      <c r="H9" s="189" t="str">
        <v>J/mol</v>
      </c>
      <c r="I9" s="274">
        <v>10405.390845283227</v>
      </c>
      <c r="J9" s="274" t="str">
        <v/>
      </c>
      <c r="K9" s="274">
        <v>1010.4781741969492</v>
      </c>
      <c r="L9" s="274" t="str">
        <v/>
      </c>
      <c r="M9" s="274" t="str">
        <v/>
      </c>
      <c r="N9" s="275">
        <v>5543.8064576257002</v>
      </c>
      <c r="O9" s="93" t="str">
        <f>[2]!ERRORTEXT(N9)</f>
        <v/>
      </c>
    </row>
    <row r="10" spans="1:15" ht="16.350000000000001" customHeight="1">
      <c r="A10" s="127" t="s">
        <v>374</v>
      </c>
      <c r="B10" s="181" t="b">
        <v>1</v>
      </c>
      <c r="C10" s="118"/>
      <c r="D10" s="118"/>
      <c r="F10" s="258" t="str">
        <v>Entropy</v>
      </c>
      <c r="G10" s="186" t="str">
        <v>S</v>
      </c>
      <c r="H10" s="189" t="str">
        <v>J/(mol K)</v>
      </c>
      <c r="I10" s="274">
        <v>70.482743262534484</v>
      </c>
      <c r="J10" s="274" t="str">
        <v/>
      </c>
      <c r="K10" s="274">
        <v>11.349200668319543</v>
      </c>
      <c r="L10" s="274" t="str">
        <v/>
      </c>
      <c r="M10" s="274" t="str">
        <v/>
      </c>
      <c r="N10" s="275">
        <v>39.882915725268305</v>
      </c>
      <c r="O10" s="93" t="str">
        <f>[2]!ERRORTEXT(N10)</f>
        <v/>
      </c>
    </row>
    <row r="11" spans="1:15" ht="16.350000000000001" customHeight="1">
      <c r="F11" s="258" t="str">
        <v>Gibbs energy</v>
      </c>
      <c r="G11" s="186" t="str">
        <v>G</v>
      </c>
      <c r="H11" s="189" t="str">
        <v>J/mol</v>
      </c>
      <c r="I11" s="274">
        <v>-2281.5029419729799</v>
      </c>
      <c r="J11" s="274" t="str">
        <v/>
      </c>
      <c r="K11" s="274">
        <v>-1032.377946100569</v>
      </c>
      <c r="L11" s="274" t="str">
        <v/>
      </c>
      <c r="M11" s="274" t="str">
        <v/>
      </c>
      <c r="N11" s="275">
        <v>-1635.118372922597</v>
      </c>
      <c r="O11" s="93" t="str">
        <f>[2]!ERRORTEXT(N11)</f>
        <v/>
      </c>
    </row>
    <row r="12" spans="1:15" ht="16.350000000000001" customHeight="1">
      <c r="A12" s="149" t="s">
        <v>1</v>
      </c>
      <c r="B12" s="149" t="s">
        <v>354</v>
      </c>
      <c r="C12" s="149" t="s">
        <v>87</v>
      </c>
      <c r="D12" s="149" t="s">
        <v>88</v>
      </c>
      <c r="F12" s="258" t="str">
        <v>Helmholtz energy</v>
      </c>
      <c r="G12" s="186" t="str">
        <v>A</v>
      </c>
      <c r="H12" s="189" t="str">
        <v>J/mol</v>
      </c>
      <c r="I12" s="274">
        <v>-3616.0765508367867</v>
      </c>
      <c r="J12" s="274" t="str">
        <v/>
      </c>
      <c r="K12" s="274">
        <v>-1084.4153911493599</v>
      </c>
      <c r="L12" s="274" t="str">
        <v/>
      </c>
      <c r="M12" s="274" t="str">
        <v/>
      </c>
      <c r="N12" s="275">
        <v>-2306.0181394740066</v>
      </c>
      <c r="O12" s="93" t="str">
        <f>[2]!ERRORTEXT(N12)</f>
        <v/>
      </c>
    </row>
    <row r="13" spans="1:15" ht="16.350000000000001" customHeight="1">
      <c r="A13" s="177" t="s">
        <v>242</v>
      </c>
      <c r="B13" s="114">
        <f>1-SUM(B14:B32)</f>
        <v>0.6</v>
      </c>
      <c r="C13" s="179">
        <v>1</v>
      </c>
      <c r="D13" s="181">
        <v>1</v>
      </c>
      <c r="F13" s="258" t="str">
        <v>Isob. heat capacity</v>
      </c>
      <c r="G13" s="186" t="str">
        <v>CP</v>
      </c>
      <c r="H13" s="189" t="str">
        <v>J/(mol K)</v>
      </c>
      <c r="I13" s="274">
        <v>40.094026093089639</v>
      </c>
      <c r="J13" s="274" t="str">
        <v/>
      </c>
      <c r="K13" s="274">
        <v>69.601693660481772</v>
      </c>
      <c r="L13" s="274" t="str">
        <v/>
      </c>
      <c r="M13" s="274" t="str">
        <v/>
      </c>
      <c r="N13" s="275">
        <v>-6666</v>
      </c>
      <c r="O13" s="93" t="str">
        <f>[2]!ERRORTEXT(N13)</f>
        <v xml:space="preserve">	Property in two-phase region undefined</v>
      </c>
    </row>
    <row r="14" spans="1:15" ht="16.350000000000001" customHeight="1">
      <c r="A14" s="177" t="s">
        <v>367</v>
      </c>
      <c r="B14" s="267">
        <v>0.4</v>
      </c>
      <c r="C14" s="179">
        <v>1</v>
      </c>
      <c r="F14" s="258" t="str">
        <v>Isoch. heat capacity</v>
      </c>
      <c r="G14" s="186" t="str">
        <v>CV</v>
      </c>
      <c r="H14" s="189" t="str">
        <v>J/(mol K)</v>
      </c>
      <c r="I14" s="274">
        <v>27.137394040456655</v>
      </c>
      <c r="J14" s="274" t="str">
        <v/>
      </c>
      <c r="K14" s="274">
        <v>39.762989368783025</v>
      </c>
      <c r="L14" s="274" t="str">
        <v/>
      </c>
      <c r="M14" s="274" t="str">
        <v/>
      </c>
      <c r="N14" s="275">
        <v>-6666</v>
      </c>
      <c r="O14" s="93" t="str">
        <f>[2]!ERRORTEXT(N14)</f>
        <v xml:space="preserve">	Property in two-phase region undefined</v>
      </c>
    </row>
    <row r="15" spans="1:15" ht="16.350000000000001" customHeight="1">
      <c r="A15" s="269"/>
      <c r="B15" s="267"/>
      <c r="C15" s="179"/>
      <c r="F15" s="258" t="str">
        <v>Speed of sound</v>
      </c>
      <c r="G15" s="186" t="str">
        <v>WS</v>
      </c>
      <c r="H15" s="189" t="str">
        <v>m/s</v>
      </c>
      <c r="I15" s="274">
        <v>318.61434375360142</v>
      </c>
      <c r="J15" s="274" t="str">
        <v/>
      </c>
      <c r="K15" s="274">
        <v>1179.9141643604958</v>
      </c>
      <c r="L15" s="274" t="str">
        <v/>
      </c>
      <c r="M15" s="274" t="str">
        <v/>
      </c>
      <c r="N15" s="275">
        <v>-6666</v>
      </c>
      <c r="O15" s="93" t="str">
        <f>[2]!ERRORTEXT(N15)</f>
        <v xml:space="preserve">	Property in two-phase region undefined</v>
      </c>
    </row>
    <row r="16" spans="1:15" ht="16.350000000000001" customHeight="1">
      <c r="A16" s="269"/>
      <c r="B16" s="267"/>
      <c r="C16" s="179"/>
      <c r="F16" s="258" t="str">
        <v>Hydration number</v>
      </c>
      <c r="G16" s="186" t="str">
        <v>NH</v>
      </c>
      <c r="H16" s="197" t="str">
        <v>-</v>
      </c>
      <c r="I16" s="278" t="str">
        <v/>
      </c>
      <c r="J16" s="274" t="str">
        <v/>
      </c>
      <c r="K16" s="274" t="str">
        <v/>
      </c>
      <c r="L16" s="274" t="str">
        <v/>
      </c>
      <c r="M16" s="274" t="str">
        <v/>
      </c>
      <c r="N16" s="275" t="str">
        <v/>
      </c>
      <c r="O16" s="93" t="str">
        <f>[2]!ERRORTEXT(N16)</f>
        <v/>
      </c>
    </row>
    <row r="17" spans="1:15" ht="16.350000000000001" customHeight="1">
      <c r="A17" s="269"/>
      <c r="B17" s="267"/>
      <c r="C17" s="179"/>
      <c r="F17" s="258" t="str">
        <v>Hydrate structure</v>
      </c>
      <c r="G17" s="186" t="str">
        <v/>
      </c>
      <c r="H17" s="197" t="str">
        <v/>
      </c>
      <c r="I17" s="279" t="str">
        <v/>
      </c>
      <c r="J17" s="280" t="str">
        <v/>
      </c>
      <c r="K17" s="280" t="str">
        <v/>
      </c>
      <c r="L17" s="280" t="str">
        <v/>
      </c>
      <c r="M17" s="281" t="str">
        <v/>
      </c>
      <c r="N17" s="282" t="str">
        <v/>
      </c>
      <c r="O17" s="93" t="str">
        <f>[2]!ERRORTEXT(N17)</f>
        <v/>
      </c>
    </row>
    <row r="18" spans="1:15" ht="16.350000000000001" customHeight="1">
      <c r="A18" s="177"/>
      <c r="B18" s="267"/>
      <c r="C18" s="179"/>
      <c r="F18" s="258" t="str">
        <v>Overall small cage occup</v>
      </c>
      <c r="G18" s="186" t="str">
        <v>THETA_S^O</v>
      </c>
      <c r="H18" s="197" t="str">
        <v>-</v>
      </c>
      <c r="I18" s="279" t="str">
        <v/>
      </c>
      <c r="J18" s="280" t="str">
        <v/>
      </c>
      <c r="K18" s="280" t="str">
        <v/>
      </c>
      <c r="L18" s="280" t="str">
        <v/>
      </c>
      <c r="M18" s="281" t="str">
        <v/>
      </c>
      <c r="N18" s="282" t="str">
        <v/>
      </c>
      <c r="O18" s="93" t="str">
        <f>[2]!ERRORTEXT(N18)</f>
        <v/>
      </c>
    </row>
    <row r="19" spans="1:15" ht="16.350000000000001" customHeight="1">
      <c r="A19" s="178"/>
      <c r="B19" s="267"/>
      <c r="C19" s="179"/>
      <c r="F19" s="258" t="str">
        <v>Overall large cage occup</v>
      </c>
      <c r="G19" s="186" t="str">
        <v>THETA_L^O</v>
      </c>
      <c r="H19" s="197" t="str">
        <v>-</v>
      </c>
      <c r="I19" s="279" t="str">
        <v/>
      </c>
      <c r="J19" s="280" t="str">
        <v/>
      </c>
      <c r="K19" s="280" t="str">
        <v/>
      </c>
      <c r="L19" s="280" t="str">
        <v/>
      </c>
      <c r="M19" s="281" t="str">
        <v/>
      </c>
      <c r="N19" s="282" t="str">
        <v/>
      </c>
      <c r="O19" s="93" t="str">
        <f>[2]!ERRORTEXT(N19)</f>
        <v/>
      </c>
    </row>
    <row r="20" spans="1:15" ht="16.350000000000001" customHeight="1">
      <c r="A20" s="178"/>
      <c r="B20" s="267"/>
      <c r="C20" s="179"/>
      <c r="F20" s="258" t="str">
        <v>Molecular weight</v>
      </c>
      <c r="G20" s="186" t="str">
        <v>MW</v>
      </c>
      <c r="H20" s="189" t="str">
        <v>kg/mol</v>
      </c>
      <c r="I20" s="280">
        <v>1.7111586443894815E-2</v>
      </c>
      <c r="J20" s="280" t="str">
        <v/>
      </c>
      <c r="K20" s="280">
        <v>2.5888347527251339E-2</v>
      </c>
      <c r="L20" s="280" t="str">
        <v/>
      </c>
      <c r="M20" s="281" t="str">
        <v/>
      </c>
      <c r="N20" s="282">
        <v>2.1653296000000002E-2</v>
      </c>
      <c r="O20" s="93" t="str">
        <f>[2]!ERRORTEXT(N20)</f>
        <v/>
      </c>
    </row>
    <row r="21" spans="1:15" ht="16.350000000000001" customHeight="1">
      <c r="A21" s="178"/>
      <c r="B21" s="267"/>
      <c r="C21" s="179"/>
      <c r="F21" s="259" t="str">
        <v>Phase fraction</v>
      </c>
      <c r="G21" s="190" t="str">
        <v>BETA</v>
      </c>
      <c r="H21" s="191" t="str">
        <v>mol/mol</v>
      </c>
      <c r="I21" s="283">
        <v>0.48253011413086272</v>
      </c>
      <c r="J21" s="284" t="str">
        <v/>
      </c>
      <c r="K21" s="284">
        <v>0.51746988586913734</v>
      </c>
      <c r="L21" s="284" t="str">
        <v/>
      </c>
      <c r="M21" s="285" t="str">
        <v/>
      </c>
      <c r="N21" s="286" t="str">
        <v/>
      </c>
      <c r="O21" s="90"/>
    </row>
    <row r="22" spans="1:15" ht="16.350000000000001" customHeight="1">
      <c r="A22" s="178"/>
      <c r="B22" s="267"/>
      <c r="C22" s="179"/>
      <c r="F22" s="258" t="str">
        <v>Composition</v>
      </c>
      <c r="G22" s="186" t="str">
        <v>x_methane</v>
      </c>
      <c r="H22" s="189" t="str">
        <v>mol/mol</v>
      </c>
      <c r="I22" s="331">
        <v>0.92380092997875296</v>
      </c>
      <c r="J22" s="331" t="str">
        <v/>
      </c>
      <c r="K22" s="331">
        <v>0.29806223711762125</v>
      </c>
      <c r="L22" s="331" t="str">
        <v/>
      </c>
      <c r="M22" s="331" t="str">
        <v/>
      </c>
      <c r="N22" s="332">
        <v>0.6</v>
      </c>
      <c r="O22" s="171"/>
    </row>
    <row r="23" spans="1:15" ht="16.350000000000001" customHeight="1">
      <c r="A23" s="178"/>
      <c r="B23" s="267"/>
      <c r="C23" s="179"/>
      <c r="F23" s="258" t="str">
        <v/>
      </c>
      <c r="G23" s="186" t="str">
        <v>x_ethane</v>
      </c>
      <c r="H23" s="189" t="str">
        <v>mol/mol</v>
      </c>
      <c r="I23" s="331">
        <v>7.619907002124704E-2</v>
      </c>
      <c r="J23" s="331" t="str">
        <v/>
      </c>
      <c r="K23" s="331">
        <v>0.70193776288237875</v>
      </c>
      <c r="L23" s="331" t="str">
        <v/>
      </c>
      <c r="M23" s="331" t="str">
        <v/>
      </c>
      <c r="N23" s="332">
        <v>0.4</v>
      </c>
      <c r="O23" s="171"/>
    </row>
    <row r="24" spans="1:15" ht="16.350000000000001" customHeight="1">
      <c r="A24" s="178"/>
      <c r="B24" s="267"/>
      <c r="C24" s="181"/>
      <c r="F24" s="258" t="e">
        <v>#N/A</v>
      </c>
      <c r="G24" s="186" t="e">
        <v>#N/A</v>
      </c>
      <c r="H24" s="189" t="e">
        <v>#N/A</v>
      </c>
      <c r="I24" s="331" t="e">
        <v>#N/A</v>
      </c>
      <c r="J24" s="331" t="e">
        <v>#N/A</v>
      </c>
      <c r="K24" s="331" t="e">
        <v>#N/A</v>
      </c>
      <c r="L24" s="331" t="e">
        <v>#N/A</v>
      </c>
      <c r="M24" s="331" t="e">
        <v>#N/A</v>
      </c>
      <c r="N24" s="332" t="e">
        <v>#N/A</v>
      </c>
      <c r="O24" s="171"/>
    </row>
    <row r="25" spans="1:15" ht="16.350000000000001" customHeight="1">
      <c r="A25" s="178"/>
      <c r="B25" s="267"/>
      <c r="C25" s="181"/>
      <c r="F25" s="258" t="e">
        <v>#N/A</v>
      </c>
      <c r="G25" s="186" t="e">
        <v>#N/A</v>
      </c>
      <c r="H25" s="189" t="e">
        <v>#N/A</v>
      </c>
      <c r="I25" s="331" t="e">
        <v>#N/A</v>
      </c>
      <c r="J25" s="331" t="e">
        <v>#N/A</v>
      </c>
      <c r="K25" s="331" t="e">
        <v>#N/A</v>
      </c>
      <c r="L25" s="331" t="e">
        <v>#N/A</v>
      </c>
      <c r="M25" s="331" t="e">
        <v>#N/A</v>
      </c>
      <c r="N25" s="332" t="e">
        <v>#N/A</v>
      </c>
      <c r="O25" s="171"/>
    </row>
    <row r="26" spans="1:15" ht="16.350000000000001" customHeight="1">
      <c r="A26" s="178"/>
      <c r="B26" s="267"/>
      <c r="C26" s="181"/>
      <c r="F26" s="258" t="e">
        <v>#N/A</v>
      </c>
      <c r="G26" s="186" t="e">
        <v>#N/A</v>
      </c>
      <c r="H26" s="189" t="e">
        <v>#N/A</v>
      </c>
      <c r="I26" s="331" t="e">
        <v>#N/A</v>
      </c>
      <c r="J26" s="331" t="e">
        <v>#N/A</v>
      </c>
      <c r="K26" s="331" t="e">
        <v>#N/A</v>
      </c>
      <c r="L26" s="331" t="e">
        <v>#N/A</v>
      </c>
      <c r="M26" s="331" t="e">
        <v>#N/A</v>
      </c>
      <c r="N26" s="332" t="e">
        <v>#N/A</v>
      </c>
      <c r="O26" s="171"/>
    </row>
    <row r="27" spans="1:15" ht="16.350000000000001" customHeight="1">
      <c r="A27" s="178"/>
      <c r="B27" s="267"/>
      <c r="C27" s="181"/>
      <c r="F27" s="258" t="e">
        <v>#N/A</v>
      </c>
      <c r="G27" s="186" t="e">
        <v>#N/A</v>
      </c>
      <c r="H27" s="189" t="e">
        <v>#N/A</v>
      </c>
      <c r="I27" s="331" t="e">
        <v>#N/A</v>
      </c>
      <c r="J27" s="331" t="e">
        <v>#N/A</v>
      </c>
      <c r="K27" s="331" t="e">
        <v>#N/A</v>
      </c>
      <c r="L27" s="331" t="e">
        <v>#N/A</v>
      </c>
      <c r="M27" s="331" t="e">
        <v>#N/A</v>
      </c>
      <c r="N27" s="332" t="e">
        <v>#N/A</v>
      </c>
      <c r="O27" s="171"/>
    </row>
    <row r="28" spans="1:15" ht="16.350000000000001" customHeight="1">
      <c r="A28" s="178"/>
      <c r="B28" s="267"/>
      <c r="C28" s="181"/>
      <c r="F28" s="258" t="e">
        <v>#N/A</v>
      </c>
      <c r="G28" s="186" t="e">
        <v>#N/A</v>
      </c>
      <c r="H28" s="189" t="e">
        <v>#N/A</v>
      </c>
      <c r="I28" s="331" t="e">
        <v>#N/A</v>
      </c>
      <c r="J28" s="331" t="e">
        <v>#N/A</v>
      </c>
      <c r="K28" s="331" t="e">
        <v>#N/A</v>
      </c>
      <c r="L28" s="331" t="e">
        <v>#N/A</v>
      </c>
      <c r="M28" s="331" t="e">
        <v>#N/A</v>
      </c>
      <c r="N28" s="332" t="e">
        <v>#N/A</v>
      </c>
      <c r="O28" s="171"/>
    </row>
    <row r="29" spans="1:15" ht="16.350000000000001" customHeight="1">
      <c r="A29" s="178"/>
      <c r="B29" s="267"/>
      <c r="C29" s="181"/>
      <c r="F29" s="258" t="e">
        <v>#N/A</v>
      </c>
      <c r="G29" s="186" t="e">
        <v>#N/A</v>
      </c>
      <c r="H29" s="189" t="e">
        <v>#N/A</v>
      </c>
      <c r="I29" s="331" t="e">
        <v>#N/A</v>
      </c>
      <c r="J29" s="331" t="e">
        <v>#N/A</v>
      </c>
      <c r="K29" s="331" t="e">
        <v>#N/A</v>
      </c>
      <c r="L29" s="331" t="e">
        <v>#N/A</v>
      </c>
      <c r="M29" s="331" t="e">
        <v>#N/A</v>
      </c>
      <c r="N29" s="332" t="e">
        <v>#N/A</v>
      </c>
      <c r="O29" s="171"/>
    </row>
    <row r="30" spans="1:15" ht="16.350000000000001" customHeight="1">
      <c r="A30" s="178"/>
      <c r="B30" s="267"/>
      <c r="C30" s="181"/>
      <c r="F30" s="258" t="e">
        <v>#N/A</v>
      </c>
      <c r="G30" s="186" t="e">
        <v>#N/A</v>
      </c>
      <c r="H30" s="189" t="e">
        <v>#N/A</v>
      </c>
      <c r="I30" s="331" t="e">
        <v>#N/A</v>
      </c>
      <c r="J30" s="331" t="e">
        <v>#N/A</v>
      </c>
      <c r="K30" s="331" t="e">
        <v>#N/A</v>
      </c>
      <c r="L30" s="331" t="e">
        <v>#N/A</v>
      </c>
      <c r="M30" s="331" t="e">
        <v>#N/A</v>
      </c>
      <c r="N30" s="332" t="e">
        <v>#N/A</v>
      </c>
      <c r="O30" s="171"/>
    </row>
    <row r="31" spans="1:15" ht="16.350000000000001" customHeight="1">
      <c r="A31" s="178"/>
      <c r="B31" s="267"/>
      <c r="C31" s="181"/>
      <c r="F31" s="258" t="e">
        <v>#N/A</v>
      </c>
      <c r="G31" s="186" t="e">
        <v>#N/A</v>
      </c>
      <c r="H31" s="189" t="e">
        <v>#N/A</v>
      </c>
      <c r="I31" s="331" t="e">
        <v>#N/A</v>
      </c>
      <c r="J31" s="331" t="e">
        <v>#N/A</v>
      </c>
      <c r="K31" s="331" t="e">
        <v>#N/A</v>
      </c>
      <c r="L31" s="331" t="e">
        <v>#N/A</v>
      </c>
      <c r="M31" s="331" t="e">
        <v>#N/A</v>
      </c>
      <c r="N31" s="332" t="e">
        <v>#N/A</v>
      </c>
      <c r="O31" s="171"/>
    </row>
    <row r="32" spans="1:15" ht="16.350000000000001" customHeight="1">
      <c r="A32" s="178"/>
      <c r="B32" s="267"/>
      <c r="C32" s="181"/>
      <c r="F32" s="258" t="e">
        <v>#N/A</v>
      </c>
      <c r="G32" s="186" t="e">
        <v>#N/A</v>
      </c>
      <c r="H32" s="189" t="e">
        <v>#N/A</v>
      </c>
      <c r="I32" s="331" t="e">
        <v>#N/A</v>
      </c>
      <c r="J32" s="331" t="e">
        <v>#N/A</v>
      </c>
      <c r="K32" s="331" t="e">
        <v>#N/A</v>
      </c>
      <c r="L32" s="331" t="e">
        <v>#N/A</v>
      </c>
      <c r="M32" s="331" t="e">
        <v>#N/A</v>
      </c>
      <c r="N32" s="332" t="e">
        <v>#N/A</v>
      </c>
      <c r="O32" s="171"/>
    </row>
    <row r="33" spans="6:15" ht="16.350000000000001" customHeight="1">
      <c r="F33" s="258" t="e">
        <v>#N/A</v>
      </c>
      <c r="G33" s="186" t="e">
        <v>#N/A</v>
      </c>
      <c r="H33" s="189" t="e">
        <v>#N/A</v>
      </c>
      <c r="I33" s="331" t="e">
        <v>#N/A</v>
      </c>
      <c r="J33" s="331" t="e">
        <v>#N/A</v>
      </c>
      <c r="K33" s="331" t="e">
        <v>#N/A</v>
      </c>
      <c r="L33" s="331" t="e">
        <v>#N/A</v>
      </c>
      <c r="M33" s="331" t="e">
        <v>#N/A</v>
      </c>
      <c r="N33" s="332" t="e">
        <v>#N/A</v>
      </c>
      <c r="O33" s="171"/>
    </row>
    <row r="34" spans="6:15" ht="16.350000000000001" customHeight="1">
      <c r="F34" s="258" t="e">
        <v>#N/A</v>
      </c>
      <c r="G34" s="186" t="e">
        <v>#N/A</v>
      </c>
      <c r="H34" s="189" t="e">
        <v>#N/A</v>
      </c>
      <c r="I34" s="331" t="e">
        <v>#N/A</v>
      </c>
      <c r="J34" s="331" t="e">
        <v>#N/A</v>
      </c>
      <c r="K34" s="331" t="e">
        <v>#N/A</v>
      </c>
      <c r="L34" s="331" t="e">
        <v>#N/A</v>
      </c>
      <c r="M34" s="331" t="e">
        <v>#N/A</v>
      </c>
      <c r="N34" s="332" t="e">
        <v>#N/A</v>
      </c>
      <c r="O34" s="171"/>
    </row>
    <row r="35" spans="6:15" ht="16.350000000000001" customHeight="1">
      <c r="F35" s="258" t="e">
        <v>#N/A</v>
      </c>
      <c r="G35" s="186" t="e">
        <v>#N/A</v>
      </c>
      <c r="H35" s="189" t="e">
        <v>#N/A</v>
      </c>
      <c r="I35" s="331" t="e">
        <v>#N/A</v>
      </c>
      <c r="J35" s="331" t="e">
        <v>#N/A</v>
      </c>
      <c r="K35" s="331" t="e">
        <v>#N/A</v>
      </c>
      <c r="L35" s="331" t="e">
        <v>#N/A</v>
      </c>
      <c r="M35" s="331" t="e">
        <v>#N/A</v>
      </c>
      <c r="N35" s="332" t="e">
        <v>#N/A</v>
      </c>
      <c r="O35" s="171"/>
    </row>
    <row r="36" spans="6:15" ht="16.350000000000001" customHeight="1">
      <c r="F36" s="258" t="e">
        <v>#N/A</v>
      </c>
      <c r="G36" s="186" t="e">
        <v>#N/A</v>
      </c>
      <c r="H36" s="189" t="e">
        <v>#N/A</v>
      </c>
      <c r="I36" s="331" t="e">
        <v>#N/A</v>
      </c>
      <c r="J36" s="331" t="e">
        <v>#N/A</v>
      </c>
      <c r="K36" s="331" t="e">
        <v>#N/A</v>
      </c>
      <c r="L36" s="331" t="e">
        <v>#N/A</v>
      </c>
      <c r="M36" s="331" t="e">
        <v>#N/A</v>
      </c>
      <c r="N36" s="332" t="e">
        <v>#N/A</v>
      </c>
      <c r="O36" s="171"/>
    </row>
    <row r="37" spans="6:15" ht="16.350000000000001" customHeight="1">
      <c r="F37" s="258" t="e">
        <v>#N/A</v>
      </c>
      <c r="G37" s="186" t="e">
        <v>#N/A</v>
      </c>
      <c r="H37" s="189" t="e">
        <v>#N/A</v>
      </c>
      <c r="I37" s="331" t="e">
        <v>#N/A</v>
      </c>
      <c r="J37" s="331" t="e">
        <v>#N/A</v>
      </c>
      <c r="K37" s="331" t="e">
        <v>#N/A</v>
      </c>
      <c r="L37" s="331" t="e">
        <v>#N/A</v>
      </c>
      <c r="M37" s="331" t="e">
        <v>#N/A</v>
      </c>
      <c r="N37" s="332" t="e">
        <v>#N/A</v>
      </c>
      <c r="O37" s="171"/>
    </row>
    <row r="38" spans="6:15" ht="16.350000000000001" customHeight="1">
      <c r="F38" s="258" t="e">
        <v>#N/A</v>
      </c>
      <c r="G38" s="186" t="e">
        <v>#N/A</v>
      </c>
      <c r="H38" s="189" t="e">
        <v>#N/A</v>
      </c>
      <c r="I38" s="331" t="e">
        <v>#N/A</v>
      </c>
      <c r="J38" s="331" t="e">
        <v>#N/A</v>
      </c>
      <c r="K38" s="331" t="e">
        <v>#N/A</v>
      </c>
      <c r="L38" s="331" t="e">
        <v>#N/A</v>
      </c>
      <c r="M38" s="331" t="e">
        <v>#N/A</v>
      </c>
      <c r="N38" s="332" t="e">
        <v>#N/A</v>
      </c>
      <c r="O38" s="171"/>
    </row>
    <row r="39" spans="6:15" ht="16.350000000000001" customHeight="1">
      <c r="F39" s="258" t="e">
        <v>#N/A</v>
      </c>
      <c r="G39" s="186" t="e">
        <v>#N/A</v>
      </c>
      <c r="H39" s="189" t="e">
        <v>#N/A</v>
      </c>
      <c r="I39" s="331" t="e">
        <v>#N/A</v>
      </c>
      <c r="J39" s="331" t="e">
        <v>#N/A</v>
      </c>
      <c r="K39" s="331" t="e">
        <v>#N/A</v>
      </c>
      <c r="L39" s="331" t="e">
        <v>#N/A</v>
      </c>
      <c r="M39" s="331" t="e">
        <v>#N/A</v>
      </c>
      <c r="N39" s="332" t="e">
        <v>#N/A</v>
      </c>
      <c r="O39" s="171"/>
    </row>
    <row r="40" spans="6:15" ht="16.350000000000001" customHeight="1">
      <c r="F40" s="258" t="e">
        <v>#N/A</v>
      </c>
      <c r="G40" s="186" t="e">
        <v>#N/A</v>
      </c>
      <c r="H40" s="189" t="e">
        <v>#N/A</v>
      </c>
      <c r="I40" s="331" t="e">
        <v>#N/A</v>
      </c>
      <c r="J40" s="331" t="e">
        <v>#N/A</v>
      </c>
      <c r="K40" s="331" t="e">
        <v>#N/A</v>
      </c>
      <c r="L40" s="331" t="e">
        <v>#N/A</v>
      </c>
      <c r="M40" s="331" t="e">
        <v>#N/A</v>
      </c>
      <c r="N40" s="332" t="e">
        <v>#N/A</v>
      </c>
      <c r="O40" s="171"/>
    </row>
    <row r="41" spans="6:15" ht="16.350000000000001" customHeight="1">
      <c r="F41" s="259" t="e">
        <v>#N/A</v>
      </c>
      <c r="G41" s="190" t="e">
        <v>#N/A</v>
      </c>
      <c r="H41" s="191" t="e">
        <v>#N/A</v>
      </c>
      <c r="I41" s="333" t="e">
        <v>#N/A</v>
      </c>
      <c r="J41" s="333" t="e">
        <v>#N/A</v>
      </c>
      <c r="K41" s="333" t="e">
        <v>#N/A</v>
      </c>
      <c r="L41" s="333" t="e">
        <v>#N/A</v>
      </c>
      <c r="M41" s="333" t="e">
        <v>#N/A</v>
      </c>
      <c r="N41" s="334" t="e">
        <v>#N/A</v>
      </c>
      <c r="O41" s="171"/>
    </row>
  </sheetData>
  <phoneticPr fontId="0" type="noConversion"/>
  <pageMargins left="0.78740157499999996" right="0.78740157499999996" top="0.984251969" bottom="0.984251969" header="0.4921259845" footer="0.4921259845"/>
  <pageSetup paperSize="9" orientation="portrait" horizontalDpi="0" verticalDpi="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tblFlashExpert"/>
  <dimension ref="A2:N37"/>
  <sheetViews>
    <sheetView zoomScale="90" zoomScaleNormal="90" workbookViewId="0">
      <selection activeCell="C34" sqref="C34"/>
    </sheetView>
  </sheetViews>
  <sheetFormatPr baseColWidth="10" defaultColWidth="11.42578125" defaultRowHeight="15"/>
  <cols>
    <col min="1" max="1" width="15.7109375" style="71" customWidth="1"/>
    <col min="2" max="2" width="13.7109375" style="71" customWidth="1"/>
    <col min="3" max="4" width="15.7109375" style="71" customWidth="1"/>
    <col min="5" max="6" width="9.7109375" style="71" customWidth="1"/>
    <col min="7" max="7" width="3.7109375" style="71" customWidth="1"/>
    <col min="8" max="8" width="20.7109375" style="71" customWidth="1"/>
    <col min="9" max="9" width="15.7109375" style="118" customWidth="1"/>
    <col min="10" max="10" width="9.7109375" style="71" customWidth="1"/>
    <col min="11" max="13" width="15.7109375" style="71" customWidth="1"/>
  </cols>
  <sheetData>
    <row r="2" spans="1:14" ht="18.75">
      <c r="A2" s="68" t="s">
        <v>14</v>
      </c>
      <c r="B2" s="69"/>
      <c r="C2" s="69"/>
      <c r="D2" s="69"/>
      <c r="E2" s="69"/>
      <c r="H2" s="68" t="s">
        <v>356</v>
      </c>
      <c r="I2" s="115"/>
    </row>
    <row r="3" spans="1:14" ht="15.75" customHeight="1">
      <c r="A3" s="70"/>
      <c r="H3" s="93" t="str">
        <f>[2]!ERRORTEXT(H4)</f>
        <v/>
      </c>
    </row>
    <row r="4" spans="1:14">
      <c r="A4" s="127" t="s">
        <v>0</v>
      </c>
      <c r="B4" s="181"/>
      <c r="H4" s="165" t="str">
        <f t="array" ref="H4:M36">[2]!FLASHEXPERT(B6,B7,B8,A18:A37,B18:B37,E18:E37,F18,C18:C37,D18:D37,B4,B10,C15,D15,E15)</f>
        <v>Description</v>
      </c>
      <c r="I4" s="166" t="str">
        <v>Symbol</v>
      </c>
      <c r="J4" s="167" t="str">
        <v>Unit</v>
      </c>
      <c r="K4" s="104" t="str">
        <v>vap</v>
      </c>
      <c r="L4" s="104" t="str">
        <v>liq</v>
      </c>
      <c r="M4" s="168" t="str">
        <v>Overall</v>
      </c>
    </row>
    <row r="5" spans="1:14">
      <c r="A5" s="128"/>
      <c r="H5" s="271" t="str">
        <v>temperature</v>
      </c>
      <c r="I5" s="187" t="str">
        <v>T</v>
      </c>
      <c r="J5" s="188" t="str">
        <v>K</v>
      </c>
      <c r="K5" s="288">
        <v>290</v>
      </c>
      <c r="L5" s="288">
        <v>290</v>
      </c>
      <c r="M5" s="289">
        <v>290</v>
      </c>
      <c r="N5" s="93" t="str">
        <f>[2]!ERRORTEXT(M5)</f>
        <v/>
      </c>
    </row>
    <row r="6" spans="1:14">
      <c r="A6" s="127" t="s">
        <v>13</v>
      </c>
      <c r="B6" s="266" t="s">
        <v>318</v>
      </c>
      <c r="H6" s="258" t="str">
        <v>pressure</v>
      </c>
      <c r="I6" s="186" t="str">
        <v>P</v>
      </c>
      <c r="J6" s="189" t="str">
        <v>MPa</v>
      </c>
      <c r="K6" s="274">
        <v>1</v>
      </c>
      <c r="L6" s="274">
        <v>1</v>
      </c>
      <c r="M6" s="290">
        <v>1</v>
      </c>
      <c r="N6" s="93" t="str">
        <f>[2]!ERRORTEXT(M6)</f>
        <v/>
      </c>
    </row>
    <row r="7" spans="1:14">
      <c r="A7" s="127" t="s">
        <v>11</v>
      </c>
      <c r="B7" s="267">
        <v>290</v>
      </c>
      <c r="C7" s="71" t="str">
        <f>[2]!PROPUNIT(LEFT(B6,1),B9)</f>
        <v>K</v>
      </c>
      <c r="H7" s="258" t="str">
        <v>density</v>
      </c>
      <c r="I7" s="186" t="str">
        <v>D</v>
      </c>
      <c r="J7" s="189" t="str">
        <v>mol/m3</v>
      </c>
      <c r="K7" s="274">
        <v>437.20433411643489</v>
      </c>
      <c r="L7" s="274">
        <v>55134.271154602786</v>
      </c>
      <c r="M7" s="291">
        <v>872.40995681019785</v>
      </c>
      <c r="N7" s="93" t="str">
        <f>[2]!ERRORTEXT(M7)</f>
        <v/>
      </c>
    </row>
    <row r="8" spans="1:14">
      <c r="A8" s="127" t="s">
        <v>12</v>
      </c>
      <c r="B8" s="268">
        <v>1</v>
      </c>
      <c r="C8" s="71" t="str">
        <f>_xlfn.IFS(LEN(TRIM(B6))&lt;4,[2]!PROPUNIT(MID(B6,2,1),"molar",B10),LEN(B6)&gt;3,"-")</f>
        <v>MPa</v>
      </c>
      <c r="H8" s="258" t="str">
        <v>int. energy</v>
      </c>
      <c r="I8" s="186" t="str">
        <v>U</v>
      </c>
      <c r="J8" s="189" t="str">
        <v>J/mol</v>
      </c>
      <c r="K8" s="274">
        <v>18584.222422388266</v>
      </c>
      <c r="L8" s="274">
        <v>1228.9748069133529</v>
      </c>
      <c r="M8" s="292">
        <v>9857.2762203393304</v>
      </c>
      <c r="N8" s="93" t="str">
        <f>[2]!ERRORTEXT(M8)</f>
        <v/>
      </c>
    </row>
    <row r="9" spans="1:14">
      <c r="A9" s="129"/>
      <c r="B9"/>
      <c r="D9"/>
      <c r="E9"/>
      <c r="F9"/>
      <c r="H9" s="258" t="str">
        <v>enthalpy</v>
      </c>
      <c r="I9" s="186" t="str">
        <v>H</v>
      </c>
      <c r="J9" s="189" t="str">
        <v>J/mol</v>
      </c>
      <c r="K9" s="274">
        <v>20871.482456122711</v>
      </c>
      <c r="L9" s="274">
        <v>1247.112346034256</v>
      </c>
      <c r="M9" s="290">
        <v>11003.526320070045</v>
      </c>
      <c r="N9" s="93" t="str">
        <f>[2]!ERRORTEXT(M9)</f>
        <v/>
      </c>
    </row>
    <row r="10" spans="1:14">
      <c r="A10" s="127" t="s">
        <v>374</v>
      </c>
      <c r="B10" s="181" t="b">
        <v>1</v>
      </c>
      <c r="C10" s="118"/>
      <c r="D10" s="118"/>
      <c r="E10" s="118"/>
      <c r="F10" s="118"/>
      <c r="H10" s="258" t="str">
        <v>entropy</v>
      </c>
      <c r="I10" s="186" t="str">
        <v>S</v>
      </c>
      <c r="J10" s="189" t="str">
        <v>J/(mol K)</v>
      </c>
      <c r="K10" s="274">
        <v>100.99345788201016</v>
      </c>
      <c r="L10" s="274">
        <v>4.6417148271171662</v>
      </c>
      <c r="M10" s="290">
        <v>52.543761470652804</v>
      </c>
      <c r="N10" s="93" t="str">
        <f>[2]!ERRORTEXT(M10)</f>
        <v/>
      </c>
    </row>
    <row r="11" spans="1:14">
      <c r="H11" s="258" t="str">
        <v>gibbs energy</v>
      </c>
      <c r="I11" s="186" t="str">
        <v>G</v>
      </c>
      <c r="J11" s="189" t="str">
        <v>J/mol</v>
      </c>
      <c r="K11" s="274">
        <v>-8416.6203296602416</v>
      </c>
      <c r="L11" s="274">
        <v>-98.984953829722073</v>
      </c>
      <c r="M11" s="290">
        <v>-4234.1645064192708</v>
      </c>
      <c r="N11" s="93" t="str">
        <f>[2]!ERRORTEXT(M11)</f>
        <v/>
      </c>
    </row>
    <row r="12" spans="1:14" ht="18.75">
      <c r="C12" s="299" t="s">
        <v>406</v>
      </c>
      <c r="D12" s="298"/>
      <c r="E12" s="298"/>
      <c r="H12" s="258" t="str">
        <v>helmholtz energy</v>
      </c>
      <c r="I12" s="186" t="str">
        <v>A</v>
      </c>
      <c r="J12" s="189" t="str">
        <v>J/mol</v>
      </c>
      <c r="K12" s="274">
        <v>-10703.880363394683</v>
      </c>
      <c r="L12" s="274">
        <v>-117.1224929506252</v>
      </c>
      <c r="M12" s="290">
        <v>-5380.4146061499823</v>
      </c>
      <c r="N12" s="93" t="str">
        <f>[2]!ERRORTEXT(M12)</f>
        <v/>
      </c>
    </row>
    <row r="13" spans="1:14">
      <c r="C13" s="126" t="s">
        <v>357</v>
      </c>
      <c r="D13" s="126" t="s">
        <v>358</v>
      </c>
      <c r="E13" s="126" t="s">
        <v>368</v>
      </c>
      <c r="H13" s="258" t="str">
        <v>isob. heat capacity</v>
      </c>
      <c r="I13" s="186" t="str">
        <v>CP</v>
      </c>
      <c r="J13" s="189" t="str">
        <v>J/(mol K)</v>
      </c>
      <c r="K13" s="274">
        <v>39.956058797887714</v>
      </c>
      <c r="L13" s="274">
        <v>77.040396673861792</v>
      </c>
      <c r="M13" s="290">
        <v>58.603618818504309</v>
      </c>
      <c r="N13" s="93" t="str">
        <f>[2]!ERRORTEXT(M13)</f>
        <v/>
      </c>
    </row>
    <row r="14" spans="1:14">
      <c r="C14" s="126" t="str">
        <f>[2]!PROPUNIT("D","molar")</f>
        <v>mol/m3</v>
      </c>
      <c r="D14" s="126" t="str">
        <f>[2]!PROPUNIT("D","molar")</f>
        <v>mol/m3</v>
      </c>
      <c r="E14" s="126" t="s">
        <v>42</v>
      </c>
      <c r="H14" s="258" t="str">
        <v>isoch. heat capacity</v>
      </c>
      <c r="I14" s="186" t="str">
        <v>CV</v>
      </c>
      <c r="J14" s="189" t="str">
        <v>J/(mol K)</v>
      </c>
      <c r="K14" s="274">
        <v>29.410940853342371</v>
      </c>
      <c r="L14" s="274">
        <v>75.737939375375475</v>
      </c>
      <c r="M14" s="290">
        <v>52.706098189138196</v>
      </c>
      <c r="N14" s="93" t="str">
        <f>[2]!ERRORTEXT(M14)</f>
        <v/>
      </c>
    </row>
    <row r="15" spans="1:14">
      <c r="C15" s="295">
        <v>500</v>
      </c>
      <c r="D15" s="295">
        <v>55000</v>
      </c>
      <c r="E15" s="295">
        <v>0</v>
      </c>
      <c r="H15" s="258" t="str">
        <v>speed of sound</v>
      </c>
      <c r="I15" s="186" t="str">
        <v>WS</v>
      </c>
      <c r="J15" s="189" t="str">
        <v>m/s</v>
      </c>
      <c r="K15" s="274">
        <v>267.39282328094379</v>
      </c>
      <c r="L15" s="274">
        <v>1551.0311140149709</v>
      </c>
      <c r="M15" s="290">
        <v>912.85997847942997</v>
      </c>
      <c r="N15" s="93" t="str">
        <f>[2]!ERRORTEXT(M15)</f>
        <v/>
      </c>
    </row>
    <row r="16" spans="1:14">
      <c r="H16" s="259" t="str">
        <v>phase fraction</v>
      </c>
      <c r="I16" s="190" t="str">
        <v>BETA</v>
      </c>
      <c r="J16" s="191" t="str">
        <v>mol/mol</v>
      </c>
      <c r="K16" s="283">
        <v>0.49715807026184405</v>
      </c>
      <c r="L16" s="284">
        <v>0.50284192973815589</v>
      </c>
      <c r="M16" s="285" t="str">
        <v/>
      </c>
      <c r="N16" s="90"/>
    </row>
    <row r="17" spans="1:14">
      <c r="A17" s="72" t="s">
        <v>1</v>
      </c>
      <c r="B17" s="117" t="s">
        <v>354</v>
      </c>
      <c r="C17" s="72" t="s">
        <v>359</v>
      </c>
      <c r="D17" s="72" t="s">
        <v>360</v>
      </c>
      <c r="E17" s="149" t="s">
        <v>87</v>
      </c>
      <c r="F17" s="149" t="s">
        <v>88</v>
      </c>
      <c r="H17" s="258" t="str">
        <v>mole fractions</v>
      </c>
      <c r="I17" s="186" t="str">
        <v>x_water</v>
      </c>
      <c r="J17" s="189" t="str">
        <v>mol/mol</v>
      </c>
      <c r="K17" s="277">
        <v>2.1683369692103598E-3</v>
      </c>
      <c r="L17" s="277">
        <v>0.99220443696195504</v>
      </c>
      <c r="M17" s="293">
        <v>0.5</v>
      </c>
      <c r="N17" s="171"/>
    </row>
    <row r="18" spans="1:14">
      <c r="A18" s="296" t="s">
        <v>246</v>
      </c>
      <c r="B18" s="114">
        <f>1-SUM(B19:B37)</f>
        <v>0.5</v>
      </c>
      <c r="C18" s="161">
        <f t="shared" ref="C18" si="0">1-SUM(C19:C37)</f>
        <v>1.0000000000000009E-2</v>
      </c>
      <c r="D18" s="161">
        <f>1-SUM(D19:D37)</f>
        <v>0.99</v>
      </c>
      <c r="E18" s="297">
        <v>1</v>
      </c>
      <c r="F18" s="181">
        <v>1</v>
      </c>
      <c r="H18" s="258" t="str">
        <v/>
      </c>
      <c r="I18" s="186" t="str">
        <v>x_co2</v>
      </c>
      <c r="J18" s="189" t="str">
        <v>mol/mol</v>
      </c>
      <c r="K18" s="277">
        <v>0.89728191909635135</v>
      </c>
      <c r="L18" s="277">
        <v>7.7739193771080182E-3</v>
      </c>
      <c r="M18" s="293">
        <v>0.44999999999999996</v>
      </c>
      <c r="N18" s="171"/>
    </row>
    <row r="19" spans="1:14">
      <c r="A19" s="296" t="s">
        <v>89</v>
      </c>
      <c r="B19" s="297">
        <v>0.45</v>
      </c>
      <c r="C19" s="297">
        <v>0.9</v>
      </c>
      <c r="D19" s="297">
        <v>5.0000000000000001E-3</v>
      </c>
      <c r="E19" s="297">
        <v>1</v>
      </c>
      <c r="H19" s="258" t="str">
        <v/>
      </c>
      <c r="I19" s="186" t="str">
        <v>x_methane</v>
      </c>
      <c r="J19" s="189" t="str">
        <v>mol/mol</v>
      </c>
      <c r="K19" s="277">
        <v>0.10054974393443827</v>
      </c>
      <c r="L19" s="277">
        <v>2.164366093693193E-5</v>
      </c>
      <c r="M19" s="293">
        <v>5.0000000000000017E-2</v>
      </c>
      <c r="N19" s="171"/>
    </row>
    <row r="20" spans="1:14">
      <c r="A20" s="296" t="s">
        <v>242</v>
      </c>
      <c r="B20" s="297">
        <v>0.05</v>
      </c>
      <c r="C20" s="297">
        <v>0.09</v>
      </c>
      <c r="D20" s="297">
        <v>5.0000000000000001E-3</v>
      </c>
      <c r="E20" s="297">
        <v>1</v>
      </c>
      <c r="H20" s="258" t="e">
        <v>#N/A</v>
      </c>
      <c r="I20" s="186" t="e">
        <v>#N/A</v>
      </c>
      <c r="J20" s="189" t="e">
        <v>#N/A</v>
      </c>
      <c r="K20" s="277" t="e">
        <v>#N/A</v>
      </c>
      <c r="L20" s="277" t="e">
        <v>#N/A</v>
      </c>
      <c r="M20" s="293" t="e">
        <v>#N/A</v>
      </c>
      <c r="N20" s="171"/>
    </row>
    <row r="21" spans="1:14">
      <c r="A21" s="296"/>
      <c r="B21" s="297"/>
      <c r="C21" s="297"/>
      <c r="D21" s="297"/>
      <c r="E21" s="297"/>
      <c r="H21" s="258" t="e">
        <v>#N/A</v>
      </c>
      <c r="I21" s="186" t="e">
        <v>#N/A</v>
      </c>
      <c r="J21" s="189" t="e">
        <v>#N/A</v>
      </c>
      <c r="K21" s="277" t="e">
        <v>#N/A</v>
      </c>
      <c r="L21" s="277" t="e">
        <v>#N/A</v>
      </c>
      <c r="M21" s="293" t="e">
        <v>#N/A</v>
      </c>
      <c r="N21" s="171"/>
    </row>
    <row r="22" spans="1:14">
      <c r="A22" s="269"/>
      <c r="B22" s="180"/>
      <c r="C22" s="297"/>
      <c r="D22" s="297"/>
      <c r="E22" s="179"/>
      <c r="H22" s="258" t="e">
        <v>#N/A</v>
      </c>
      <c r="I22" s="186" t="e">
        <v>#N/A</v>
      </c>
      <c r="J22" s="189" t="e">
        <v>#N/A</v>
      </c>
      <c r="K22" s="277" t="e">
        <v>#N/A</v>
      </c>
      <c r="L22" s="277" t="e">
        <v>#N/A</v>
      </c>
      <c r="M22" s="293" t="e">
        <v>#N/A</v>
      </c>
      <c r="N22" s="171"/>
    </row>
    <row r="23" spans="1:14">
      <c r="A23" s="177"/>
      <c r="B23" s="180"/>
      <c r="C23" s="297"/>
      <c r="D23" s="297"/>
      <c r="E23" s="179"/>
      <c r="H23" s="258" t="e">
        <v>#N/A</v>
      </c>
      <c r="I23" s="186" t="e">
        <v>#N/A</v>
      </c>
      <c r="J23" s="189" t="e">
        <v>#N/A</v>
      </c>
      <c r="K23" s="277" t="e">
        <v>#N/A</v>
      </c>
      <c r="L23" s="277" t="e">
        <v>#N/A</v>
      </c>
      <c r="M23" s="293" t="e">
        <v>#N/A</v>
      </c>
      <c r="N23" s="171"/>
    </row>
    <row r="24" spans="1:14">
      <c r="A24" s="178"/>
      <c r="B24" s="181"/>
      <c r="C24" s="297"/>
      <c r="D24" s="297"/>
      <c r="E24" s="179"/>
      <c r="H24" s="258" t="e">
        <v>#N/A</v>
      </c>
      <c r="I24" s="186" t="e">
        <v>#N/A</v>
      </c>
      <c r="J24" s="189" t="e">
        <v>#N/A</v>
      </c>
      <c r="K24" s="277" t="e">
        <v>#N/A</v>
      </c>
      <c r="L24" s="277" t="e">
        <v>#N/A</v>
      </c>
      <c r="M24" s="293" t="e">
        <v>#N/A</v>
      </c>
      <c r="N24" s="171"/>
    </row>
    <row r="25" spans="1:14">
      <c r="A25" s="178"/>
      <c r="B25" s="181"/>
      <c r="C25" s="297"/>
      <c r="D25" s="297"/>
      <c r="E25" s="179"/>
      <c r="H25" s="258" t="e">
        <v>#N/A</v>
      </c>
      <c r="I25" s="186" t="e">
        <v>#N/A</v>
      </c>
      <c r="J25" s="189" t="e">
        <v>#N/A</v>
      </c>
      <c r="K25" s="277" t="e">
        <v>#N/A</v>
      </c>
      <c r="L25" s="277" t="e">
        <v>#N/A</v>
      </c>
      <c r="M25" s="293" t="e">
        <v>#N/A</v>
      </c>
      <c r="N25" s="171"/>
    </row>
    <row r="26" spans="1:14">
      <c r="A26" s="178"/>
      <c r="B26" s="181"/>
      <c r="C26" s="297"/>
      <c r="D26" s="297"/>
      <c r="E26" s="179"/>
      <c r="H26" s="258" t="e">
        <v>#N/A</v>
      </c>
      <c r="I26" s="186" t="e">
        <v>#N/A</v>
      </c>
      <c r="J26" s="189" t="e">
        <v>#N/A</v>
      </c>
      <c r="K26" s="277" t="e">
        <v>#N/A</v>
      </c>
      <c r="L26" s="277" t="e">
        <v>#N/A</v>
      </c>
      <c r="M26" s="293" t="e">
        <v>#N/A</v>
      </c>
      <c r="N26" s="171"/>
    </row>
    <row r="27" spans="1:14">
      <c r="A27" s="178"/>
      <c r="B27" s="181"/>
      <c r="C27" s="297"/>
      <c r="D27" s="297"/>
      <c r="E27" s="179"/>
      <c r="H27" s="258" t="e">
        <v>#N/A</v>
      </c>
      <c r="I27" s="186" t="e">
        <v>#N/A</v>
      </c>
      <c r="J27" s="189" t="e">
        <v>#N/A</v>
      </c>
      <c r="K27" s="277" t="e">
        <v>#N/A</v>
      </c>
      <c r="L27" s="277" t="e">
        <v>#N/A</v>
      </c>
      <c r="M27" s="293" t="e">
        <v>#N/A</v>
      </c>
      <c r="N27" s="171"/>
    </row>
    <row r="28" spans="1:14">
      <c r="A28" s="178"/>
      <c r="B28" s="270"/>
      <c r="C28" s="297"/>
      <c r="D28" s="297"/>
      <c r="E28" s="179"/>
      <c r="H28" s="258" t="e">
        <v>#N/A</v>
      </c>
      <c r="I28" s="186" t="e">
        <v>#N/A</v>
      </c>
      <c r="J28" s="189" t="e">
        <v>#N/A</v>
      </c>
      <c r="K28" s="277" t="e">
        <v>#N/A</v>
      </c>
      <c r="L28" s="277" t="e">
        <v>#N/A</v>
      </c>
      <c r="M28" s="293" t="e">
        <v>#N/A</v>
      </c>
      <c r="N28" s="171"/>
    </row>
    <row r="29" spans="1:14">
      <c r="A29" s="178"/>
      <c r="B29" s="270"/>
      <c r="C29" s="297"/>
      <c r="D29" s="297"/>
      <c r="E29" s="181"/>
      <c r="H29" s="258" t="e">
        <v>#N/A</v>
      </c>
      <c r="I29" s="186" t="e">
        <v>#N/A</v>
      </c>
      <c r="J29" s="189" t="e">
        <v>#N/A</v>
      </c>
      <c r="K29" s="277" t="e">
        <v>#N/A</v>
      </c>
      <c r="L29" s="277" t="e">
        <v>#N/A</v>
      </c>
      <c r="M29" s="293" t="e">
        <v>#N/A</v>
      </c>
      <c r="N29" s="171"/>
    </row>
    <row r="30" spans="1:14">
      <c r="A30" s="178"/>
      <c r="B30" s="270"/>
      <c r="C30" s="297"/>
      <c r="D30" s="297"/>
      <c r="E30" s="181"/>
      <c r="H30" s="258" t="e">
        <v>#N/A</v>
      </c>
      <c r="I30" s="186" t="e">
        <v>#N/A</v>
      </c>
      <c r="J30" s="189" t="e">
        <v>#N/A</v>
      </c>
      <c r="K30" s="277" t="e">
        <v>#N/A</v>
      </c>
      <c r="L30" s="277" t="e">
        <v>#N/A</v>
      </c>
      <c r="M30" s="293" t="e">
        <v>#N/A</v>
      </c>
      <c r="N30" s="171"/>
    </row>
    <row r="31" spans="1:14">
      <c r="A31" s="178"/>
      <c r="B31" s="181"/>
      <c r="C31" s="297"/>
      <c r="D31" s="297"/>
      <c r="E31" s="181"/>
      <c r="H31" s="258" t="e">
        <v>#N/A</v>
      </c>
      <c r="I31" s="186" t="e">
        <v>#N/A</v>
      </c>
      <c r="J31" s="189" t="e">
        <v>#N/A</v>
      </c>
      <c r="K31" s="277" t="e">
        <v>#N/A</v>
      </c>
      <c r="L31" s="277" t="e">
        <v>#N/A</v>
      </c>
      <c r="M31" s="293" t="e">
        <v>#N/A</v>
      </c>
      <c r="N31" s="171"/>
    </row>
    <row r="32" spans="1:14">
      <c r="A32" s="178"/>
      <c r="B32" s="181"/>
      <c r="C32" s="297"/>
      <c r="D32" s="297"/>
      <c r="E32" s="181"/>
      <c r="H32" s="258" t="e">
        <v>#N/A</v>
      </c>
      <c r="I32" s="186" t="e">
        <v>#N/A</v>
      </c>
      <c r="J32" s="189" t="e">
        <v>#N/A</v>
      </c>
      <c r="K32" s="277" t="e">
        <v>#N/A</v>
      </c>
      <c r="L32" s="277" t="e">
        <v>#N/A</v>
      </c>
      <c r="M32" s="293" t="e">
        <v>#N/A</v>
      </c>
      <c r="N32" s="171"/>
    </row>
    <row r="33" spans="1:14">
      <c r="A33" s="178"/>
      <c r="B33" s="181"/>
      <c r="C33" s="297"/>
      <c r="D33" s="297"/>
      <c r="E33" s="181"/>
      <c r="H33" s="258" t="e">
        <v>#N/A</v>
      </c>
      <c r="I33" s="186" t="e">
        <v>#N/A</v>
      </c>
      <c r="J33" s="189" t="e">
        <v>#N/A</v>
      </c>
      <c r="K33" s="277" t="e">
        <v>#N/A</v>
      </c>
      <c r="L33" s="277" t="e">
        <v>#N/A</v>
      </c>
      <c r="M33" s="293" t="e">
        <v>#N/A</v>
      </c>
      <c r="N33" s="171"/>
    </row>
    <row r="34" spans="1:14">
      <c r="A34" s="178"/>
      <c r="B34" s="181"/>
      <c r="C34" s="297"/>
      <c r="D34" s="297"/>
      <c r="E34" s="181"/>
      <c r="H34" s="258" t="e">
        <v>#N/A</v>
      </c>
      <c r="I34" s="186" t="e">
        <v>#N/A</v>
      </c>
      <c r="J34" s="189" t="e">
        <v>#N/A</v>
      </c>
      <c r="K34" s="277" t="e">
        <v>#N/A</v>
      </c>
      <c r="L34" s="277" t="e">
        <v>#N/A</v>
      </c>
      <c r="M34" s="293" t="e">
        <v>#N/A</v>
      </c>
      <c r="N34" s="171"/>
    </row>
    <row r="35" spans="1:14">
      <c r="A35" s="178"/>
      <c r="B35" s="181"/>
      <c r="C35" s="297"/>
      <c r="D35" s="297"/>
      <c r="E35" s="181"/>
      <c r="H35" s="258" t="e">
        <v>#N/A</v>
      </c>
      <c r="I35" s="186" t="e">
        <v>#N/A</v>
      </c>
      <c r="J35" s="189" t="e">
        <v>#N/A</v>
      </c>
      <c r="K35" s="277" t="e">
        <v>#N/A</v>
      </c>
      <c r="L35" s="277" t="e">
        <v>#N/A</v>
      </c>
      <c r="M35" s="293" t="e">
        <v>#N/A</v>
      </c>
      <c r="N35" s="171"/>
    </row>
    <row r="36" spans="1:14">
      <c r="A36" s="178"/>
      <c r="B36" s="181"/>
      <c r="C36" s="297"/>
      <c r="D36" s="297"/>
      <c r="E36" s="181"/>
      <c r="H36" s="259" t="e">
        <v>#N/A</v>
      </c>
      <c r="I36" s="190" t="e">
        <v>#N/A</v>
      </c>
      <c r="J36" s="191" t="e">
        <v>#N/A</v>
      </c>
      <c r="K36" s="287" t="e">
        <v>#N/A</v>
      </c>
      <c r="L36" s="287" t="e">
        <v>#N/A</v>
      </c>
      <c r="M36" s="294" t="e">
        <v>#N/A</v>
      </c>
      <c r="N36" s="171"/>
    </row>
    <row r="37" spans="1:14">
      <c r="A37" s="178"/>
      <c r="B37" s="181"/>
      <c r="C37" s="297"/>
      <c r="D37" s="297"/>
      <c r="E37" s="181"/>
      <c r="G37" s="92"/>
      <c r="H37" s="92"/>
      <c r="I37" s="114"/>
      <c r="J37" s="92"/>
      <c r="K37" s="92"/>
      <c r="L37" s="92"/>
      <c r="M37" s="92"/>
    </row>
  </sheetData>
  <pageMargins left="0.7" right="0.7" top="0.78740157499999996" bottom="0.78740157499999996"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tblFlash3Expert"/>
  <dimension ref="A2:P37"/>
  <sheetViews>
    <sheetView zoomScale="90" zoomScaleNormal="90" workbookViewId="0">
      <selection activeCell="B7" sqref="B7"/>
    </sheetView>
  </sheetViews>
  <sheetFormatPr baseColWidth="10" defaultColWidth="11.42578125" defaultRowHeight="15"/>
  <cols>
    <col min="1" max="1" width="15.7109375" style="71" customWidth="1"/>
    <col min="2" max="5" width="13.7109375" style="71" customWidth="1"/>
    <col min="6" max="7" width="9.7109375" style="71" customWidth="1"/>
    <col min="8" max="8" width="3.7109375" style="71" customWidth="1"/>
    <col min="9" max="9" width="20.7109375" style="71" customWidth="1"/>
    <col min="10" max="10" width="15.7109375" style="118" customWidth="1"/>
    <col min="11" max="11" width="9.7109375" style="71" customWidth="1"/>
    <col min="12" max="15" width="15.7109375" style="71" customWidth="1"/>
  </cols>
  <sheetData>
    <row r="2" spans="1:16" ht="18.75">
      <c r="A2" s="130" t="s">
        <v>14</v>
      </c>
      <c r="B2" s="69"/>
      <c r="C2" s="69"/>
      <c r="D2" s="69"/>
      <c r="E2" s="69"/>
      <c r="I2" s="68" t="s">
        <v>361</v>
      </c>
      <c r="J2" s="115"/>
    </row>
    <row r="3" spans="1:16" ht="15.75" customHeight="1">
      <c r="A3" s="131"/>
      <c r="I3" s="93" t="str">
        <f>[2]!ERRORTEXT(I4)</f>
        <v/>
      </c>
    </row>
    <row r="4" spans="1:16">
      <c r="A4" s="127" t="s">
        <v>0</v>
      </c>
      <c r="B4" s="181"/>
      <c r="I4" s="165" t="str">
        <f t="array" ref="I4:O36">[2]!FLASH3EXPERT(B6,B7,B8,A18:A37,B18:B37,F18:F37,G18,C18:C37,D18:D37,E18:E37,B4,B10,C14,D14,E14,C15:E15)</f>
        <v>Description</v>
      </c>
      <c r="J4" s="166" t="str">
        <v>Symbol</v>
      </c>
      <c r="K4" s="167" t="str">
        <v>Unit</v>
      </c>
      <c r="L4" s="104" t="str">
        <v>vap</v>
      </c>
      <c r="M4" s="104" t="str">
        <v>liq1</v>
      </c>
      <c r="N4" s="104" t="str">
        <v>liq2</v>
      </c>
      <c r="O4" s="168" t="str">
        <v>Overall</v>
      </c>
    </row>
    <row r="5" spans="1:16">
      <c r="A5" s="128"/>
      <c r="I5" s="271" t="str">
        <v>temperature</v>
      </c>
      <c r="J5" s="187" t="str">
        <v>T</v>
      </c>
      <c r="K5" s="188" t="str">
        <v>K</v>
      </c>
      <c r="L5" s="300">
        <v>295</v>
      </c>
      <c r="M5" s="300">
        <v>295</v>
      </c>
      <c r="N5" s="300">
        <v>295</v>
      </c>
      <c r="O5" s="301">
        <v>295</v>
      </c>
      <c r="P5" s="93" t="str">
        <f>[2]!ERRORTEXT(O5)</f>
        <v/>
      </c>
    </row>
    <row r="6" spans="1:16">
      <c r="A6" s="127" t="s">
        <v>13</v>
      </c>
      <c r="B6" s="266" t="s">
        <v>318</v>
      </c>
      <c r="I6" s="258" t="str">
        <v>pressure</v>
      </c>
      <c r="J6" s="186" t="str">
        <v>P</v>
      </c>
      <c r="K6" s="189" t="str">
        <v>MPa</v>
      </c>
      <c r="L6" s="274">
        <v>7</v>
      </c>
      <c r="M6" s="274">
        <v>7</v>
      </c>
      <c r="N6" s="274">
        <v>7</v>
      </c>
      <c r="O6" s="290">
        <v>7.0000000000000009</v>
      </c>
      <c r="P6" s="93" t="str">
        <f>[2]!ERRORTEXT(O6)</f>
        <v/>
      </c>
    </row>
    <row r="7" spans="1:16">
      <c r="A7" s="127" t="s">
        <v>11</v>
      </c>
      <c r="B7" s="267">
        <v>295</v>
      </c>
      <c r="C7" s="118" t="str">
        <f>[2]!PROPUNIT(LEFT(B6,1),B9)</f>
        <v>K</v>
      </c>
      <c r="I7" s="258" t="str">
        <v>density</v>
      </c>
      <c r="J7" s="186" t="str">
        <v>D</v>
      </c>
      <c r="K7" s="189" t="str">
        <v>mol/m3</v>
      </c>
      <c r="L7" s="274">
        <v>5855.0678623897174</v>
      </c>
      <c r="M7" s="274">
        <v>16393.610328875937</v>
      </c>
      <c r="N7" s="274">
        <v>54367.429954695654</v>
      </c>
      <c r="O7" s="291">
        <v>17095.030106037892</v>
      </c>
      <c r="P7" s="93" t="str">
        <f>[2]!ERRORTEXT(O7)</f>
        <v/>
      </c>
    </row>
    <row r="8" spans="1:16">
      <c r="A8" s="127" t="s">
        <v>12</v>
      </c>
      <c r="B8" s="268">
        <v>7</v>
      </c>
      <c r="C8" s="118" t="str">
        <f>_xlfn.IFS(LEN(TRIM(B6))&lt;4,[2]!PROPUNIT(MID(B6,2,1),"molar",B10),LEN(B6)&gt;3,"-")</f>
        <v>MPa</v>
      </c>
      <c r="I8" s="258" t="str">
        <v>int. energy</v>
      </c>
      <c r="J8" s="186" t="str">
        <v>U</v>
      </c>
      <c r="K8" s="189" t="str">
        <v>J/mol</v>
      </c>
      <c r="L8" s="274">
        <v>15245.498365264039</v>
      </c>
      <c r="M8" s="274">
        <v>11362.36719368223</v>
      </c>
      <c r="N8" s="274">
        <v>1579.0707174725931</v>
      </c>
      <c r="O8" s="292">
        <v>7123.5638354582643</v>
      </c>
      <c r="P8" s="93" t="str">
        <f>[2]!ERRORTEXT(O8)</f>
        <v/>
      </c>
    </row>
    <row r="9" spans="1:16">
      <c r="A9" s="129"/>
      <c r="B9"/>
      <c r="I9" s="258" t="str">
        <v>enthalpy</v>
      </c>
      <c r="J9" s="186" t="str">
        <v>H</v>
      </c>
      <c r="K9" s="189" t="str">
        <v>J/mol</v>
      </c>
      <c r="L9" s="274">
        <v>16441.043859273563</v>
      </c>
      <c r="M9" s="274">
        <v>11789.362825490685</v>
      </c>
      <c r="N9" s="274">
        <v>1707.824274625526</v>
      </c>
      <c r="O9" s="290">
        <v>7533.0395694329354</v>
      </c>
      <c r="P9" s="93" t="str">
        <f>[2]!ERRORTEXT(O9)</f>
        <v/>
      </c>
    </row>
    <row r="10" spans="1:16">
      <c r="A10" s="127" t="s">
        <v>374</v>
      </c>
      <c r="B10" s="181" t="b">
        <v>1</v>
      </c>
      <c r="C10" s="118"/>
      <c r="E10"/>
      <c r="F10"/>
      <c r="G10"/>
      <c r="I10" s="258" t="str">
        <v>entropy</v>
      </c>
      <c r="J10" s="186" t="str">
        <v>S</v>
      </c>
      <c r="K10" s="189" t="str">
        <v>J/(mol K)</v>
      </c>
      <c r="L10" s="274">
        <v>79.097619776915849</v>
      </c>
      <c r="M10" s="274">
        <v>57.137171144544759</v>
      </c>
      <c r="N10" s="274">
        <v>6.1766084034441011</v>
      </c>
      <c r="O10" s="290">
        <v>35.355325269578579</v>
      </c>
      <c r="P10" s="93" t="str">
        <f>[2]!ERRORTEXT(O10)</f>
        <v/>
      </c>
    </row>
    <row r="11" spans="1:16">
      <c r="A11" s="132"/>
      <c r="I11" s="258" t="str">
        <v>gibbs energy</v>
      </c>
      <c r="J11" s="186" t="str">
        <v>G</v>
      </c>
      <c r="K11" s="189" t="str">
        <v>J/mol</v>
      </c>
      <c r="L11" s="274">
        <v>-6892.7539749166117</v>
      </c>
      <c r="M11" s="274">
        <v>-5066.1026621500205</v>
      </c>
      <c r="N11" s="274">
        <v>-114.27520439048386</v>
      </c>
      <c r="O11" s="290">
        <v>-2896.781385092745</v>
      </c>
      <c r="P11" s="93" t="str">
        <f>[2]!ERRORTEXT(O11)</f>
        <v/>
      </c>
    </row>
    <row r="12" spans="1:16" ht="18.75">
      <c r="B12" s="299" t="s">
        <v>406</v>
      </c>
      <c r="C12" s="302"/>
      <c r="D12" s="298"/>
      <c r="E12" s="298"/>
      <c r="I12" s="258" t="str">
        <v>helmholtz energy</v>
      </c>
      <c r="J12" s="186" t="str">
        <v>A</v>
      </c>
      <c r="K12" s="189" t="str">
        <v>J/mol</v>
      </c>
      <c r="L12" s="274">
        <v>-8088.2994689261332</v>
      </c>
      <c r="M12" s="274">
        <v>-5493.0982939584746</v>
      </c>
      <c r="N12" s="274">
        <v>-243.02876154341672</v>
      </c>
      <c r="O12" s="290">
        <v>-3306.2571190674153</v>
      </c>
      <c r="P12" s="93" t="str">
        <f>[2]!ERRORTEXT(O12)</f>
        <v/>
      </c>
    </row>
    <row r="13" spans="1:16">
      <c r="B13" s="126"/>
      <c r="C13" s="126" t="s">
        <v>370</v>
      </c>
      <c r="D13" s="126" t="s">
        <v>348</v>
      </c>
      <c r="E13" s="126" t="s">
        <v>349</v>
      </c>
      <c r="I13" s="258" t="str">
        <v>isob. heat capacity</v>
      </c>
      <c r="J13" s="186" t="str">
        <v>CP</v>
      </c>
      <c r="K13" s="189" t="str">
        <v>J/(mol K)</v>
      </c>
      <c r="L13" s="274">
        <v>234.86663429344964</v>
      </c>
      <c r="M13" s="274">
        <v>230.30103240925999</v>
      </c>
      <c r="N13" s="274">
        <v>80.746406649405273</v>
      </c>
      <c r="O13" s="290">
        <v>156.08988199598957</v>
      </c>
      <c r="P13" s="93" t="str">
        <f>[2]!ERRORTEXT(O13)</f>
        <v/>
      </c>
    </row>
    <row r="14" spans="1:16">
      <c r="B14" s="127" t="s">
        <v>369</v>
      </c>
      <c r="C14" s="295">
        <v>5000</v>
      </c>
      <c r="D14" s="295">
        <v>17000</v>
      </c>
      <c r="E14" s="295">
        <v>55000</v>
      </c>
      <c r="F14" s="71" t="str">
        <f>[2]!PROPUNIT("D","molar")</f>
        <v>mol/m3</v>
      </c>
      <c r="I14" s="258" t="str">
        <v>isoch. heat capacity</v>
      </c>
      <c r="J14" s="186" t="str">
        <v>CV</v>
      </c>
      <c r="K14" s="189" t="str">
        <v>J/(mol K)</v>
      </c>
      <c r="L14" s="274">
        <v>46.279185178482422</v>
      </c>
      <c r="M14" s="274">
        <v>45.73917500737047</v>
      </c>
      <c r="N14" s="274">
        <v>75.959169650233633</v>
      </c>
      <c r="O14" s="290">
        <v>60.986037502294238</v>
      </c>
      <c r="P14" s="93" t="str">
        <f>[2]!ERRORTEXT(O14)</f>
        <v/>
      </c>
    </row>
    <row r="15" spans="1:16">
      <c r="B15" s="164" t="s">
        <v>413</v>
      </c>
      <c r="C15" s="295">
        <v>0.48</v>
      </c>
      <c r="D15" s="295">
        <v>0.01</v>
      </c>
      <c r="E15" s="295">
        <v>0.51</v>
      </c>
      <c r="I15" s="258" t="str">
        <v>speed of sound</v>
      </c>
      <c r="J15" s="186" t="str">
        <v>WS</v>
      </c>
      <c r="K15" s="189" t="str">
        <v>m/s</v>
      </c>
      <c r="L15" s="274">
        <v>200.68488082275562</v>
      </c>
      <c r="M15" s="274">
        <v>290.44048514051286</v>
      </c>
      <c r="N15" s="274">
        <v>1712.8317748694049</v>
      </c>
      <c r="O15" s="290">
        <v>988.29149482456614</v>
      </c>
      <c r="P15" s="93" t="str">
        <f>[2]!ERRORTEXT(O15)</f>
        <v/>
      </c>
    </row>
    <row r="16" spans="1:16">
      <c r="I16" s="259" t="str">
        <v>phase fraction</v>
      </c>
      <c r="J16" s="190" t="str">
        <v>BETA</v>
      </c>
      <c r="K16" s="191" t="str">
        <v>mol/mol</v>
      </c>
      <c r="L16" s="283">
        <v>0.17179924126976073</v>
      </c>
      <c r="M16" s="284">
        <v>0.32674173015203256</v>
      </c>
      <c r="N16" s="284">
        <v>0.50145902857820679</v>
      </c>
      <c r="O16" s="285" t="str">
        <v/>
      </c>
      <c r="P16" s="90"/>
    </row>
    <row r="17" spans="1:16">
      <c r="A17" s="149" t="s">
        <v>1</v>
      </c>
      <c r="B17" s="149" t="s">
        <v>354</v>
      </c>
      <c r="C17" s="72" t="s">
        <v>359</v>
      </c>
      <c r="D17" s="72" t="s">
        <v>362</v>
      </c>
      <c r="E17" s="72" t="s">
        <v>363</v>
      </c>
      <c r="F17" s="149" t="s">
        <v>87</v>
      </c>
      <c r="G17" s="149" t="s">
        <v>88</v>
      </c>
      <c r="I17" s="258" t="str">
        <v>mole fractions</v>
      </c>
      <c r="J17" s="186" t="str">
        <v>x_water</v>
      </c>
      <c r="K17" s="189" t="str">
        <v>mol/mol</v>
      </c>
      <c r="L17" s="277">
        <v>1.3014116220158261E-3</v>
      </c>
      <c r="M17" s="277">
        <v>2.7310222999402181E-3</v>
      </c>
      <c r="N17" s="277">
        <v>0.97492327719253713</v>
      </c>
      <c r="O17" s="293">
        <v>0.48999999999985971</v>
      </c>
      <c r="P17" s="90"/>
    </row>
    <row r="18" spans="1:16">
      <c r="A18" s="296" t="s">
        <v>246</v>
      </c>
      <c r="B18" s="114">
        <f>1-SUM(B19:B37)</f>
        <v>0.49</v>
      </c>
      <c r="C18" s="161">
        <f t="shared" ref="C18:E18" si="0">1-SUM(C19:C37)</f>
        <v>1.0000000000000009E-2</v>
      </c>
      <c r="D18" s="161">
        <f t="shared" si="0"/>
        <v>1.0000000000000009E-2</v>
      </c>
      <c r="E18" s="161">
        <f t="shared" si="0"/>
        <v>0.99</v>
      </c>
      <c r="F18" s="297">
        <v>1</v>
      </c>
      <c r="G18" s="181">
        <v>1</v>
      </c>
      <c r="I18" s="258" t="str">
        <v/>
      </c>
      <c r="J18" s="186" t="str">
        <v>x_co2</v>
      </c>
      <c r="K18" s="189" t="str">
        <v>mol/mol</v>
      </c>
      <c r="L18" s="277">
        <v>0.92793070078590556</v>
      </c>
      <c r="M18" s="277">
        <v>0.97336646535202498</v>
      </c>
      <c r="N18" s="277">
        <v>2.5012545349274353E-2</v>
      </c>
      <c r="O18" s="293">
        <v>0.49000000000014049</v>
      </c>
      <c r="P18" s="90"/>
    </row>
    <row r="19" spans="1:16">
      <c r="A19" s="296" t="s">
        <v>89</v>
      </c>
      <c r="B19" s="297">
        <v>0.49</v>
      </c>
      <c r="C19" s="297">
        <v>0.9</v>
      </c>
      <c r="D19" s="297">
        <v>0.95</v>
      </c>
      <c r="E19" s="297">
        <v>5.0000000000000001E-3</v>
      </c>
      <c r="F19" s="297">
        <v>1</v>
      </c>
      <c r="I19" s="258" t="str">
        <v/>
      </c>
      <c r="J19" s="186" t="str">
        <v>x_nitrogen</v>
      </c>
      <c r="K19" s="189" t="str">
        <v>mol/mol</v>
      </c>
      <c r="L19" s="277">
        <v>7.0767887592078638E-2</v>
      </c>
      <c r="M19" s="277">
        <v>2.3902512348034755E-2</v>
      </c>
      <c r="N19" s="277">
        <v>6.4177458188541259E-5</v>
      </c>
      <c r="O19" s="293">
        <v>1.9999999999999869E-2</v>
      </c>
      <c r="P19" s="90"/>
    </row>
    <row r="20" spans="1:16">
      <c r="A20" s="296" t="s">
        <v>364</v>
      </c>
      <c r="B20" s="297">
        <v>0.02</v>
      </c>
      <c r="C20" s="297">
        <v>0.09</v>
      </c>
      <c r="D20" s="297">
        <v>0.04</v>
      </c>
      <c r="E20" s="297">
        <v>5.0000000000000001E-3</v>
      </c>
      <c r="F20" s="297">
        <v>1</v>
      </c>
      <c r="I20" s="258" t="e">
        <v>#N/A</v>
      </c>
      <c r="J20" s="186" t="e">
        <v>#N/A</v>
      </c>
      <c r="K20" s="189" t="e">
        <v>#N/A</v>
      </c>
      <c r="L20" s="277" t="e">
        <v>#N/A</v>
      </c>
      <c r="M20" s="277" t="e">
        <v>#N/A</v>
      </c>
      <c r="N20" s="277" t="e">
        <v>#N/A</v>
      </c>
      <c r="O20" s="293" t="e">
        <v>#N/A</v>
      </c>
      <c r="P20" s="90"/>
    </row>
    <row r="21" spans="1:16">
      <c r="A21" s="296"/>
      <c r="B21" s="297"/>
      <c r="C21" s="297"/>
      <c r="D21" s="297"/>
      <c r="E21" s="297"/>
      <c r="F21" s="297"/>
      <c r="I21" s="258" t="e">
        <v>#N/A</v>
      </c>
      <c r="J21" s="186" t="e">
        <v>#N/A</v>
      </c>
      <c r="K21" s="189" t="e">
        <v>#N/A</v>
      </c>
      <c r="L21" s="277" t="e">
        <v>#N/A</v>
      </c>
      <c r="M21" s="277" t="e">
        <v>#N/A</v>
      </c>
      <c r="N21" s="277" t="e">
        <v>#N/A</v>
      </c>
      <c r="O21" s="293" t="e">
        <v>#N/A</v>
      </c>
      <c r="P21" s="90"/>
    </row>
    <row r="22" spans="1:16">
      <c r="A22" s="269"/>
      <c r="B22" s="180"/>
      <c r="C22" s="297"/>
      <c r="D22" s="297"/>
      <c r="E22" s="297"/>
      <c r="F22" s="179"/>
      <c r="I22" s="258" t="e">
        <v>#N/A</v>
      </c>
      <c r="J22" s="186" t="e">
        <v>#N/A</v>
      </c>
      <c r="K22" s="189" t="e">
        <v>#N/A</v>
      </c>
      <c r="L22" s="277" t="e">
        <v>#N/A</v>
      </c>
      <c r="M22" s="277" t="e">
        <v>#N/A</v>
      </c>
      <c r="N22" s="277" t="e">
        <v>#N/A</v>
      </c>
      <c r="O22" s="293" t="e">
        <v>#N/A</v>
      </c>
      <c r="P22" s="90"/>
    </row>
    <row r="23" spans="1:16">
      <c r="A23" s="177"/>
      <c r="B23" s="180"/>
      <c r="C23" s="297"/>
      <c r="D23" s="297"/>
      <c r="E23" s="297"/>
      <c r="F23" s="179"/>
      <c r="I23" s="258" t="e">
        <v>#N/A</v>
      </c>
      <c r="J23" s="186" t="e">
        <v>#N/A</v>
      </c>
      <c r="K23" s="189" t="e">
        <v>#N/A</v>
      </c>
      <c r="L23" s="277" t="e">
        <v>#N/A</v>
      </c>
      <c r="M23" s="277" t="e">
        <v>#N/A</v>
      </c>
      <c r="N23" s="277" t="e">
        <v>#N/A</v>
      </c>
      <c r="O23" s="293" t="e">
        <v>#N/A</v>
      </c>
      <c r="P23" s="90"/>
    </row>
    <row r="24" spans="1:16">
      <c r="A24" s="178"/>
      <c r="B24" s="181"/>
      <c r="C24" s="297"/>
      <c r="D24" s="297"/>
      <c r="E24" s="297"/>
      <c r="F24" s="179"/>
      <c r="I24" s="258" t="e">
        <v>#N/A</v>
      </c>
      <c r="J24" s="186" t="e">
        <v>#N/A</v>
      </c>
      <c r="K24" s="189" t="e">
        <v>#N/A</v>
      </c>
      <c r="L24" s="277" t="e">
        <v>#N/A</v>
      </c>
      <c r="M24" s="277" t="e">
        <v>#N/A</v>
      </c>
      <c r="N24" s="277" t="e">
        <v>#N/A</v>
      </c>
      <c r="O24" s="293" t="e">
        <v>#N/A</v>
      </c>
      <c r="P24" s="90"/>
    </row>
    <row r="25" spans="1:16">
      <c r="A25" s="178"/>
      <c r="B25" s="181"/>
      <c r="C25" s="297"/>
      <c r="D25" s="297"/>
      <c r="E25" s="297"/>
      <c r="F25" s="179"/>
      <c r="I25" s="258" t="e">
        <v>#N/A</v>
      </c>
      <c r="J25" s="186" t="e">
        <v>#N/A</v>
      </c>
      <c r="K25" s="189" t="e">
        <v>#N/A</v>
      </c>
      <c r="L25" s="277" t="e">
        <v>#N/A</v>
      </c>
      <c r="M25" s="277" t="e">
        <v>#N/A</v>
      </c>
      <c r="N25" s="277" t="e">
        <v>#N/A</v>
      </c>
      <c r="O25" s="293" t="e">
        <v>#N/A</v>
      </c>
      <c r="P25" s="90"/>
    </row>
    <row r="26" spans="1:16">
      <c r="A26" s="178"/>
      <c r="B26" s="181"/>
      <c r="C26" s="297"/>
      <c r="D26" s="297"/>
      <c r="E26" s="297"/>
      <c r="F26" s="179"/>
      <c r="I26" s="258" t="e">
        <v>#N/A</v>
      </c>
      <c r="J26" s="186" t="e">
        <v>#N/A</v>
      </c>
      <c r="K26" s="189" t="e">
        <v>#N/A</v>
      </c>
      <c r="L26" s="277" t="e">
        <v>#N/A</v>
      </c>
      <c r="M26" s="277" t="e">
        <v>#N/A</v>
      </c>
      <c r="N26" s="277" t="e">
        <v>#N/A</v>
      </c>
      <c r="O26" s="293" t="e">
        <v>#N/A</v>
      </c>
      <c r="P26" s="90"/>
    </row>
    <row r="27" spans="1:16">
      <c r="A27" s="178"/>
      <c r="B27" s="181"/>
      <c r="C27" s="297"/>
      <c r="D27" s="297"/>
      <c r="E27" s="297"/>
      <c r="F27" s="179"/>
      <c r="I27" s="258" t="e">
        <v>#N/A</v>
      </c>
      <c r="J27" s="186" t="e">
        <v>#N/A</v>
      </c>
      <c r="K27" s="189" t="e">
        <v>#N/A</v>
      </c>
      <c r="L27" s="277" t="e">
        <v>#N/A</v>
      </c>
      <c r="M27" s="277" t="e">
        <v>#N/A</v>
      </c>
      <c r="N27" s="277" t="e">
        <v>#N/A</v>
      </c>
      <c r="O27" s="293" t="e">
        <v>#N/A</v>
      </c>
      <c r="P27" s="90"/>
    </row>
    <row r="28" spans="1:16">
      <c r="A28" s="178"/>
      <c r="B28" s="270"/>
      <c r="C28" s="297"/>
      <c r="D28" s="297"/>
      <c r="E28" s="297"/>
      <c r="F28" s="179"/>
      <c r="I28" s="258" t="e">
        <v>#N/A</v>
      </c>
      <c r="J28" s="186" t="e">
        <v>#N/A</v>
      </c>
      <c r="K28" s="189" t="e">
        <v>#N/A</v>
      </c>
      <c r="L28" s="277" t="e">
        <v>#N/A</v>
      </c>
      <c r="M28" s="277" t="e">
        <v>#N/A</v>
      </c>
      <c r="N28" s="277" t="e">
        <v>#N/A</v>
      </c>
      <c r="O28" s="293" t="e">
        <v>#N/A</v>
      </c>
      <c r="P28" s="90"/>
    </row>
    <row r="29" spans="1:16">
      <c r="A29" s="178"/>
      <c r="B29" s="270"/>
      <c r="C29" s="297"/>
      <c r="D29" s="297"/>
      <c r="E29" s="297"/>
      <c r="F29" s="181"/>
      <c r="I29" s="258" t="e">
        <v>#N/A</v>
      </c>
      <c r="J29" s="186" t="e">
        <v>#N/A</v>
      </c>
      <c r="K29" s="189" t="e">
        <v>#N/A</v>
      </c>
      <c r="L29" s="277" t="e">
        <v>#N/A</v>
      </c>
      <c r="M29" s="277" t="e">
        <v>#N/A</v>
      </c>
      <c r="N29" s="277" t="e">
        <v>#N/A</v>
      </c>
      <c r="O29" s="293" t="e">
        <v>#N/A</v>
      </c>
      <c r="P29" s="90"/>
    </row>
    <row r="30" spans="1:16">
      <c r="A30" s="178"/>
      <c r="B30" s="270"/>
      <c r="C30" s="297"/>
      <c r="D30" s="297"/>
      <c r="E30" s="297"/>
      <c r="F30" s="181"/>
      <c r="I30" s="258" t="e">
        <v>#N/A</v>
      </c>
      <c r="J30" s="186" t="e">
        <v>#N/A</v>
      </c>
      <c r="K30" s="189" t="e">
        <v>#N/A</v>
      </c>
      <c r="L30" s="277" t="e">
        <v>#N/A</v>
      </c>
      <c r="M30" s="277" t="e">
        <v>#N/A</v>
      </c>
      <c r="N30" s="277" t="e">
        <v>#N/A</v>
      </c>
      <c r="O30" s="293" t="e">
        <v>#N/A</v>
      </c>
      <c r="P30" s="90"/>
    </row>
    <row r="31" spans="1:16">
      <c r="A31" s="178"/>
      <c r="B31" s="181"/>
      <c r="C31" s="297"/>
      <c r="D31" s="297"/>
      <c r="E31" s="297"/>
      <c r="F31" s="181"/>
      <c r="I31" s="258" t="e">
        <v>#N/A</v>
      </c>
      <c r="J31" s="186" t="e">
        <v>#N/A</v>
      </c>
      <c r="K31" s="189" t="e">
        <v>#N/A</v>
      </c>
      <c r="L31" s="277" t="e">
        <v>#N/A</v>
      </c>
      <c r="M31" s="277" t="e">
        <v>#N/A</v>
      </c>
      <c r="N31" s="277" t="e">
        <v>#N/A</v>
      </c>
      <c r="O31" s="293" t="e">
        <v>#N/A</v>
      </c>
      <c r="P31" s="90"/>
    </row>
    <row r="32" spans="1:16">
      <c r="A32" s="178"/>
      <c r="B32" s="181"/>
      <c r="C32" s="297"/>
      <c r="D32" s="297"/>
      <c r="E32" s="297"/>
      <c r="F32" s="181"/>
      <c r="I32" s="258" t="e">
        <v>#N/A</v>
      </c>
      <c r="J32" s="186" t="e">
        <v>#N/A</v>
      </c>
      <c r="K32" s="189" t="e">
        <v>#N/A</v>
      </c>
      <c r="L32" s="277" t="e">
        <v>#N/A</v>
      </c>
      <c r="M32" s="277" t="e">
        <v>#N/A</v>
      </c>
      <c r="N32" s="277" t="e">
        <v>#N/A</v>
      </c>
      <c r="O32" s="293" t="e">
        <v>#N/A</v>
      </c>
      <c r="P32" s="90"/>
    </row>
    <row r="33" spans="1:16">
      <c r="A33" s="178"/>
      <c r="B33" s="181"/>
      <c r="C33" s="297"/>
      <c r="D33" s="297"/>
      <c r="E33" s="297"/>
      <c r="F33" s="181"/>
      <c r="I33" s="258" t="e">
        <v>#N/A</v>
      </c>
      <c r="J33" s="186" t="e">
        <v>#N/A</v>
      </c>
      <c r="K33" s="189" t="e">
        <v>#N/A</v>
      </c>
      <c r="L33" s="277" t="e">
        <v>#N/A</v>
      </c>
      <c r="M33" s="277" t="e">
        <v>#N/A</v>
      </c>
      <c r="N33" s="277" t="e">
        <v>#N/A</v>
      </c>
      <c r="O33" s="293" t="e">
        <v>#N/A</v>
      </c>
      <c r="P33" s="90"/>
    </row>
    <row r="34" spans="1:16">
      <c r="A34" s="178"/>
      <c r="B34" s="181"/>
      <c r="C34" s="297"/>
      <c r="D34" s="297"/>
      <c r="E34" s="297"/>
      <c r="F34" s="181"/>
      <c r="I34" s="258" t="e">
        <v>#N/A</v>
      </c>
      <c r="J34" s="186" t="e">
        <v>#N/A</v>
      </c>
      <c r="K34" s="189" t="e">
        <v>#N/A</v>
      </c>
      <c r="L34" s="277" t="e">
        <v>#N/A</v>
      </c>
      <c r="M34" s="277" t="e">
        <v>#N/A</v>
      </c>
      <c r="N34" s="277" t="e">
        <v>#N/A</v>
      </c>
      <c r="O34" s="293" t="e">
        <v>#N/A</v>
      </c>
      <c r="P34" s="90"/>
    </row>
    <row r="35" spans="1:16">
      <c r="A35" s="178"/>
      <c r="B35" s="181"/>
      <c r="C35" s="297"/>
      <c r="D35" s="297"/>
      <c r="E35" s="297"/>
      <c r="F35" s="181"/>
      <c r="I35" s="258" t="e">
        <v>#N/A</v>
      </c>
      <c r="J35" s="186" t="e">
        <v>#N/A</v>
      </c>
      <c r="K35" s="189" t="e">
        <v>#N/A</v>
      </c>
      <c r="L35" s="277" t="e">
        <v>#N/A</v>
      </c>
      <c r="M35" s="277" t="e">
        <v>#N/A</v>
      </c>
      <c r="N35" s="277" t="e">
        <v>#N/A</v>
      </c>
      <c r="O35" s="293" t="e">
        <v>#N/A</v>
      </c>
      <c r="P35" s="90"/>
    </row>
    <row r="36" spans="1:16">
      <c r="A36" s="178"/>
      <c r="B36" s="181"/>
      <c r="C36" s="297"/>
      <c r="D36" s="297"/>
      <c r="E36" s="297"/>
      <c r="F36" s="181"/>
      <c r="I36" s="259" t="e">
        <v>#N/A</v>
      </c>
      <c r="J36" s="190" t="e">
        <v>#N/A</v>
      </c>
      <c r="K36" s="191" t="e">
        <v>#N/A</v>
      </c>
      <c r="L36" s="287" t="e">
        <v>#N/A</v>
      </c>
      <c r="M36" s="287" t="e">
        <v>#N/A</v>
      </c>
      <c r="N36" s="287" t="e">
        <v>#N/A</v>
      </c>
      <c r="O36" s="294" t="e">
        <v>#N/A</v>
      </c>
      <c r="P36" s="90"/>
    </row>
    <row r="37" spans="1:16">
      <c r="A37" s="178"/>
      <c r="B37" s="181"/>
      <c r="C37" s="297"/>
      <c r="D37" s="297"/>
      <c r="E37" s="297"/>
      <c r="F37" s="181"/>
      <c r="H37" s="92"/>
      <c r="I37" s="92"/>
      <c r="J37" s="114"/>
      <c r="K37" s="92"/>
      <c r="L37" s="92"/>
      <c r="M37" s="92"/>
      <c r="N37" s="92"/>
    </row>
  </sheetData>
  <pageMargins left="0.7" right="0.7" top="0.78740157499999996" bottom="0.78740157499999996"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tblComposition"/>
  <dimension ref="A2:M37"/>
  <sheetViews>
    <sheetView zoomScale="90" zoomScaleNormal="90" workbookViewId="0">
      <selection activeCell="B19" sqref="B19"/>
    </sheetView>
  </sheetViews>
  <sheetFormatPr baseColWidth="10" defaultColWidth="11.5703125" defaultRowHeight="15"/>
  <cols>
    <col min="1" max="1" width="15.7109375" style="3" customWidth="1"/>
    <col min="2" max="2" width="20.7109375" style="3" customWidth="1"/>
    <col min="3" max="4" width="9.7109375" style="3" customWidth="1"/>
    <col min="5" max="5" width="3.5703125" style="3" customWidth="1"/>
    <col min="6" max="6" width="20.7109375" customWidth="1"/>
    <col min="7" max="7" width="9.7109375" customWidth="1"/>
    <col min="8" max="8" width="15.7109375" customWidth="1"/>
    <col min="9" max="9" width="20.7109375" customWidth="1"/>
    <col min="10" max="11" width="9.7109375" customWidth="1"/>
    <col min="12" max="12" width="3.5703125" customWidth="1"/>
    <col min="13" max="13" width="20.7109375" customWidth="1"/>
  </cols>
  <sheetData>
    <row r="2" spans="1:9" ht="18.75">
      <c r="A2" s="6" t="s">
        <v>14</v>
      </c>
      <c r="B2" s="15"/>
      <c r="C2" s="7"/>
      <c r="D2" s="7"/>
      <c r="E2" s="7"/>
    </row>
    <row r="3" spans="1:9">
      <c r="A3" s="10"/>
    </row>
    <row r="4" spans="1:9">
      <c r="A4" s="2" t="s">
        <v>0</v>
      </c>
      <c r="B4" s="181"/>
    </row>
    <row r="5" spans="1:9">
      <c r="A5" s="5"/>
    </row>
    <row r="6" spans="1:9" s="161" customFormat="1">
      <c r="A6" s="151"/>
      <c r="B6" s="163"/>
      <c r="C6" s="163"/>
      <c r="D6" s="163"/>
      <c r="E6" s="163"/>
    </row>
    <row r="7" spans="1:9" s="161" customFormat="1">
      <c r="A7" s="151"/>
      <c r="B7" s="163"/>
      <c r="C7" s="163"/>
      <c r="D7" s="163"/>
      <c r="E7" s="163"/>
    </row>
    <row r="8" spans="1:9" s="161" customFormat="1">
      <c r="A8" s="151"/>
      <c r="B8" s="163"/>
      <c r="C8" s="163"/>
      <c r="D8" s="163"/>
      <c r="E8" s="163"/>
    </row>
    <row r="9" spans="1:9">
      <c r="A9" s="127" t="s">
        <v>17</v>
      </c>
      <c r="B9" s="303" t="s">
        <v>305</v>
      </c>
      <c r="H9" s="127" t="s">
        <v>17</v>
      </c>
      <c r="I9" s="304" t="s">
        <v>375</v>
      </c>
    </row>
    <row r="10" spans="1:9" s="161" customFormat="1">
      <c r="A10" s="150" t="s">
        <v>374</v>
      </c>
      <c r="B10" s="181" t="b">
        <v>1</v>
      </c>
      <c r="C10" s="163"/>
      <c r="D10" s="163"/>
      <c r="E10" s="147"/>
      <c r="H10" s="150" t="s">
        <v>374</v>
      </c>
      <c r="I10" s="181" t="b">
        <v>1</v>
      </c>
    </row>
    <row r="11" spans="1:9" s="161" customFormat="1">
      <c r="A11" s="163"/>
      <c r="B11" s="163"/>
      <c r="C11" s="163"/>
      <c r="D11" s="163"/>
      <c r="E11" s="147"/>
    </row>
    <row r="12" spans="1:9" s="161" customFormat="1">
      <c r="A12" s="163"/>
      <c r="B12" s="163"/>
      <c r="C12" s="163"/>
      <c r="D12" s="163"/>
      <c r="E12" s="147"/>
    </row>
    <row r="13" spans="1:9" s="161" customFormat="1">
      <c r="A13" s="163"/>
      <c r="B13" s="163"/>
      <c r="C13" s="163"/>
      <c r="D13" s="163"/>
      <c r="E13" s="147"/>
    </row>
    <row r="14" spans="1:9" s="161" customFormat="1">
      <c r="A14" s="163"/>
      <c r="B14" s="163"/>
      <c r="C14" s="163"/>
      <c r="D14" s="163"/>
      <c r="E14" s="147"/>
    </row>
    <row r="15" spans="1:9" s="161" customFormat="1">
      <c r="A15" s="163"/>
      <c r="B15" s="163"/>
      <c r="C15" s="163"/>
      <c r="D15" s="163"/>
      <c r="E15" s="147"/>
    </row>
    <row r="16" spans="1:9" s="161" customFormat="1">
      <c r="A16" s="163"/>
      <c r="B16" s="163"/>
      <c r="C16" s="163"/>
      <c r="D16" s="163"/>
      <c r="E16" s="147"/>
    </row>
    <row r="17" spans="1:13">
      <c r="A17" s="149" t="s">
        <v>1</v>
      </c>
      <c r="B17" s="149" t="s">
        <v>419</v>
      </c>
      <c r="C17" s="149" t="s">
        <v>87</v>
      </c>
      <c r="D17" s="149" t="s">
        <v>88</v>
      </c>
      <c r="F17" s="2" t="str">
        <f>CONCATENATE("Composition (",IF(B9="molar","specific","molar"),")")</f>
        <v>Composition (specific)</v>
      </c>
      <c r="H17" s="149" t="s">
        <v>1</v>
      </c>
      <c r="I17" s="149" t="s">
        <v>418</v>
      </c>
      <c r="J17" s="149" t="s">
        <v>87</v>
      </c>
      <c r="K17" s="149" t="s">
        <v>88</v>
      </c>
      <c r="L17" s="3"/>
      <c r="M17" s="2" t="str">
        <f>CONCATENATE("Composition (",IF(I9="molar","specific","molar"),")")</f>
        <v>Composition (molar)</v>
      </c>
    </row>
    <row r="18" spans="1:13">
      <c r="A18" s="177" t="s">
        <v>246</v>
      </c>
      <c r="B18" s="114">
        <f>1-SUM(B19:B37)</f>
        <v>0.5</v>
      </c>
      <c r="C18" s="179">
        <v>1</v>
      </c>
      <c r="D18" s="181">
        <v>1</v>
      </c>
      <c r="F18" s="305">
        <f t="array" ref="F18:F37">[2]!COMP(A18:A37,B18:B37,C18:C37,D18,B9,B4,B10)</f>
        <v>0.30416620630168295</v>
      </c>
      <c r="H18" s="177" t="s">
        <v>246</v>
      </c>
      <c r="I18" s="114">
        <f>1-SUM(I19:I37)</f>
        <v>0.95320901588474172</v>
      </c>
      <c r="J18" s="179">
        <v>1</v>
      </c>
      <c r="K18" s="181">
        <v>1</v>
      </c>
      <c r="L18" s="3"/>
      <c r="M18" s="305">
        <f t="array" ref="M18:M37">[2]!COMP(H18:H37,I18:I37,J18:J37,K18,I9,B4,I10)</f>
        <v>0.98030178917997191</v>
      </c>
    </row>
    <row r="19" spans="1:13">
      <c r="A19" s="177" t="s">
        <v>89</v>
      </c>
      <c r="B19" s="179">
        <v>0.45</v>
      </c>
      <c r="C19" s="179">
        <v>1</v>
      </c>
      <c r="F19" s="305">
        <v>0.66874744885761495</v>
      </c>
      <c r="H19" s="177" t="s">
        <v>89</v>
      </c>
      <c r="I19" s="179">
        <v>4.6790884262253279E-2</v>
      </c>
      <c r="J19" s="179">
        <v>1</v>
      </c>
      <c r="K19" s="3"/>
      <c r="L19" s="3"/>
      <c r="M19" s="305">
        <v>1.9698095503023996E-2</v>
      </c>
    </row>
    <row r="20" spans="1:13">
      <c r="A20" s="269" t="s">
        <v>242</v>
      </c>
      <c r="B20" s="268">
        <v>0.05</v>
      </c>
      <c r="C20" s="179">
        <v>1</v>
      </c>
      <c r="F20" s="305">
        <v>2.708634484070201E-2</v>
      </c>
      <c r="H20" s="269" t="s">
        <v>242</v>
      </c>
      <c r="I20" s="179">
        <v>9.9853005002914024E-8</v>
      </c>
      <c r="J20" s="179">
        <v>1</v>
      </c>
      <c r="K20" s="3"/>
      <c r="L20" s="3"/>
      <c r="M20" s="305">
        <v>1.1531700405686955E-7</v>
      </c>
    </row>
    <row r="21" spans="1:13">
      <c r="A21" s="177"/>
      <c r="B21" s="179"/>
      <c r="C21" s="179"/>
      <c r="F21" s="305" t="e">
        <v>#N/A</v>
      </c>
      <c r="H21" s="177"/>
      <c r="I21" s="179"/>
      <c r="J21" s="179"/>
      <c r="K21" s="3"/>
      <c r="L21" s="3"/>
      <c r="M21" s="305" t="e">
        <v>#N/A</v>
      </c>
    </row>
    <row r="22" spans="1:13">
      <c r="A22" s="177"/>
      <c r="B22" s="179"/>
      <c r="C22" s="179"/>
      <c r="F22" s="305" t="e">
        <v>#N/A</v>
      </c>
      <c r="H22" s="177"/>
      <c r="I22" s="179"/>
      <c r="J22" s="179"/>
      <c r="K22" s="3"/>
      <c r="L22" s="3"/>
      <c r="M22" s="305" t="e">
        <v>#N/A</v>
      </c>
    </row>
    <row r="23" spans="1:13">
      <c r="A23" s="177"/>
      <c r="B23" s="179"/>
      <c r="C23" s="179"/>
      <c r="F23" s="305" t="e">
        <v>#N/A</v>
      </c>
      <c r="H23" s="177"/>
      <c r="I23" s="179"/>
      <c r="J23" s="179"/>
      <c r="K23" s="3"/>
      <c r="L23" s="3"/>
      <c r="M23" s="305" t="e">
        <v>#N/A</v>
      </c>
    </row>
    <row r="24" spans="1:13">
      <c r="A24" s="178"/>
      <c r="B24" s="179"/>
      <c r="C24" s="181"/>
      <c r="F24" s="305" t="e">
        <v>#N/A</v>
      </c>
      <c r="H24" s="178"/>
      <c r="I24" s="179"/>
      <c r="J24" s="181"/>
      <c r="K24" s="3"/>
      <c r="L24" s="3"/>
      <c r="M24" s="305" t="e">
        <v>#N/A</v>
      </c>
    </row>
    <row r="25" spans="1:13">
      <c r="A25" s="178"/>
      <c r="B25" s="179"/>
      <c r="C25" s="181"/>
      <c r="F25" s="305" t="e">
        <v>#N/A</v>
      </c>
      <c r="H25" s="178"/>
      <c r="I25" s="179"/>
      <c r="J25" s="181"/>
      <c r="K25" s="3"/>
      <c r="L25" s="3"/>
      <c r="M25" s="305" t="e">
        <v>#N/A</v>
      </c>
    </row>
    <row r="26" spans="1:13">
      <c r="A26" s="178"/>
      <c r="B26" s="179"/>
      <c r="C26" s="181"/>
      <c r="F26" s="305" t="e">
        <v>#N/A</v>
      </c>
      <c r="H26" s="178"/>
      <c r="I26" s="179"/>
      <c r="J26" s="181"/>
      <c r="K26" s="3"/>
      <c r="L26" s="3"/>
      <c r="M26" s="305" t="e">
        <v>#N/A</v>
      </c>
    </row>
    <row r="27" spans="1:13">
      <c r="A27" s="178"/>
      <c r="B27" s="179"/>
      <c r="C27" s="181"/>
      <c r="F27" s="305" t="e">
        <v>#N/A</v>
      </c>
      <c r="H27" s="178"/>
      <c r="I27" s="179"/>
      <c r="J27" s="181"/>
      <c r="K27" s="3"/>
      <c r="L27" s="3"/>
      <c r="M27" s="305" t="e">
        <v>#N/A</v>
      </c>
    </row>
    <row r="28" spans="1:13">
      <c r="A28" s="178"/>
      <c r="B28" s="179"/>
      <c r="C28" s="181"/>
      <c r="F28" s="305" t="e">
        <v>#N/A</v>
      </c>
      <c r="H28" s="178"/>
      <c r="I28" s="179"/>
      <c r="J28" s="181"/>
      <c r="K28" s="3"/>
      <c r="L28" s="3"/>
      <c r="M28" s="305" t="e">
        <v>#N/A</v>
      </c>
    </row>
    <row r="29" spans="1:13">
      <c r="A29" s="178"/>
      <c r="B29" s="179"/>
      <c r="C29" s="181"/>
      <c r="F29" s="305" t="e">
        <v>#N/A</v>
      </c>
      <c r="H29" s="178"/>
      <c r="I29" s="179"/>
      <c r="J29" s="181"/>
      <c r="K29" s="3"/>
      <c r="L29" s="3"/>
      <c r="M29" s="305" t="e">
        <v>#N/A</v>
      </c>
    </row>
    <row r="30" spans="1:13">
      <c r="A30" s="178"/>
      <c r="B30" s="179"/>
      <c r="C30" s="181"/>
      <c r="F30" s="305" t="e">
        <v>#N/A</v>
      </c>
      <c r="H30" s="178"/>
      <c r="I30" s="179"/>
      <c r="J30" s="181"/>
      <c r="K30" s="3"/>
      <c r="L30" s="3"/>
      <c r="M30" s="305" t="e">
        <v>#N/A</v>
      </c>
    </row>
    <row r="31" spans="1:13">
      <c r="A31" s="178"/>
      <c r="B31" s="179"/>
      <c r="C31" s="181"/>
      <c r="F31" s="305" t="e">
        <v>#N/A</v>
      </c>
      <c r="H31" s="178"/>
      <c r="I31" s="179"/>
      <c r="J31" s="181"/>
      <c r="K31" s="3"/>
      <c r="L31" s="3"/>
      <c r="M31" s="305" t="e">
        <v>#N/A</v>
      </c>
    </row>
    <row r="32" spans="1:13">
      <c r="A32" s="178"/>
      <c r="B32" s="179"/>
      <c r="C32" s="181"/>
      <c r="F32" s="305" t="e">
        <v>#N/A</v>
      </c>
      <c r="H32" s="178"/>
      <c r="I32" s="179"/>
      <c r="J32" s="181"/>
      <c r="K32" s="3"/>
      <c r="L32" s="3"/>
      <c r="M32" s="305" t="e">
        <v>#N/A</v>
      </c>
    </row>
    <row r="33" spans="1:13">
      <c r="A33" s="178"/>
      <c r="B33" s="179"/>
      <c r="C33" s="181"/>
      <c r="F33" s="305" t="e">
        <v>#N/A</v>
      </c>
      <c r="H33" s="178"/>
      <c r="I33" s="179"/>
      <c r="J33" s="181"/>
      <c r="K33" s="3"/>
      <c r="L33" s="3"/>
      <c r="M33" s="305" t="e">
        <v>#N/A</v>
      </c>
    </row>
    <row r="34" spans="1:13">
      <c r="A34" s="178"/>
      <c r="B34" s="179"/>
      <c r="C34" s="181"/>
      <c r="F34" s="305" t="e">
        <v>#N/A</v>
      </c>
      <c r="H34" s="178"/>
      <c r="I34" s="179"/>
      <c r="J34" s="181"/>
      <c r="K34" s="3"/>
      <c r="L34" s="3"/>
      <c r="M34" s="305" t="e">
        <v>#N/A</v>
      </c>
    </row>
    <row r="35" spans="1:13">
      <c r="A35" s="178"/>
      <c r="B35" s="179"/>
      <c r="C35" s="181"/>
      <c r="F35" s="305" t="e">
        <v>#N/A</v>
      </c>
      <c r="H35" s="178"/>
      <c r="I35" s="179"/>
      <c r="J35" s="181"/>
      <c r="K35" s="3"/>
      <c r="L35" s="3"/>
      <c r="M35" s="305" t="e">
        <v>#N/A</v>
      </c>
    </row>
    <row r="36" spans="1:13">
      <c r="A36" s="178"/>
      <c r="B36" s="179"/>
      <c r="C36" s="181"/>
      <c r="F36" s="305" t="e">
        <v>#N/A</v>
      </c>
      <c r="H36" s="178"/>
      <c r="I36" s="179"/>
      <c r="J36" s="181"/>
      <c r="K36" s="3"/>
      <c r="L36" s="3"/>
      <c r="M36" s="305" t="e">
        <v>#N/A</v>
      </c>
    </row>
    <row r="37" spans="1:13">
      <c r="A37" s="178"/>
      <c r="B37" s="179"/>
      <c r="C37" s="181"/>
      <c r="F37" s="305" t="e">
        <v>#N/A</v>
      </c>
      <c r="H37" s="178"/>
      <c r="I37" s="179"/>
      <c r="J37" s="181"/>
      <c r="K37" s="3"/>
      <c r="L37" s="3"/>
      <c r="M37" s="305" t="e">
        <v>#N/A</v>
      </c>
    </row>
  </sheetData>
  <pageMargins left="0.7" right="0.7" top="0.78740157499999996" bottom="0.78740157499999996"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tblRankineCycle"/>
  <dimension ref="A2:I67"/>
  <sheetViews>
    <sheetView zoomScale="90" zoomScaleNormal="90" workbookViewId="0">
      <selection activeCell="G37" sqref="G37"/>
    </sheetView>
  </sheetViews>
  <sheetFormatPr baseColWidth="10" defaultColWidth="11.5703125" defaultRowHeight="15"/>
  <cols>
    <col min="1" max="1" width="30.28515625" customWidth="1"/>
    <col min="2" max="2" width="13.85546875" customWidth="1"/>
    <col min="3" max="3" width="8.140625" customWidth="1"/>
    <col min="4" max="4" width="9.42578125" customWidth="1"/>
    <col min="5" max="5" width="29" customWidth="1"/>
    <col min="6" max="6" width="12.5703125" customWidth="1"/>
    <col min="7" max="7" width="15.5703125" customWidth="1"/>
  </cols>
  <sheetData>
    <row r="2" spans="1:3" ht="18.75">
      <c r="A2" s="6" t="s">
        <v>14</v>
      </c>
    </row>
    <row r="3" spans="1:3" ht="15.75" customHeight="1"/>
    <row r="4" spans="1:3">
      <c r="A4" s="2" t="s">
        <v>0</v>
      </c>
      <c r="B4" s="173" t="s">
        <v>191</v>
      </c>
    </row>
    <row r="6" spans="1:3">
      <c r="A6" s="2" t="s">
        <v>109</v>
      </c>
      <c r="B6" s="24"/>
      <c r="C6" s="8"/>
    </row>
    <row r="7" spans="1:3" ht="18">
      <c r="A7" s="173" t="s">
        <v>407</v>
      </c>
      <c r="B7" s="306">
        <v>290</v>
      </c>
      <c r="C7" s="181" t="s">
        <v>38</v>
      </c>
    </row>
    <row r="8" spans="1:3" ht="18">
      <c r="A8" s="181" t="s">
        <v>128</v>
      </c>
      <c r="B8" s="306">
        <v>783</v>
      </c>
      <c r="C8" s="181" t="s">
        <v>38</v>
      </c>
    </row>
    <row r="9" spans="1:3" ht="18">
      <c r="A9" s="181" t="s">
        <v>129</v>
      </c>
      <c r="B9" s="306">
        <v>195</v>
      </c>
      <c r="C9" s="181" t="s">
        <v>91</v>
      </c>
    </row>
    <row r="10" spans="1:3" ht="18">
      <c r="A10" s="181" t="s">
        <v>130</v>
      </c>
      <c r="B10" s="306">
        <v>0.1</v>
      </c>
      <c r="C10" s="181" t="s">
        <v>39</v>
      </c>
    </row>
    <row r="11" spans="1:3">
      <c r="B11" s="12"/>
      <c r="C11" s="3"/>
    </row>
    <row r="12" spans="1:3">
      <c r="A12" s="2" t="s">
        <v>114</v>
      </c>
      <c r="B12" s="24"/>
      <c r="C12" s="8"/>
    </row>
    <row r="13" spans="1:3">
      <c r="A13" s="181" t="s">
        <v>117</v>
      </c>
      <c r="B13" s="306">
        <v>5</v>
      </c>
      <c r="C13" s="181" t="s">
        <v>39</v>
      </c>
    </row>
    <row r="14" spans="1:3">
      <c r="A14" s="181" t="s">
        <v>115</v>
      </c>
      <c r="B14" s="306">
        <v>0.9</v>
      </c>
      <c r="C14" s="181"/>
    </row>
    <row r="15" spans="1:3">
      <c r="A15" s="181" t="s">
        <v>116</v>
      </c>
      <c r="B15" s="306">
        <v>0.85</v>
      </c>
      <c r="C15" s="181" t="s">
        <v>94</v>
      </c>
    </row>
    <row r="16" spans="1:3">
      <c r="A16" s="181" t="s">
        <v>132</v>
      </c>
      <c r="B16" s="306">
        <v>1</v>
      </c>
      <c r="C16" s="181" t="s">
        <v>38</v>
      </c>
    </row>
    <row r="18" spans="1:4">
      <c r="A18" s="2" t="s">
        <v>113</v>
      </c>
      <c r="B18" s="24"/>
      <c r="C18" s="8"/>
    </row>
    <row r="19" spans="1:4" ht="18">
      <c r="A19" s="181" t="s">
        <v>110</v>
      </c>
      <c r="B19" s="306">
        <v>20</v>
      </c>
      <c r="C19" s="181" t="s">
        <v>38</v>
      </c>
    </row>
    <row r="20" spans="1:4" ht="18">
      <c r="A20" s="181" t="s">
        <v>111</v>
      </c>
      <c r="B20" s="306">
        <v>15</v>
      </c>
      <c r="C20" s="181" t="s">
        <v>38</v>
      </c>
    </row>
    <row r="21" spans="1:4" ht="18">
      <c r="A21" s="181" t="s">
        <v>156</v>
      </c>
      <c r="B21" s="306">
        <v>15</v>
      </c>
      <c r="C21" s="181" t="s">
        <v>38</v>
      </c>
    </row>
    <row r="23" spans="1:4">
      <c r="A23" s="2" t="s">
        <v>112</v>
      </c>
      <c r="B23" s="2" t="s">
        <v>136</v>
      </c>
      <c r="C23" s="2" t="s">
        <v>137</v>
      </c>
      <c r="D23" s="2" t="s">
        <v>138</v>
      </c>
    </row>
    <row r="24" spans="1:4">
      <c r="A24" s="181" t="s">
        <v>93</v>
      </c>
      <c r="B24" s="181">
        <v>1</v>
      </c>
      <c r="C24" s="181">
        <v>1</v>
      </c>
      <c r="D24" s="173">
        <v>1</v>
      </c>
    </row>
    <row r="26" spans="1:4">
      <c r="A26" s="2" t="s">
        <v>139</v>
      </c>
      <c r="B26" s="2" t="s">
        <v>136</v>
      </c>
      <c r="C26" s="2" t="s">
        <v>137</v>
      </c>
      <c r="D26" s="2" t="s">
        <v>138</v>
      </c>
    </row>
    <row r="27" spans="1:4">
      <c r="A27" s="181" t="s">
        <v>92</v>
      </c>
      <c r="B27" s="89">
        <f>1-SUM(B28:B30)</f>
        <v>0.7</v>
      </c>
      <c r="C27" s="181">
        <v>1</v>
      </c>
      <c r="D27" s="173">
        <v>1</v>
      </c>
    </row>
    <row r="28" spans="1:4">
      <c r="A28" s="181" t="s">
        <v>134</v>
      </c>
      <c r="B28" s="306">
        <v>0.12</v>
      </c>
      <c r="C28" s="181">
        <v>1</v>
      </c>
      <c r="D28" s="173"/>
    </row>
    <row r="29" spans="1:4">
      <c r="A29" s="181" t="s">
        <v>131</v>
      </c>
      <c r="B29" s="306">
        <v>0.06</v>
      </c>
      <c r="C29" s="181">
        <v>1</v>
      </c>
      <c r="D29" s="173"/>
    </row>
    <row r="30" spans="1:4">
      <c r="A30" s="181" t="s">
        <v>93</v>
      </c>
      <c r="B30" s="306">
        <v>0.12</v>
      </c>
      <c r="C30" s="181">
        <v>1</v>
      </c>
      <c r="D30" s="173"/>
    </row>
    <row r="33" spans="1:9" ht="18.75">
      <c r="E33" s="6" t="s">
        <v>140</v>
      </c>
    </row>
    <row r="34" spans="1:9" ht="15" customHeight="1"/>
    <row r="35" spans="1:9">
      <c r="E35" s="25" t="s">
        <v>146</v>
      </c>
      <c r="F35" s="26"/>
      <c r="G35" s="26"/>
      <c r="H35" s="27"/>
      <c r="I35" s="28"/>
    </row>
    <row r="36" spans="1:9">
      <c r="E36" s="29" t="s">
        <v>93</v>
      </c>
      <c r="F36" s="14">
        <f>[2]!TRENDSPECEOS(Fluid,1,$C$24,D24,$B$4,"molar",,"MW")</f>
        <v>1.8015267999999997E-2</v>
      </c>
      <c r="G36" s="18" t="s">
        <v>40</v>
      </c>
      <c r="I36" s="30"/>
    </row>
    <row r="37" spans="1:9">
      <c r="E37" s="29" t="s">
        <v>147</v>
      </c>
      <c r="F37" s="14">
        <f>[2]!TRENDSPECEOS(A27:A30,B27:B30,C27:C30,D27,$B$4,"molar",,"MW")</f>
        <v>2.8251712159999994E-2</v>
      </c>
      <c r="G37" s="18" t="s">
        <v>40</v>
      </c>
      <c r="I37" s="30"/>
    </row>
    <row r="38" spans="1:9">
      <c r="E38" s="31"/>
      <c r="I38" s="30"/>
    </row>
    <row r="39" spans="1:9">
      <c r="E39" s="32" t="s">
        <v>135</v>
      </c>
      <c r="F39" s="33"/>
      <c r="G39" s="33"/>
      <c r="H39" s="33"/>
      <c r="I39" s="34"/>
    </row>
    <row r="40" spans="1:9">
      <c r="A40" s="3"/>
      <c r="B40" s="3"/>
      <c r="C40" s="3"/>
      <c r="E40" s="35"/>
      <c r="F40" s="36" t="s">
        <v>124</v>
      </c>
      <c r="G40" s="36" t="s">
        <v>125</v>
      </c>
      <c r="H40" s="36" t="s">
        <v>126</v>
      </c>
      <c r="I40" s="37" t="s">
        <v>127</v>
      </c>
    </row>
    <row r="41" spans="1:9">
      <c r="E41" s="38" t="s">
        <v>121</v>
      </c>
      <c r="F41" s="39">
        <f>Tcool+DTminCond</f>
        <v>305</v>
      </c>
      <c r="G41" s="39">
        <f>[2]!TRENDEOS("T","PH",Pmax,G44*1000,Fluid,$B$24,$C$24,$D$24,$B$4,"specific")</f>
        <v>305.33027847513426</v>
      </c>
      <c r="H41" s="39">
        <f>TFGMAX-DTminHG</f>
        <v>763</v>
      </c>
      <c r="I41" s="40">
        <f>[2]!TRENDEOS("T","PH",Pcond,I44*1000,Fluid,$B$24,$C$24,$D$24,$B$4,"specific")</f>
        <v>306.00000000000318</v>
      </c>
    </row>
    <row r="42" spans="1:9">
      <c r="B42" s="18"/>
      <c r="E42" s="38" t="s">
        <v>122</v>
      </c>
      <c r="F42" s="39">
        <f>Pcond</f>
        <v>4.9931902266330897E-3</v>
      </c>
      <c r="G42" s="39">
        <f>Pmax</f>
        <v>5</v>
      </c>
      <c r="H42" s="39">
        <f>Pmax</f>
        <v>5</v>
      </c>
      <c r="I42" s="40">
        <f>Pcond</f>
        <v>4.9931902266330897E-3</v>
      </c>
    </row>
    <row r="43" spans="1:9">
      <c r="B43" s="18"/>
      <c r="E43" s="38" t="s">
        <v>133</v>
      </c>
      <c r="F43" s="39">
        <f>[2]!TRENDEOS("D","TP",$F$41,$F$42,Fluid,$B$24,$C$24,$D$24,$B$4,"specific")</f>
        <v>995.03311844216387</v>
      </c>
      <c r="G43" s="39">
        <f>[2]!TRENDEOS("D","TP",G41,G42,Fluid,$B$24,$C$24,$D$24,$B$4,"specific")</f>
        <v>997.13337103190986</v>
      </c>
      <c r="H43" s="39">
        <f>[2]!TRENDEOS("D","TP",H41,H42,Fluid,$B$24,$C$24,$D$24,$B$4,"specific")</f>
        <v>14.80845792140428</v>
      </c>
      <c r="I43" s="40">
        <f>[2]!TRENDEOS("D","PH",I42,I44*1000,Fluid,$B$24,$C$24,$D$24,$B$4,"specific")</f>
        <v>4.0699404473148952E-2</v>
      </c>
    </row>
    <row r="44" spans="1:9">
      <c r="E44" s="41" t="s">
        <v>103</v>
      </c>
      <c r="F44" s="39">
        <f>[2]!TRENDEOS("H","TP",$F$41,$F$42,Fluid,$B$24,$C$24,$D$24,$B$4,"specific")/1000</f>
        <v>133.46750066590997</v>
      </c>
      <c r="G44" s="39">
        <f>F51</f>
        <v>139.36687279819057</v>
      </c>
      <c r="H44" s="39">
        <f>[2]!TRENDEOS("H","TP",H41,H42,Fluid,$B$24,$C$24,$D$24,$B$4,"specific")/1000</f>
        <v>3410.9561933449158</v>
      </c>
      <c r="I44" s="40">
        <f>I51</f>
        <v>2247.1909744643685</v>
      </c>
    </row>
    <row r="45" spans="1:9">
      <c r="E45" s="41" t="s">
        <v>106</v>
      </c>
      <c r="F45" s="39">
        <f>[2]!TRENDEOS("S","TP",$F$41,$F$42,Fluid,$B$24,$C$24,$D$24,$B$4,"specific")/1000</f>
        <v>0.462185433121235</v>
      </c>
      <c r="G45" s="39">
        <f>[2]!TRENDEOS("S","TP",G41,G42,Fluid,$B$24,$C$24,$D$24,$B$4,"specific")/1000</f>
        <v>0.46508463368626296</v>
      </c>
      <c r="H45" s="39">
        <f>[2]!TRENDEOS("S","TP",H41,H42,Fluid,$B$24,$C$24,$D$24,$B$4,"specific")/1000</f>
        <v>6.9472281514131433</v>
      </c>
      <c r="I45" s="40">
        <f>[2]!TRENDEOS("S","PH",I42,I44*1000,Fluid,$B$24,$C$24,$D$24,$B$4,"specific")/1000</f>
        <v>7.3698008525317062</v>
      </c>
    </row>
    <row r="46" spans="1:9">
      <c r="E46" s="38" t="s">
        <v>123</v>
      </c>
      <c r="I46" s="40">
        <f>[2]!TRENDEOS("Q","PH",Pcond,I44*1000,Fluid,$B$24,$C$24,$D$24,$B$4,"specific")</f>
        <v>0.87062056330721238</v>
      </c>
    </row>
    <row r="47" spans="1:9">
      <c r="E47" s="31"/>
      <c r="I47" s="30"/>
    </row>
    <row r="48" spans="1:9">
      <c r="E48" s="32" t="s">
        <v>141</v>
      </c>
      <c r="F48" s="33"/>
      <c r="H48" s="36" t="s">
        <v>142</v>
      </c>
      <c r="I48" s="34"/>
    </row>
    <row r="49" spans="1:9" ht="15.75">
      <c r="E49" s="29" t="s">
        <v>97</v>
      </c>
      <c r="H49" s="18" t="s">
        <v>98</v>
      </c>
      <c r="I49" s="30"/>
    </row>
    <row r="50" spans="1:9" ht="15.75">
      <c r="E50" s="38" t="s">
        <v>99</v>
      </c>
      <c r="F50" s="39">
        <f>[2]!TRENDEOS("H","PS",Pmax,F45*1000,Fluid,$B$24,$C$24,$D$24,$B$4,"specific")/1000</f>
        <v>138.48196697834848</v>
      </c>
      <c r="H50" s="42" t="s">
        <v>100</v>
      </c>
      <c r="I50" s="40">
        <f>[2]!TRENDEOS("H","PS",Pcond,H45*1000,Fluid,$B$24,$C$24,$D$24,$B$4,"specific")/1000</f>
        <v>2117.8837279220857</v>
      </c>
    </row>
    <row r="51" spans="1:9" ht="15.75">
      <c r="E51" s="38" t="s">
        <v>101</v>
      </c>
      <c r="F51" s="39">
        <f>F44+(F50-F44)/ETAsV</f>
        <v>139.36687279819057</v>
      </c>
      <c r="H51" s="42" t="s">
        <v>102</v>
      </c>
      <c r="I51" s="40">
        <f>H44+(I50-H44)*ETAsT</f>
        <v>2247.1909744643685</v>
      </c>
    </row>
    <row r="52" spans="1:9" ht="15.75">
      <c r="E52" s="38" t="s">
        <v>104</v>
      </c>
      <c r="F52" s="39">
        <f>F51-F44</f>
        <v>5.8993721322806039</v>
      </c>
      <c r="H52" s="42" t="s">
        <v>105</v>
      </c>
      <c r="I52" s="40">
        <f>I51-H44</f>
        <v>-1163.7652188805473</v>
      </c>
    </row>
    <row r="53" spans="1:9">
      <c r="E53" s="43" t="s">
        <v>107</v>
      </c>
      <c r="F53" s="44">
        <f>F52*MFluid/1000</f>
        <v>0.13626917885266152</v>
      </c>
      <c r="H53" s="45" t="s">
        <v>108</v>
      </c>
      <c r="I53" s="46">
        <f>I52*MFluid/1000</f>
        <v>-26.881730326246348</v>
      </c>
    </row>
    <row r="54" spans="1:9">
      <c r="E54" s="31"/>
      <c r="I54" s="30"/>
    </row>
    <row r="55" spans="1:9">
      <c r="E55" s="32" t="s">
        <v>143</v>
      </c>
      <c r="F55" s="33"/>
      <c r="G55" s="33"/>
      <c r="H55" s="33"/>
      <c r="I55" s="30"/>
    </row>
    <row r="56" spans="1:9" ht="15.75">
      <c r="E56" s="47" t="s">
        <v>149</v>
      </c>
      <c r="F56" s="39">
        <f>[2]!TRENDEOS("H","TP",TFGMAX,PFG,A27:A30,$B$27:$B$30,$C$27:$C$30,$D$27,$B$4,"molar")/(1000*F37)</f>
        <v>1038.7312593013557</v>
      </c>
      <c r="G56" s="22" t="s">
        <v>153</v>
      </c>
      <c r="H56" s="39">
        <f>[2]!TRENDEOS("H","PLIQ",Pmax,0,Fluid,$B$24,$C$24,$D$24,$B$4,"specific")/1000</f>
        <v>1154.6414709861897</v>
      </c>
      <c r="I56" s="30"/>
    </row>
    <row r="57" spans="1:9" ht="15.75">
      <c r="E57" s="47" t="s">
        <v>150</v>
      </c>
      <c r="F57" s="39">
        <f>[2]!TRENDEOS("H","TP",F59+DTPinch,PFG,A27:A30,$B$27:$B$30,$C$27:$C$30,$D$27,$B$4,"molar")/(1000*F37)</f>
        <v>771.45713679481412</v>
      </c>
      <c r="G57" s="23" t="s">
        <v>154</v>
      </c>
      <c r="H57" s="44">
        <f>MF*(F56-F57)/(H44-H56)</f>
        <v>23.09892913976627</v>
      </c>
      <c r="I57" s="30"/>
    </row>
    <row r="58" spans="1:9" ht="15.75">
      <c r="A58" s="21"/>
      <c r="B58" s="22"/>
      <c r="C58" s="21"/>
      <c r="E58" s="38" t="s">
        <v>151</v>
      </c>
      <c r="F58" s="39">
        <f>F57-H57/MF*(H56-G44)</f>
        <v>651.19172140533067</v>
      </c>
      <c r="G58" s="45" t="s">
        <v>155</v>
      </c>
      <c r="H58" s="44">
        <f>[2]!TRENDEOS("T","PH",PFG,F58*1000*F37,A27:A30,$B$27:$B$30,$C$27:$C$30,$D$27,$B$4,"molar")</f>
        <v>443.7352265013775</v>
      </c>
      <c r="I58" s="30"/>
    </row>
    <row r="59" spans="1:9" ht="15.75">
      <c r="A59" s="21"/>
      <c r="B59" s="23"/>
      <c r="C59" s="20"/>
      <c r="E59" s="47" t="s">
        <v>152</v>
      </c>
      <c r="F59" s="39">
        <f>[2]!TRENDEOS("T","PLIQ",Pmax,0,Fluid,$B$24,$C$24,$D$24,$B$4,"specific")</f>
        <v>537.09072195419685</v>
      </c>
      <c r="G59" s="39"/>
      <c r="I59" s="30"/>
    </row>
    <row r="60" spans="1:9">
      <c r="E60" s="31"/>
      <c r="I60" s="30"/>
    </row>
    <row r="61" spans="1:9">
      <c r="E61" s="48" t="s">
        <v>144</v>
      </c>
      <c r="F61" s="24"/>
      <c r="G61" s="8"/>
      <c r="H61" s="33"/>
      <c r="I61" s="30"/>
    </row>
    <row r="62" spans="1:9">
      <c r="E62" s="13" t="s">
        <v>119</v>
      </c>
      <c r="F62" s="39">
        <f>[2]!TRENDEOS("P","TLIQ",SUM(Tcool,DTminCond,DTSAT),0,Fluid,B24,C24,D24,B4,"molar")</f>
        <v>4.9931902266330897E-3</v>
      </c>
      <c r="G62" s="3" t="s">
        <v>39</v>
      </c>
      <c r="I62" s="30"/>
    </row>
    <row r="63" spans="1:9">
      <c r="E63" s="13" t="s">
        <v>120</v>
      </c>
      <c r="F63" s="12">
        <f>H57</f>
        <v>23.09892913976627</v>
      </c>
      <c r="G63" s="3" t="s">
        <v>91</v>
      </c>
      <c r="I63" s="30"/>
    </row>
    <row r="64" spans="1:9">
      <c r="E64" s="31"/>
      <c r="I64" s="30"/>
    </row>
    <row r="65" spans="5:9">
      <c r="E65" s="48" t="s">
        <v>145</v>
      </c>
      <c r="F65" s="8"/>
      <c r="G65" s="8"/>
      <c r="H65" s="33"/>
      <c r="I65" s="30"/>
    </row>
    <row r="66" spans="5:9">
      <c r="E66" s="49" t="s">
        <v>118</v>
      </c>
      <c r="F66" s="50">
        <f>ABS(I53+F53)</f>
        <v>26.745461147393687</v>
      </c>
      <c r="G66" s="10" t="s">
        <v>95</v>
      </c>
      <c r="I66" s="30"/>
    </row>
    <row r="67" spans="5:9">
      <c r="E67" s="51" t="s">
        <v>148</v>
      </c>
      <c r="F67" s="52">
        <f>F66*1000/(MFluid*(H44-G44))*100</f>
        <v>35.391540114049889</v>
      </c>
      <c r="G67" s="53" t="s">
        <v>96</v>
      </c>
      <c r="H67" s="54"/>
      <c r="I67" s="55"/>
    </row>
  </sheetData>
  <pageMargins left="0.78740157499999996" right="0.78740157499999996" top="0.984251969" bottom="0.984251969" header="0.4921259845" footer="0.4921259845"/>
  <pageSetup paperSize="9"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24</vt:i4>
      </vt:variant>
    </vt:vector>
  </HeadingPairs>
  <TitlesOfParts>
    <vt:vector size="34" baseType="lpstr">
      <vt:lpstr>Properties</vt:lpstr>
      <vt:lpstr>Phase envelope</vt:lpstr>
      <vt:lpstr>ptx Diagrams</vt:lpstr>
      <vt:lpstr>TernaryDiagEos</vt:lpstr>
      <vt:lpstr>HelpTernaryPlot</vt:lpstr>
      <vt:lpstr>Flash</vt:lpstr>
      <vt:lpstr>Flash Expert</vt:lpstr>
      <vt:lpstr>Flash3 Expert</vt:lpstr>
      <vt:lpstr>Composition</vt:lpstr>
      <vt:lpstr>Rankine Cycle</vt:lpstr>
      <vt:lpstr>Properties!Composition</vt:lpstr>
      <vt:lpstr>'Rankine Cycle'!DTminCond</vt:lpstr>
      <vt:lpstr>'Rankine Cycle'!DTminHG</vt:lpstr>
      <vt:lpstr>'Rankine Cycle'!DTPinch</vt:lpstr>
      <vt:lpstr>'Rankine Cycle'!DTSAT</vt:lpstr>
      <vt:lpstr>Properties!EOSPath</vt:lpstr>
      <vt:lpstr>Properties!EqType</vt:lpstr>
      <vt:lpstr>'Rankine Cycle'!ETAsT</vt:lpstr>
      <vt:lpstr>'Rankine Cycle'!ETAsV</vt:lpstr>
      <vt:lpstr>'Rankine Cycle'!Fluid</vt:lpstr>
      <vt:lpstr>Properties!Fluids</vt:lpstr>
      <vt:lpstr>Properties!InputCode</vt:lpstr>
      <vt:lpstr>'Rankine Cycle'!MF</vt:lpstr>
      <vt:lpstr>'Rankine Cycle'!MFluid</vt:lpstr>
      <vt:lpstr>Properties!MixRules</vt:lpstr>
      <vt:lpstr>'Rankine Cycle'!Pcond</vt:lpstr>
      <vt:lpstr>'Rankine Cycle'!PFG</vt:lpstr>
      <vt:lpstr>'Rankine Cycle'!Pmax</vt:lpstr>
      <vt:lpstr>Properties!Prop1</vt:lpstr>
      <vt:lpstr>Properties!Prop2</vt:lpstr>
      <vt:lpstr>Properties!ShowErrorCode</vt:lpstr>
      <vt:lpstr>'Rankine Cycle'!Tcool</vt:lpstr>
      <vt:lpstr>'Rankine Cycle'!TFGMAX</vt:lpstr>
      <vt:lpstr>Properties!Unit</vt:lpstr>
    </vt:vector>
  </TitlesOfParts>
  <Company>RUB, Lehrstuhl für Thermodynamik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TREND</dc:title>
  <dc:creator/>
  <cp:lastModifiedBy>Monika Thol</cp:lastModifiedBy>
  <cp:lastPrinted>2020-11-03T15:03:17Z</cp:lastPrinted>
  <dcterms:created xsi:type="dcterms:W3CDTF">2012-12-06T14:03:23Z</dcterms:created>
  <dcterms:modified xsi:type="dcterms:W3CDTF">2020-12-18T15:56:55Z</dcterms:modified>
</cp:coreProperties>
</file>