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defaultThemeVersion="166925"/>
  <xr:revisionPtr revIDLastSave="1121" documentId="13_ncr:1_{F6E09CEF-76FF-4BEA-B7AD-1EAE2DB79D95}" xr6:coauthVersionLast="47" xr6:coauthVersionMax="47" xr10:uidLastSave="{15850FF7-D165-4179-AFFC-FD74C1A77C59}"/>
  <bookViews>
    <workbookView xWindow="28680" yWindow="-120" windowWidth="29040" windowHeight="16440" tabRatio="583" xr2:uid="{8EE72449-8F53-455E-8DF3-E931AA098E26}"/>
  </bookViews>
  <sheets>
    <sheet name="Summary" sheetId="1" r:id="rId1"/>
    <sheet name="Example 1" sheetId="7" r:id="rId2"/>
    <sheet name="Example 2" sheetId="6" r:id="rId3"/>
    <sheet name="Example 3" sheetId="8" r:id="rId4"/>
    <sheet name="Example 4" sheetId="9" r:id="rId5"/>
    <sheet name="cd" sheetId="4" state="hidden" r:id="rId6"/>
    <sheet name="uc" sheetId="5" state="hidden" r:id="rId7"/>
  </sheets>
  <definedNames>
    <definedName name="COUT_EFF_SBB0">cd!$L$23</definedName>
    <definedName name="COUT_EFF_SBB1">cd!$M$23</definedName>
    <definedName name="COUT_EFF_SBB2">cd!$N$23</definedName>
    <definedName name="COUT_SBB0">cd!$L$16</definedName>
    <definedName name="COUT_SBB1">cd!$M$16</definedName>
    <definedName name="COUT_SBB2">cd!$N$16</definedName>
    <definedName name="dVOUT_dtss">cd!$C$11</definedName>
    <definedName name="ECOUT_BASE_SBB0">cd!$L$90</definedName>
    <definedName name="ECOUT_BASE_SBB1">cd!$M$90</definedName>
    <definedName name="ECOUT_BASE_SBB2">cd!$N$90</definedName>
    <definedName name="ECOUT_SBB0">cd!$L$89</definedName>
    <definedName name="ECOUT_SBB1">cd!$M$89</definedName>
    <definedName name="ECOUT_SBB2">cd!$N$89</definedName>
    <definedName name="Eloss_cond_CHG_SBB0">cd!$L$83</definedName>
    <definedName name="Eloss_cond_CHG_SBB1">cd!$M$83</definedName>
    <definedName name="Eloss_cond_CHG_SBB2">cd!$N$83</definedName>
    <definedName name="Eloss_cond_SBB0">cd!$L$84</definedName>
    <definedName name="Eloss_cond_SBB0_MAX">cd!$P$84</definedName>
    <definedName name="Eloss_cond_SBB0_MIN">cd!$H$84</definedName>
    <definedName name="Eloss_cond_SBB1">cd!$M$84</definedName>
    <definedName name="Eloss_cond_SBB1_MAX">cd!$Q$84</definedName>
    <definedName name="Eloss_cond_SBB1_MIN">cd!$I$84</definedName>
    <definedName name="Eloss_cond_SBB2">cd!$N$84</definedName>
    <definedName name="Eloss_cond_SBB2_MAX">cd!$R$84</definedName>
    <definedName name="Eloss_cond_SBB2_MIN">cd!$J$84</definedName>
    <definedName name="EN_SBB0">cd!$L$5</definedName>
    <definedName name="EN_SBB1">cd!$M$5</definedName>
    <definedName name="EN_SBB2">cd!$N$5</definedName>
    <definedName name="EOUT_CHG_SBB0">cd!$L$85</definedName>
    <definedName name="EOUT_CHG_SBB1">cd!$M$85</definedName>
    <definedName name="EOUT_CHG_SBB2">cd!$N$85</definedName>
    <definedName name="EOUT_DIS_SBB0">cd!$L$86</definedName>
    <definedName name="EOUT_DIS_SBB1">cd!$M$86</definedName>
    <definedName name="EOUT_DIS_SBB2">cd!$N$86</definedName>
    <definedName name="EOUT_SBB0">cd!$L$87</definedName>
    <definedName name="EOUT_SBB0_MAX">cd!$P$87</definedName>
    <definedName name="EOUT_SBB0_MIN">cd!$H$87</definedName>
    <definedName name="EOUT_SBB1">cd!$M$87</definedName>
    <definedName name="EOUT_SBB1_MAX">cd!$Q$87</definedName>
    <definedName name="EOUT_SBB1_MIN">cd!$I$87</definedName>
    <definedName name="EOUT_SBB2">cd!$N$87</definedName>
    <definedName name="EOUT_SBB2_MAX">cd!$R$87</definedName>
    <definedName name="EOUT_SBB2_MIN">cd!$J$87</definedName>
    <definedName name="ESR_SBB0">cd!#REF!</definedName>
    <definedName name="ESR_SBB1">cd!#REF!</definedName>
    <definedName name="ESR_SBB2">cd!#REF!</definedName>
    <definedName name="fOUT_ripple_SBB0">Summary!$M$29</definedName>
    <definedName name="fOUT_ripple_SBB1">Summary!$N$29</definedName>
    <definedName name="fOUT_ripple_SBB2">Summary!$O$29</definedName>
    <definedName name="IOUT_Max_SBB0">Summary!$M$22</definedName>
    <definedName name="IOUT_Max_SBB0_MAX">Summary!$Q$22</definedName>
    <definedName name="IOUT_Max_SBB0_MIN">Summary!$I$22</definedName>
    <definedName name="IOUT_Max_SBB1">Summary!$N$22</definedName>
    <definedName name="IOUT_Max_SBB1_MAX">Summary!$R$22</definedName>
    <definedName name="IOUT_Max_SBB1_MIN">Summary!$J$22</definedName>
    <definedName name="IOUT_Max_SBB2">Summary!$O$22</definedName>
    <definedName name="IOUT_Max_SBB2_MAX">Summary!$S$22</definedName>
    <definedName name="IOUT_Max_SBB2_MIN">Summary!$K$22</definedName>
    <definedName name="IOUT_SBB0">cd!$L$15</definedName>
    <definedName name="IOUT_SBB1">cd!$M$15</definedName>
    <definedName name="IOUT_SBB2">cd!$N$15</definedName>
    <definedName name="IPeak_Adjust_SBB0">cd!$L$33</definedName>
    <definedName name="IPeak_Adjust_SBB1">cd!$M$33</definedName>
    <definedName name="IPeak_Adjust_SBB2">cd!$N$33</definedName>
    <definedName name="IPeak_SBB0">Summary!$M$11</definedName>
    <definedName name="IPeak_SBB1">Summary!$N$11</definedName>
    <definedName name="IPeak_SBB2">Summary!$O$11</definedName>
    <definedName name="Irms_SBB0">cd!$L$32</definedName>
    <definedName name="Irms_SBB1">cd!$M$32</definedName>
    <definedName name="Irms_SBB2">cd!$N$32</definedName>
    <definedName name="L">cd!$C$15</definedName>
    <definedName name="POUT_MAX_SBB0">Summary!$M$23</definedName>
    <definedName name="POUT_MAX_SBB0_MAX">Summary!$Q$23</definedName>
    <definedName name="POUT_MAX_SBB0_MIN">Summary!$I$23</definedName>
    <definedName name="POUT_MAX_SBB1">Summary!$N$23</definedName>
    <definedName name="POUT_MAX_SBB1_MAX">Summary!$R$23</definedName>
    <definedName name="POUT_MAX_SBB1_MIN">Summary!$J$23</definedName>
    <definedName name="POUT_MAX_SBB2">Summary!$O$23</definedName>
    <definedName name="POUT_MAX_SBB2_MAX">Summary!$S$23</definedName>
    <definedName name="POUT_MAX_SBB2_MIN">Summary!$K$23</definedName>
    <definedName name="QCHG_SBB0">cd!$L$71</definedName>
    <definedName name="QCHG_SBB0_MAX">cd!$P$71</definedName>
    <definedName name="QCHG_SBB0_MIN">cd!$H$71</definedName>
    <definedName name="QCHG_SBB1">cd!$M$71</definedName>
    <definedName name="QCHG_SBB1_MAX">cd!$Q$71</definedName>
    <definedName name="QCHG_SBB1_MIN">cd!$I$71</definedName>
    <definedName name="QCHG_SBB2">cd!$N$71</definedName>
    <definedName name="QCHG_SBB2_MAX">cd!$R$71</definedName>
    <definedName name="QCHG_SBB2_MIN">cd!$J$71</definedName>
    <definedName name="QDIS_SBB0">cd!$L$72</definedName>
    <definedName name="QDIS_SBB0_MAX">cd!$P$72</definedName>
    <definedName name="QDIS_SBB0_MIN">cd!$H$72</definedName>
    <definedName name="QDIS_SBB1">cd!$M$72</definedName>
    <definedName name="QDIS_SBB1_MAX">cd!$Q$72</definedName>
    <definedName name="QDIS_SBB1_MIN">cd!$I$72</definedName>
    <definedName name="QDIS_SBB2">cd!$N$72</definedName>
    <definedName name="QDIS_SBB2_MAX">cd!$R$72</definedName>
    <definedName name="QDIS_SBB2_MIN">cd!$J$72</definedName>
    <definedName name="Qtotal_SBB0">cd!#REF!</definedName>
    <definedName name="Qtotal_SBB1">cd!#REF!</definedName>
    <definedName name="Qtotal_SBB2">cd!#REF!</definedName>
    <definedName name="rCHG_BB">cd!$C$27</definedName>
    <definedName name="rCHG_Boost">cd!$C$28</definedName>
    <definedName name="rCHG_Buck_SBB0">cd!$L$25</definedName>
    <definedName name="rCHG_Buck_SBB1">cd!$M$25</definedName>
    <definedName name="rCHG_Buck_SBB2">cd!$N$25</definedName>
    <definedName name="rCHG_SBB0">cd!$L$29</definedName>
    <definedName name="rCHG_SBB1">cd!$M$29</definedName>
    <definedName name="rCHG_SBB2">cd!$N$29</definedName>
    <definedName name="rDIS_BB_SBB0">cd!$L$27</definedName>
    <definedName name="rDIS_BB_SBB1">cd!$M$27</definedName>
    <definedName name="rDIS_BB_SBB2">cd!$N$27</definedName>
    <definedName name="rDIS_Boost_SBB0">cd!$L$28</definedName>
    <definedName name="rDIS_Boost_SBB1">cd!$M$28</definedName>
    <definedName name="rDIS_Boost_SBB2">cd!$N$28</definedName>
    <definedName name="rDIS_Buck_SBB0">cd!$L$26</definedName>
    <definedName name="rDIS_Buck_SBB1">cd!$M$26</definedName>
    <definedName name="rDIS_Buck_SBB2">cd!$N$26</definedName>
    <definedName name="rDIS_SBB0">cd!$L$30</definedName>
    <definedName name="rDIS_SBB1">cd!$M$30</definedName>
    <definedName name="rDIS_SBB2">cd!$N$30</definedName>
    <definedName name="rL_DCR">cd!$C$16</definedName>
    <definedName name="rMinH_">cd!$C$7</definedName>
    <definedName name="rMinL_">cd!$C$8</definedName>
    <definedName name="rMoutH_SBB0">cd!$L$9</definedName>
    <definedName name="rMoutH_SBB1">cd!$M$9</definedName>
    <definedName name="rMoutH_SBB2">cd!$N$9</definedName>
    <definedName name="rMoutL_">cd!$C$10</definedName>
    <definedName name="tCHG_SBB0">cd!$L$60</definedName>
    <definedName name="tCHG_SBB0_MAX">cd!$P$60</definedName>
    <definedName name="tCHG_SBB0_MIN">cd!$H$60</definedName>
    <definedName name="tCHG_SBB1">cd!$M$60</definedName>
    <definedName name="tCHG_SBB1_MAX">cd!$Q$60</definedName>
    <definedName name="tCHG_SBB1_MIN">cd!$I$60</definedName>
    <definedName name="tCHG_SBB2">cd!$N$60</definedName>
    <definedName name="tCHG_SBB2_MAX">cd!$R$60</definedName>
    <definedName name="tCHG_SBB2_MIN">cd!$J$60</definedName>
    <definedName name="tDIS_SBB0">cd!$L$61</definedName>
    <definedName name="tDIS_SBB0_MAX">cd!$P$61</definedName>
    <definedName name="tDIS_SBB0_MIN">cd!$H$61</definedName>
    <definedName name="tDIS_SBB1">cd!$M$61</definedName>
    <definedName name="tDIS_SBB1_MAX">cd!$Q$61</definedName>
    <definedName name="tDIS_SBB1_MIN">cd!$I$61</definedName>
    <definedName name="tDIS_SBB2">cd!$N$61</definedName>
    <definedName name="tDIS_SBB2_MAX">cd!$R$61</definedName>
    <definedName name="tDIS_SBB2_MIN">cd!$J$61</definedName>
    <definedName name="terror_comp">cd!$C$5</definedName>
    <definedName name="tilim_dly">cd!$C$6</definedName>
    <definedName name="tservice_SBB0">cd!$L$62</definedName>
    <definedName name="tservice_SBB0_MAX">cd!$P$62</definedName>
    <definedName name="tservice_SBB0_MIN">cd!$H$62</definedName>
    <definedName name="tservice_SBB1">cd!$M$62</definedName>
    <definedName name="tservice_SBB1_MAX">cd!$Q$62</definedName>
    <definedName name="tservice_SBB1_MIN">cd!$I$62</definedName>
    <definedName name="tservice_SBB2">cd!$N$62</definedName>
    <definedName name="tservice_SBB2_MAX">cd!$R$62</definedName>
    <definedName name="tservice_SBB2_MIN">cd!$J$62</definedName>
    <definedName name="tss_SBB0">Summary!#REF!</definedName>
    <definedName name="tss_SBB0_MAX">Summary!$Q$35</definedName>
    <definedName name="tss_SBB0_MIN">Summary!$I$35</definedName>
    <definedName name="tss_SBB1">Summary!#REF!</definedName>
    <definedName name="tss_SBB1_MAX">Summary!$R$35</definedName>
    <definedName name="tss_SBB1_MIN">Summary!$J$35</definedName>
    <definedName name="tss_SBB2">Summary!#REF!</definedName>
    <definedName name="tss_SBB2_MAX">Summary!$S$35</definedName>
    <definedName name="tss_SBB2_MIN">Summary!$K$35</definedName>
    <definedName name="tundershoot_SBB0">cd!$L$63</definedName>
    <definedName name="tundershoot_SBB0_MAX">cd!$P$63</definedName>
    <definedName name="tundershoot_SBB0_MIN">cd!$H$63</definedName>
    <definedName name="tundershoot_SBB1">cd!$M$63</definedName>
    <definedName name="tundershoot_SBB1_MAX">cd!$Q$63</definedName>
    <definedName name="tundershoot_SBB1_MIN">cd!$I$63</definedName>
    <definedName name="tundershoot_SBB2">cd!$N$63</definedName>
    <definedName name="tundershoot_SBB2_MAX">cd!$R$63</definedName>
    <definedName name="tundershoot_SBB2_MIN">cd!$J$63</definedName>
    <definedName name="ULPM_max">uc!$E$37</definedName>
    <definedName name="ULPM_min">uc!$E$35</definedName>
    <definedName name="ULPM_typ">uc!$E$36</definedName>
    <definedName name="VCOUT_CHG_SBB0">cd!$L$80</definedName>
    <definedName name="VCOUT_CHG_SBB0_MAX">cd!$P$80</definedName>
    <definedName name="VCOUT_CHG_SBB0_MIN">cd!$H$80</definedName>
    <definedName name="VCOUT_CHG_SBB1">cd!$M$80</definedName>
    <definedName name="VCOUT_CHG_SBB1_MAX">cd!$Q$80</definedName>
    <definedName name="VCOUT_CHG_SBB1_MIN">cd!$I$80</definedName>
    <definedName name="VCOUT_CHG_SBB2">cd!$N$80</definedName>
    <definedName name="VCOUT_CHG_SBB2_MAX">cd!$R$80</definedName>
    <definedName name="VCOUT_CHG_SBB2_MIN">cd!$J$80</definedName>
    <definedName name="VCOUT_DIS_SBB0">cd!$L$81</definedName>
    <definedName name="VCOUT_DIS_SBB0_MAX">cd!$P$81</definedName>
    <definedName name="VCOUT_DIS_SBB0_MIN">cd!$H$81</definedName>
    <definedName name="VCOUT_DIS_SBB1">cd!$M$81</definedName>
    <definedName name="VCOUT_DIS_SBB1_MAX">cd!$Q$81</definedName>
    <definedName name="VCOUT_DIS_SBB1_MIN">cd!$I$81</definedName>
    <definedName name="VCOUT_DIS_SBB2">cd!$N$81</definedName>
    <definedName name="VCOUT_DIS_SBB2_MAX">cd!$R$81</definedName>
    <definedName name="VCOUT_DIS_SBB2_MIN">cd!$J$81</definedName>
    <definedName name="Vdroop_wait_SBB0_1">cd!#REF!</definedName>
    <definedName name="Vdroop_wait_SBB0_1_MAX">cd!#REF!</definedName>
    <definedName name="Vdroop_wait_SBB0_1_MIN">cd!#REF!</definedName>
    <definedName name="Vdroop_wait_SBB0_2">cd!#REF!</definedName>
    <definedName name="Vdroop_wait_SBB0_2_MAX">cd!#REF!</definedName>
    <definedName name="Vdroop_wait_SBB0_2_MIN">cd!#REF!</definedName>
    <definedName name="Vdroop_wait_SBB1_2">cd!#REF!</definedName>
    <definedName name="Vdroop_wait_SBB1_2_MAX">cd!#REF!</definedName>
    <definedName name="Vdroop_wait_SBB1_2_MIN">cd!#REF!</definedName>
    <definedName name="VIN">Summary!$C$5</definedName>
    <definedName name="VL_BB_CHG_SBB0">cd!$L$41</definedName>
    <definedName name="VL_BB_CHG_SBB1">cd!$M$41</definedName>
    <definedName name="VL_BB_CHG_SBB2">cd!$N$41</definedName>
    <definedName name="VL_BB_DIS_SBB0">cd!$L$42</definedName>
    <definedName name="VL_BB_DIS_SBB0_MAX">cd!$P$42</definedName>
    <definedName name="VL_BB_DIS_SBB0_MIN">cd!$H$42</definedName>
    <definedName name="VL_BB_DIS_SBB1">cd!$M$42</definedName>
    <definedName name="VL_BB_DIS_SBB1_MAX">cd!$Q$42</definedName>
    <definedName name="VL_BB_DIS_SBB1_MIN">cd!$I$42</definedName>
    <definedName name="VL_BB_DIS_SBB2">cd!$N$42</definedName>
    <definedName name="VL_BB_DIS_SBB2_MAX">cd!$R$42</definedName>
    <definedName name="VL_BB_DIS_SBB2_MIN">cd!$J$42</definedName>
    <definedName name="VL_Boost_CHG_SBB0">cd!$L$43</definedName>
    <definedName name="VL_Boost_CHG_SBB1">cd!$M$43</definedName>
    <definedName name="VL_Boost_CHG_SBB2">cd!$N$43</definedName>
    <definedName name="VL_Boost_DIS_SBB0">cd!$L$44</definedName>
    <definedName name="VL_Boost_DIS_SBB0_MAX">cd!$P$44</definedName>
    <definedName name="VL_Boost_DIS_SBB0_MIN">cd!$H$44</definedName>
    <definedName name="VL_Boost_DIS_SBB1">cd!$M$44</definedName>
    <definedName name="VL_Boost_DIS_SBB1_MAX">cd!$Q$44</definedName>
    <definedName name="VL_Boost_DIS_SBB1_MIN">cd!$I$44</definedName>
    <definedName name="VL_Boost_DIS_SBB2">cd!$N$44</definedName>
    <definedName name="VL_Boost_DIS_SBB2_MAX">cd!$R$44</definedName>
    <definedName name="VL_Boost_DIS_SBB2_MIN">cd!$J$44</definedName>
    <definedName name="VL_Buck_CHG_SBB0">cd!$L$39</definedName>
    <definedName name="VL_Buck_CHG_SBB0_MAX">cd!$P$39</definedName>
    <definedName name="VL_Buck_CHG_SBB0_MIN">cd!$H$39</definedName>
    <definedName name="VL_Buck_CHG_SBB1">cd!$M$39</definedName>
    <definedName name="VL_Buck_CHG_SBB1_MAX">cd!$Q$39</definedName>
    <definedName name="VL_Buck_CHG_SBB1_MIN">cd!$I$39</definedName>
    <definedName name="VL_Buck_CHG_SBB2">cd!$N$39</definedName>
    <definedName name="VL_Buck_CHG_SBB2_MAX">cd!$R$39</definedName>
    <definedName name="VL_Buck_CHG_SBB2_MIN">cd!$J$39</definedName>
    <definedName name="VL_Buck_DIS_SBB0">cd!$L$40</definedName>
    <definedName name="VL_Buck_DIS_SBB1">cd!$M$40</definedName>
    <definedName name="VL_Buck_DIS_SBB2">cd!$N$40</definedName>
    <definedName name="VLXA_H_SBB0">cd!$L$35</definedName>
    <definedName name="VLXA_H_SBB1">cd!$M$35</definedName>
    <definedName name="VLXA_H_SBB2">cd!$N$35</definedName>
    <definedName name="VLXA_L_SBB0">cd!$L$37</definedName>
    <definedName name="VLXA_L_SBB1">cd!$M$37</definedName>
    <definedName name="VLXA_L_SBB2">cd!$N$37</definedName>
    <definedName name="VLXB_H_SBB0">cd!$L$36</definedName>
    <definedName name="VLXB_H_SBB0_MAX">cd!$P$36</definedName>
    <definedName name="VLXB_H_SBB0_MIN">cd!$H$36</definedName>
    <definedName name="VLXB_H_SBB1">cd!$M$36</definedName>
    <definedName name="VLXB_H_SBB1_MAX">cd!$Q$36</definedName>
    <definedName name="VLXB_H_SBB1_MIN">cd!$I$36</definedName>
    <definedName name="VLXB_H_SBB2">cd!$N$36</definedName>
    <definedName name="VLXB_H_SBB2_MAX">cd!$R$36</definedName>
    <definedName name="VLXB_H_SBB2_MIN">cd!$J$36</definedName>
    <definedName name="VLXB_L_SBB0">cd!$L$38</definedName>
    <definedName name="VLXB_L_SBB1">cd!$M$38</definedName>
    <definedName name="VLXB_L_SBB2">cd!$N$38</definedName>
    <definedName name="VOUT_Accuracy">cd!$C$19</definedName>
    <definedName name="VOUT_ERROR_SBB0">cd!$L$19</definedName>
    <definedName name="VOUT_ERROR_SBB1">cd!$M$19</definedName>
    <definedName name="VOUT_ERROR_SBB2">cd!$N$19</definedName>
    <definedName name="VOUT_Max_Error_Neg_SBB0">Summary!#REF!</definedName>
    <definedName name="VOUT_Max_Error_Neg_SBB1">Summary!#REF!</definedName>
    <definedName name="VOUT_Max_Error_Neg_SBB2">Summary!#REF!</definedName>
    <definedName name="VOUT_Max_Error_Pos_SBB0">Summary!#REF!</definedName>
    <definedName name="VOUT_Max_Error_Pos_SBB1">Summary!#REF!</definedName>
    <definedName name="VOUT_Max_Error_Pos_SBB2">Summary!#REF!</definedName>
    <definedName name="VOUT_peak_SBB0">Summary!$M$30</definedName>
    <definedName name="VOUT_peak_SBB0_MAX">Summary!$Q$30</definedName>
    <definedName name="VOUT_peak_SBB0_MIN">Summary!$I$30</definedName>
    <definedName name="VOUT_peak_SBB1">Summary!$N$30</definedName>
    <definedName name="VOUT_peak_SBB1_MAX">Summary!$R$30</definedName>
    <definedName name="VOUT_peak_SBB1_MIN">Summary!$J$30</definedName>
    <definedName name="VOUT_peak_SBB2">Summary!$O$30</definedName>
    <definedName name="VOUT_peak_SBB2_MAX">Summary!$S$30</definedName>
    <definedName name="VOUT_peak_SBB2_MIN">Summary!$K$30</definedName>
    <definedName name="VOUT_SBB0">Summary!$M$5</definedName>
    <definedName name="VOUT_SBB0_MAX">Summary!$Q$5</definedName>
    <definedName name="VOUT_SBB0_MIN">Summary!$I$5</definedName>
    <definedName name="VOUT_SBB1">Summary!$N$5</definedName>
    <definedName name="VOUT_SBB1_MAX">Summary!$R$5</definedName>
    <definedName name="VOUT_SBB1_MIN">Summary!$J$5</definedName>
    <definedName name="VOUT_SBB2">Summary!$O$5</definedName>
    <definedName name="VOUT_SBB2_MAX">Summary!$S$5</definedName>
    <definedName name="VOUT_SBB2_MIN">Summary!$K$5</definedName>
    <definedName name="VOUT_valley_SBB0">Summary!$M$31</definedName>
    <definedName name="VOUT_valley_SBB0_MAX">Summary!$Q$31</definedName>
    <definedName name="VOUT_valley_SBB0_MIN">Summary!$I$31</definedName>
    <definedName name="VOUT_valley_SBB1">Summary!$N$31</definedName>
    <definedName name="VOUT_valley_SBB1_MAX">Summary!$R$31</definedName>
    <definedName name="VOUT_valley_SBB1_MIN">Summary!$J$31</definedName>
    <definedName name="VOUT_valley_SBB2">Summary!$O$31</definedName>
    <definedName name="VOUT_valley_SBB2_MAX">Summary!$S$31</definedName>
    <definedName name="VOUT_valley_SBB2_MIN">Summary!$K$31</definedName>
    <definedName name="η_SBB0">cd!$L$12</definedName>
    <definedName name="η_SBB1">cd!$M$12</definedName>
    <definedName name="η_SBB2">cd!$N$12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5" i="4" l="1"/>
  <c r="M5" i="4"/>
  <c r="L5" i="4"/>
  <c r="N33" i="4"/>
  <c r="M33" i="4"/>
  <c r="L33" i="4"/>
  <c r="E13" i="5" l="1"/>
  <c r="C6" i="4" s="1"/>
  <c r="L17" i="4" l="1"/>
  <c r="M17" i="4"/>
  <c r="N17" i="4"/>
  <c r="I12" i="5" l="1"/>
  <c r="N21" i="4" l="1"/>
  <c r="M21" i="4"/>
  <c r="L21" i="4"/>
  <c r="E28" i="5"/>
  <c r="E27" i="5"/>
  <c r="E26" i="5"/>
  <c r="E25" i="5"/>
  <c r="E42" i="5"/>
  <c r="O15" i="1" s="1"/>
  <c r="E41" i="5"/>
  <c r="N15" i="1" s="1"/>
  <c r="E40" i="5"/>
  <c r="M15" i="1" s="1"/>
  <c r="E37" i="5"/>
  <c r="E36" i="5"/>
  <c r="E35" i="5"/>
  <c r="E32" i="5"/>
  <c r="E31" i="5"/>
  <c r="E20" i="5"/>
  <c r="E19" i="5"/>
  <c r="E16" i="5"/>
  <c r="E15" i="5"/>
  <c r="E14" i="5"/>
  <c r="L20" i="5"/>
  <c r="K37" i="5"/>
  <c r="K36" i="5"/>
  <c r="K35" i="5"/>
  <c r="K32" i="5"/>
  <c r="K31" i="5"/>
  <c r="K27" i="5"/>
  <c r="K14" i="5"/>
  <c r="K15" i="5"/>
  <c r="K16" i="5"/>
  <c r="K19" i="5"/>
  <c r="K39" i="5"/>
  <c r="K34" i="5"/>
  <c r="K30" i="5"/>
  <c r="K24" i="5"/>
  <c r="L24" i="5"/>
  <c r="K11" i="5"/>
  <c r="K7" i="5"/>
  <c r="K8" i="5"/>
  <c r="K9" i="5"/>
  <c r="K6" i="5"/>
  <c r="L39" i="5"/>
  <c r="L7" i="5"/>
  <c r="E7" i="5" s="1"/>
  <c r="L8" i="5"/>
  <c r="E8" i="5" s="1"/>
  <c r="L9" i="5"/>
  <c r="E9" i="5" s="1"/>
  <c r="L6" i="5"/>
  <c r="E6" i="5" s="1"/>
  <c r="L34" i="5"/>
  <c r="L30" i="5"/>
  <c r="L11" i="5"/>
  <c r="G36" i="5"/>
  <c r="H36" i="5" s="1"/>
  <c r="G37" i="5"/>
  <c r="H37" i="5" s="1"/>
  <c r="G35" i="5"/>
  <c r="H35" i="5" s="1"/>
  <c r="G32" i="5"/>
  <c r="H32" i="5" s="1"/>
  <c r="G31" i="5"/>
  <c r="H31" i="5" s="1"/>
  <c r="G27" i="5"/>
  <c r="H27" i="5" s="1"/>
  <c r="G14" i="5"/>
  <c r="H14" i="5" s="1"/>
  <c r="G15" i="5"/>
  <c r="H15" i="5" s="1"/>
  <c r="G16" i="5"/>
  <c r="H16" i="5" s="1"/>
  <c r="G17" i="5"/>
  <c r="H17" i="5" s="1"/>
  <c r="G18" i="5"/>
  <c r="H18" i="5" s="1"/>
  <c r="G19" i="5"/>
  <c r="H19" i="5" s="1"/>
  <c r="G20" i="5"/>
  <c r="H20" i="5" s="1"/>
  <c r="G12" i="5"/>
  <c r="H12" i="5" s="1"/>
  <c r="G7" i="5"/>
  <c r="H7" i="5" s="1"/>
  <c r="G8" i="5"/>
  <c r="H8" i="5" s="1"/>
  <c r="G9" i="5"/>
  <c r="H9" i="5" s="1"/>
  <c r="G6" i="5"/>
  <c r="H6" i="5" s="1"/>
  <c r="G39" i="5"/>
  <c r="H39" i="5"/>
  <c r="G34" i="5"/>
  <c r="H34" i="5"/>
  <c r="G30" i="5"/>
  <c r="H30" i="5"/>
  <c r="G24" i="5"/>
  <c r="H24" i="5"/>
  <c r="G11" i="5"/>
  <c r="H11" i="5"/>
  <c r="N16" i="1" l="1"/>
  <c r="M16" i="1"/>
  <c r="O16" i="1"/>
  <c r="C19" i="4"/>
  <c r="J39" i="5" l="1"/>
  <c r="I39" i="5"/>
  <c r="F39" i="5"/>
  <c r="J34" i="5"/>
  <c r="I34" i="5"/>
  <c r="F34" i="5"/>
  <c r="E34" i="5"/>
  <c r="J30" i="5" l="1"/>
  <c r="I30" i="5"/>
  <c r="F30" i="5"/>
  <c r="E30" i="5"/>
  <c r="D25" i="5"/>
  <c r="J24" i="5"/>
  <c r="I24" i="5"/>
  <c r="F24" i="5"/>
  <c r="E24" i="5"/>
  <c r="J20" i="5"/>
  <c r="K20" i="5" s="1"/>
  <c r="C11" i="4"/>
  <c r="C10" i="4"/>
  <c r="J18" i="5"/>
  <c r="K18" i="5" s="1"/>
  <c r="J17" i="5"/>
  <c r="K17" i="5" s="1"/>
  <c r="E17" i="5"/>
  <c r="L9" i="4"/>
  <c r="C8" i="4"/>
  <c r="C7" i="4"/>
  <c r="J12" i="5"/>
  <c r="K12" i="5" s="1"/>
  <c r="L12" i="5"/>
  <c r="E12" i="5" s="1"/>
  <c r="C5" i="4" s="1"/>
  <c r="J11" i="5"/>
  <c r="I11" i="5"/>
  <c r="F11" i="5"/>
  <c r="E11" i="5"/>
  <c r="N32" i="4"/>
  <c r="M32" i="4"/>
  <c r="L32" i="4"/>
  <c r="N16" i="4"/>
  <c r="N23" i="4" s="1"/>
  <c r="O36" i="1" s="1"/>
  <c r="M16" i="4"/>
  <c r="M23" i="4" s="1"/>
  <c r="N36" i="1" s="1"/>
  <c r="L16" i="4"/>
  <c r="L23" i="4" s="1"/>
  <c r="M36" i="1" s="1"/>
  <c r="C16" i="4"/>
  <c r="C15" i="4"/>
  <c r="N35" i="1" l="1"/>
  <c r="O35" i="1"/>
  <c r="M35" i="1"/>
  <c r="L37" i="4"/>
  <c r="L35" i="4"/>
  <c r="L36" i="4"/>
  <c r="L38" i="4"/>
  <c r="N37" i="4"/>
  <c r="N35" i="4"/>
  <c r="N38" i="4"/>
  <c r="M37" i="4"/>
  <c r="M35" i="4"/>
  <c r="M38" i="4"/>
  <c r="M18" i="1"/>
  <c r="O18" i="1"/>
  <c r="N90" i="4"/>
  <c r="L90" i="4"/>
  <c r="N18" i="1"/>
  <c r="M90" i="4"/>
  <c r="L28" i="4"/>
  <c r="C28" i="4"/>
  <c r="E18" i="5"/>
  <c r="M9" i="4"/>
  <c r="M36" i="4" s="1"/>
  <c r="D26" i="5"/>
  <c r="D27" i="5" s="1"/>
  <c r="L25" i="4"/>
  <c r="L26" i="4"/>
  <c r="L27" i="4"/>
  <c r="L19" i="4"/>
  <c r="N19" i="4"/>
  <c r="M19" i="4"/>
  <c r="C27" i="4"/>
  <c r="L30" i="4" l="1"/>
  <c r="L29" i="4"/>
  <c r="L42" i="4"/>
  <c r="L57" i="4" s="1"/>
  <c r="L44" i="4"/>
  <c r="L59" i="4" s="1"/>
  <c r="M44" i="4"/>
  <c r="M42" i="4"/>
  <c r="L41" i="4"/>
  <c r="L39" i="4"/>
  <c r="L46" i="4" s="1"/>
  <c r="N41" i="4"/>
  <c r="M41" i="4"/>
  <c r="M39" i="4"/>
  <c r="M46" i="4" s="1"/>
  <c r="M26" i="4"/>
  <c r="N29" i="4"/>
  <c r="M28" i="4"/>
  <c r="D28" i="5"/>
  <c r="C28" i="5" s="1"/>
  <c r="N9" i="4"/>
  <c r="N36" i="4" s="1"/>
  <c r="C25" i="5"/>
  <c r="M25" i="4"/>
  <c r="M29" i="4" s="1"/>
  <c r="M27" i="4"/>
  <c r="N48" i="4" l="1"/>
  <c r="N50" i="4" s="1"/>
  <c r="R48" i="4"/>
  <c r="R50" i="4" s="1"/>
  <c r="J56" i="4"/>
  <c r="J58" i="4" s="1"/>
  <c r="J60" i="4" s="1"/>
  <c r="R56" i="4"/>
  <c r="R58" i="4" s="1"/>
  <c r="R60" i="4" s="1"/>
  <c r="J48" i="4"/>
  <c r="J50" i="4" s="1"/>
  <c r="M48" i="4"/>
  <c r="M50" i="4" s="1"/>
  <c r="Q48" i="4"/>
  <c r="Q50" i="4" s="1"/>
  <c r="I56" i="4"/>
  <c r="I48" i="4"/>
  <c r="I50" i="4" s="1"/>
  <c r="Q56" i="4"/>
  <c r="L48" i="4"/>
  <c r="L50" i="4" s="1"/>
  <c r="H48" i="4"/>
  <c r="H50" i="4" s="1"/>
  <c r="P56" i="4"/>
  <c r="P58" i="4" s="1"/>
  <c r="H56" i="4"/>
  <c r="H58" i="4" s="1"/>
  <c r="P48" i="4"/>
  <c r="P50" i="4" s="1"/>
  <c r="L40" i="4"/>
  <c r="L49" i="4"/>
  <c r="L47" i="4" s="1"/>
  <c r="L51" i="4"/>
  <c r="M57" i="4"/>
  <c r="M49" i="4"/>
  <c r="M47" i="4" s="1"/>
  <c r="M59" i="4"/>
  <c r="M51" i="4"/>
  <c r="N42" i="4"/>
  <c r="N44" i="4"/>
  <c r="N43" i="4"/>
  <c r="N56" i="4"/>
  <c r="N58" i="4" s="1"/>
  <c r="N60" i="4" s="1"/>
  <c r="M40" i="4"/>
  <c r="M54" i="4"/>
  <c r="M65" i="4" s="1"/>
  <c r="M43" i="4"/>
  <c r="M56" i="4"/>
  <c r="L54" i="4"/>
  <c r="L43" i="4"/>
  <c r="L56" i="4"/>
  <c r="L58" i="4" s="1"/>
  <c r="N39" i="4"/>
  <c r="N46" i="4" s="1"/>
  <c r="N52" i="4" s="1"/>
  <c r="N28" i="4"/>
  <c r="M30" i="4"/>
  <c r="C27" i="5"/>
  <c r="C26" i="5"/>
  <c r="N27" i="4"/>
  <c r="N25" i="4"/>
  <c r="N26" i="4"/>
  <c r="M58" i="4" l="1"/>
  <c r="M60" i="4"/>
  <c r="M63" i="4" s="1"/>
  <c r="Q58" i="4"/>
  <c r="I58" i="4"/>
  <c r="L60" i="4"/>
  <c r="L63" i="4" s="1"/>
  <c r="N51" i="4"/>
  <c r="N59" i="4"/>
  <c r="N61" i="4" s="1"/>
  <c r="N49" i="4"/>
  <c r="N47" i="4" s="1"/>
  <c r="N57" i="4"/>
  <c r="L55" i="4"/>
  <c r="L61" i="4" s="1"/>
  <c r="L65" i="4"/>
  <c r="L71" i="4" s="1"/>
  <c r="L52" i="4"/>
  <c r="N54" i="4"/>
  <c r="N40" i="4"/>
  <c r="N30" i="4"/>
  <c r="M55" i="4"/>
  <c r="M61" i="4" s="1"/>
  <c r="N70" i="4" l="1"/>
  <c r="N63" i="4"/>
  <c r="N83" i="4"/>
  <c r="N74" i="4"/>
  <c r="N80" i="4" s="1"/>
  <c r="L83" i="4"/>
  <c r="L74" i="4"/>
  <c r="L75" i="4" s="1"/>
  <c r="N68" i="4"/>
  <c r="L84" i="4"/>
  <c r="L77" i="4"/>
  <c r="L79" i="4"/>
  <c r="N65" i="4"/>
  <c r="N71" i="4" s="1"/>
  <c r="M83" i="4"/>
  <c r="M74" i="4"/>
  <c r="L70" i="4"/>
  <c r="L68" i="4"/>
  <c r="L66" i="4" s="1"/>
  <c r="L72" i="4" s="1"/>
  <c r="M84" i="4"/>
  <c r="M71" i="4"/>
  <c r="N55" i="4"/>
  <c r="L62" i="4"/>
  <c r="S5" i="1"/>
  <c r="S35" i="1" s="1"/>
  <c r="K5" i="1"/>
  <c r="K35" i="1" s="1"/>
  <c r="R5" i="1"/>
  <c r="R35" i="1" s="1"/>
  <c r="J5" i="1"/>
  <c r="J35" i="1" s="1"/>
  <c r="I5" i="1"/>
  <c r="I35" i="1" s="1"/>
  <c r="Q5" i="1"/>
  <c r="Q35" i="1" s="1"/>
  <c r="I36" i="4" l="1"/>
  <c r="I90" i="4"/>
  <c r="Q36" i="4"/>
  <c r="Q90" i="4"/>
  <c r="P36" i="4"/>
  <c r="P90" i="4"/>
  <c r="H36" i="4"/>
  <c r="H90" i="4"/>
  <c r="J36" i="4"/>
  <c r="J90" i="4"/>
  <c r="R36" i="4"/>
  <c r="R90" i="4"/>
  <c r="L80" i="4"/>
  <c r="L85" i="4" s="1"/>
  <c r="L81" i="4"/>
  <c r="N77" i="4"/>
  <c r="N79" i="4"/>
  <c r="N75" i="4"/>
  <c r="M52" i="4"/>
  <c r="N84" i="4"/>
  <c r="M80" i="4"/>
  <c r="M85" i="4" s="1"/>
  <c r="N66" i="4"/>
  <c r="N72" i="4" s="1"/>
  <c r="M62" i="4"/>
  <c r="L86" i="4" l="1"/>
  <c r="L87" i="4" s="1"/>
  <c r="P42" i="4"/>
  <c r="H57" i="4" s="1"/>
  <c r="P44" i="4"/>
  <c r="H59" i="4" s="1"/>
  <c r="H44" i="4"/>
  <c r="P59" i="4" s="1"/>
  <c r="H42" i="4"/>
  <c r="P57" i="4" s="1"/>
  <c r="Q44" i="4"/>
  <c r="I39" i="4"/>
  <c r="Q42" i="4"/>
  <c r="J42" i="4"/>
  <c r="R57" i="4" s="1"/>
  <c r="J44" i="4"/>
  <c r="R59" i="4" s="1"/>
  <c r="R61" i="4" s="1"/>
  <c r="R44" i="4"/>
  <c r="J59" i="4" s="1"/>
  <c r="J61" i="4" s="1"/>
  <c r="R42" i="4"/>
  <c r="J57" i="4" s="1"/>
  <c r="Q39" i="4"/>
  <c r="I44" i="4"/>
  <c r="I42" i="4"/>
  <c r="P39" i="4"/>
  <c r="H54" i="4" s="1"/>
  <c r="H39" i="4"/>
  <c r="P54" i="4" s="1"/>
  <c r="J39" i="4"/>
  <c r="R54" i="4" s="1"/>
  <c r="R39" i="4"/>
  <c r="J54" i="4" s="1"/>
  <c r="M77" i="4"/>
  <c r="M79" i="4"/>
  <c r="M68" i="4"/>
  <c r="M66" i="4" s="1"/>
  <c r="M72" i="4" s="1"/>
  <c r="M70" i="4"/>
  <c r="M75" i="4"/>
  <c r="M81" i="4" s="1"/>
  <c r="N81" i="4"/>
  <c r="N85" i="4"/>
  <c r="N62" i="4"/>
  <c r="M23" i="1" l="1"/>
  <c r="M22" i="1" s="1"/>
  <c r="M37" i="1" s="1"/>
  <c r="J63" i="4"/>
  <c r="J83" i="4"/>
  <c r="R63" i="4"/>
  <c r="R83" i="4"/>
  <c r="I51" i="4"/>
  <c r="Q59" i="4"/>
  <c r="Q46" i="4"/>
  <c r="I54" i="4"/>
  <c r="I60" i="4" s="1"/>
  <c r="Q40" i="4"/>
  <c r="I57" i="4"/>
  <c r="Q49" i="4"/>
  <c r="Q47" i="4" s="1"/>
  <c r="I40" i="4"/>
  <c r="Q57" i="4"/>
  <c r="I49" i="4"/>
  <c r="I47" i="4" s="1"/>
  <c r="I46" i="4"/>
  <c r="Q54" i="4"/>
  <c r="Q60" i="4" s="1"/>
  <c r="I59" i="4"/>
  <c r="Q51" i="4"/>
  <c r="P46" i="4"/>
  <c r="P51" i="4"/>
  <c r="H70" i="4" s="1"/>
  <c r="H51" i="4"/>
  <c r="P70" i="4" s="1"/>
  <c r="H49" i="4"/>
  <c r="H47" i="4" s="1"/>
  <c r="H40" i="4"/>
  <c r="H46" i="4"/>
  <c r="P40" i="4"/>
  <c r="P49" i="4"/>
  <c r="P47" i="4" s="1"/>
  <c r="J46" i="4"/>
  <c r="J52" i="4" s="1"/>
  <c r="R46" i="4"/>
  <c r="R52" i="4" s="1"/>
  <c r="R40" i="4"/>
  <c r="R49" i="4"/>
  <c r="R47" i="4" s="1"/>
  <c r="J40" i="4"/>
  <c r="J49" i="4"/>
  <c r="J47" i="4" s="1"/>
  <c r="R51" i="4"/>
  <c r="J70" i="4" s="1"/>
  <c r="J51" i="4"/>
  <c r="R70" i="4" s="1"/>
  <c r="N86" i="4"/>
  <c r="N87" i="4" s="1"/>
  <c r="O23" i="1" s="1"/>
  <c r="M86" i="4"/>
  <c r="I83" i="4" l="1"/>
  <c r="I63" i="4"/>
  <c r="Q83" i="4"/>
  <c r="Q63" i="4"/>
  <c r="Q70" i="4"/>
  <c r="I70" i="4"/>
  <c r="I52" i="4"/>
  <c r="I65" i="4"/>
  <c r="I71" i="4" s="1"/>
  <c r="I74" i="4"/>
  <c r="J68" i="4"/>
  <c r="J66" i="4" s="1"/>
  <c r="J72" i="4" s="1"/>
  <c r="Q52" i="4"/>
  <c r="Q65" i="4"/>
  <c r="Q71" i="4" s="1"/>
  <c r="Q74" i="4"/>
  <c r="H68" i="4"/>
  <c r="H66" i="4" s="1"/>
  <c r="H72" i="4" s="1"/>
  <c r="P68" i="4"/>
  <c r="P66" i="4" s="1"/>
  <c r="P72" i="4" s="1"/>
  <c r="Q68" i="4"/>
  <c r="Q66" i="4" s="1"/>
  <c r="Q72" i="4" s="1"/>
  <c r="Q55" i="4"/>
  <c r="Q61" i="4" s="1"/>
  <c r="I68" i="4"/>
  <c r="I66" i="4" s="1"/>
  <c r="I72" i="4" s="1"/>
  <c r="I55" i="4"/>
  <c r="I61" i="4" s="1"/>
  <c r="R68" i="4"/>
  <c r="R66" i="4" s="1"/>
  <c r="R72" i="4" s="1"/>
  <c r="H65" i="4"/>
  <c r="H71" i="4" s="1"/>
  <c r="H60" i="4"/>
  <c r="H74" i="4" s="1"/>
  <c r="H52" i="4"/>
  <c r="P65" i="4"/>
  <c r="P71" i="4" s="1"/>
  <c r="P60" i="4"/>
  <c r="P74" i="4" s="1"/>
  <c r="P55" i="4"/>
  <c r="P61" i="4" s="1"/>
  <c r="H55" i="4"/>
  <c r="H61" i="4" s="1"/>
  <c r="P52" i="4"/>
  <c r="R65" i="4"/>
  <c r="R71" i="4" s="1"/>
  <c r="R74" i="4"/>
  <c r="R80" i="4" s="1"/>
  <c r="R55" i="4"/>
  <c r="J55" i="4"/>
  <c r="J65" i="4"/>
  <c r="J71" i="4" s="1"/>
  <c r="J74" i="4"/>
  <c r="J80" i="4" s="1"/>
  <c r="M87" i="4"/>
  <c r="N23" i="1" s="1"/>
  <c r="R85" i="4" l="1" a="1"/>
  <c r="R85" i="4" s="1"/>
  <c r="J85" i="4" a="1"/>
  <c r="J85" i="4" s="1"/>
  <c r="Q75" i="4"/>
  <c r="Q80" i="4"/>
  <c r="Q85" i="4" s="1" a="1"/>
  <c r="Q85" i="4" s="1"/>
  <c r="I80" i="4"/>
  <c r="I85" i="4" s="1" a="1"/>
  <c r="I85" i="4" s="1"/>
  <c r="I75" i="4"/>
  <c r="I79" i="4"/>
  <c r="I62" i="4"/>
  <c r="I84" i="4"/>
  <c r="I77" i="4"/>
  <c r="Q84" i="4"/>
  <c r="Q62" i="4"/>
  <c r="Q77" i="4"/>
  <c r="Q79" i="4"/>
  <c r="P62" i="4"/>
  <c r="P84" i="4"/>
  <c r="P79" i="4"/>
  <c r="P77" i="4"/>
  <c r="H62" i="4"/>
  <c r="H84" i="4"/>
  <c r="H79" i="4"/>
  <c r="H77" i="4"/>
  <c r="P63" i="4"/>
  <c r="P83" i="4"/>
  <c r="H75" i="4"/>
  <c r="H80" i="4"/>
  <c r="H85" i="4" s="1" a="1"/>
  <c r="H85" i="4" s="1"/>
  <c r="H63" i="4"/>
  <c r="H83" i="4"/>
  <c r="P75" i="4"/>
  <c r="P80" i="4"/>
  <c r="P85" i="4" s="1" a="1"/>
  <c r="P85" i="4" s="1"/>
  <c r="J62" i="4"/>
  <c r="J84" i="4"/>
  <c r="J79" i="4"/>
  <c r="J77" i="4"/>
  <c r="R75" i="4"/>
  <c r="R79" i="4"/>
  <c r="R62" i="4"/>
  <c r="R84" i="4"/>
  <c r="R77" i="4"/>
  <c r="J75" i="4"/>
  <c r="O22" i="1"/>
  <c r="Q81" i="4" l="1"/>
  <c r="Q86" i="4" s="1" a="1"/>
  <c r="Q86" i="4" s="1"/>
  <c r="Q87" i="4" s="1"/>
  <c r="R23" i="1" s="1"/>
  <c r="I81" i="4"/>
  <c r="I86" i="4" s="1" a="1"/>
  <c r="I86" i="4" s="1"/>
  <c r="I87" i="4" s="1"/>
  <c r="P81" i="4"/>
  <c r="J81" i="4"/>
  <c r="H81" i="4"/>
  <c r="R81" i="4"/>
  <c r="N22" i="1"/>
  <c r="O37" i="1"/>
  <c r="H86" i="4" l="1" a="1"/>
  <c r="H86" i="4" s="1"/>
  <c r="H87" i="4" s="1"/>
  <c r="I23" i="1" s="1"/>
  <c r="I22" i="1" s="1"/>
  <c r="P86" i="4" a="1"/>
  <c r="P86" i="4" s="1"/>
  <c r="P87" i="4" s="1"/>
  <c r="Q23" i="1" s="1"/>
  <c r="Q22" i="1" s="1"/>
  <c r="Q37" i="1" s="1"/>
  <c r="J23" i="1"/>
  <c r="J22" i="1" s="1"/>
  <c r="J37" i="1" s="1"/>
  <c r="R22" i="1"/>
  <c r="J86" i="4" a="1"/>
  <c r="J86" i="4" s="1"/>
  <c r="J87" i="4" s="1"/>
  <c r="K23" i="1" s="1"/>
  <c r="R86" i="4" a="1"/>
  <c r="R86" i="4" s="1"/>
  <c r="R87" i="4" s="1"/>
  <c r="S23" i="1" s="1"/>
  <c r="M15" i="4"/>
  <c r="N15" i="4"/>
  <c r="L15" i="4"/>
  <c r="N37" i="1"/>
  <c r="M33" i="1" l="1"/>
  <c r="M31" i="1" s="1"/>
  <c r="M25" i="1" s="1"/>
  <c r="Q33" i="1"/>
  <c r="Q31" i="1" s="1"/>
  <c r="Q25" i="1" s="1"/>
  <c r="Q26" i="1" s="1"/>
  <c r="I33" i="1"/>
  <c r="I31" i="1" s="1"/>
  <c r="I25" i="1" s="1"/>
  <c r="I26" i="1" s="1"/>
  <c r="O33" i="1"/>
  <c r="O31" i="1" s="1"/>
  <c r="O25" i="1" s="1"/>
  <c r="S33" i="1"/>
  <c r="S31" i="1" s="1"/>
  <c r="S25" i="1" s="1"/>
  <c r="S26" i="1" s="1"/>
  <c r="K33" i="1"/>
  <c r="K31" i="1" s="1"/>
  <c r="K25" i="1" s="1"/>
  <c r="K26" i="1" s="1"/>
  <c r="R20" i="1"/>
  <c r="R29" i="1" s="1"/>
  <c r="J33" i="1"/>
  <c r="J31" i="1" s="1"/>
  <c r="J25" i="1" s="1"/>
  <c r="J26" i="1" s="1"/>
  <c r="R33" i="1"/>
  <c r="R31" i="1" s="1"/>
  <c r="R25" i="1" s="1"/>
  <c r="R26" i="1" s="1"/>
  <c r="N33" i="1"/>
  <c r="N31" i="1" s="1"/>
  <c r="N25" i="1" s="1"/>
  <c r="I20" i="1"/>
  <c r="I29" i="1" s="1"/>
  <c r="R37" i="1"/>
  <c r="J20" i="1"/>
  <c r="K22" i="1"/>
  <c r="K37" i="1" s="1"/>
  <c r="Q20" i="1"/>
  <c r="H89" i="4" s="1"/>
  <c r="I30" i="1" s="1"/>
  <c r="I37" i="1"/>
  <c r="S22" i="1"/>
  <c r="M20" i="1"/>
  <c r="M29" i="1" s="1"/>
  <c r="O20" i="1"/>
  <c r="N89" i="4" s="1"/>
  <c r="O30" i="1" s="1"/>
  <c r="N20" i="1"/>
  <c r="M89" i="4" s="1"/>
  <c r="N30" i="1" s="1"/>
  <c r="I27" i="1" l="1"/>
  <c r="I28" i="1" s="1"/>
  <c r="I89" i="4"/>
  <c r="J30" i="1" s="1"/>
  <c r="J27" i="1" s="1"/>
  <c r="J28" i="1" s="1"/>
  <c r="P89" i="4"/>
  <c r="S20" i="1"/>
  <c r="S29" i="1" s="1"/>
  <c r="J29" i="1"/>
  <c r="Q89" i="4"/>
  <c r="Q29" i="1"/>
  <c r="K20" i="1"/>
  <c r="R89" i="4" s="1"/>
  <c r="S37" i="1"/>
  <c r="L89" i="4"/>
  <c r="M30" i="1" s="1"/>
  <c r="N29" i="1"/>
  <c r="C20" i="1"/>
  <c r="O29" i="1"/>
  <c r="Q30" i="1" l="1"/>
  <c r="Q27" i="1" s="1"/>
  <c r="Q28" i="1" s="1"/>
  <c r="S30" i="1"/>
  <c r="S27" i="1" s="1"/>
  <c r="S28" i="1" s="1"/>
  <c r="R30" i="1"/>
  <c r="R27" i="1" s="1"/>
  <c r="R28" i="1" s="1"/>
  <c r="J89" i="4"/>
  <c r="K29" i="1"/>
  <c r="M26" i="1"/>
  <c r="M27" i="1"/>
  <c r="M28" i="1" s="1"/>
  <c r="K30" i="1" l="1"/>
  <c r="K27" i="1" s="1"/>
  <c r="K28" i="1" s="1"/>
  <c r="O26" i="1"/>
  <c r="N26" i="1"/>
  <c r="O27" i="1" l="1"/>
  <c r="O28" i="1" s="1"/>
  <c r="N27" i="1"/>
  <c r="N28"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<sst xmlns="http://schemas.openxmlformats.org/spreadsheetml/2006/main" count="367" uniqueCount="207">
  <si>
    <t>Symbol</t>
  </si>
  <si>
    <t>Value</t>
  </si>
  <si>
    <t>Unit</t>
  </si>
  <si>
    <t>Per Channel Symbol</t>
  </si>
  <si>
    <t>Per Channel Value</t>
  </si>
  <si>
    <t>SBB0</t>
  </si>
  <si>
    <t>SBB1</t>
  </si>
  <si>
    <t>SBB2</t>
  </si>
  <si>
    <t>Input Section</t>
  </si>
  <si>
    <r>
      <t>V</t>
    </r>
    <r>
      <rPr>
        <vertAlign val="subscript"/>
        <sz val="11"/>
        <rFont val="Calibri"/>
        <family val="2"/>
        <scheme val="minor"/>
      </rPr>
      <t>IN</t>
    </r>
  </si>
  <si>
    <t>V</t>
  </si>
  <si>
    <r>
      <t>V</t>
    </r>
    <r>
      <rPr>
        <vertAlign val="subscript"/>
        <sz val="11"/>
        <rFont val="Calibri"/>
        <family val="2"/>
        <scheme val="minor"/>
      </rPr>
      <t>OUT</t>
    </r>
  </si>
  <si>
    <t>L</t>
  </si>
  <si>
    <r>
      <rPr>
        <sz val="11"/>
        <color theme="1"/>
        <rFont val="Calibri"/>
        <family val="2"/>
      </rPr>
      <t>μ</t>
    </r>
    <r>
      <rPr>
        <sz val="11"/>
        <color theme="1"/>
        <rFont val="Calibri"/>
        <family val="2"/>
        <scheme val="minor"/>
      </rPr>
      <t>H</t>
    </r>
  </si>
  <si>
    <r>
      <t>I</t>
    </r>
    <r>
      <rPr>
        <vertAlign val="subscript"/>
        <sz val="11"/>
        <color theme="1"/>
        <rFont val="Calibri"/>
        <family val="2"/>
        <scheme val="minor"/>
      </rPr>
      <t>OUT</t>
    </r>
  </si>
  <si>
    <t>mA</t>
  </si>
  <si>
    <r>
      <t>r</t>
    </r>
    <r>
      <rPr>
        <vertAlign val="subscript"/>
        <sz val="11"/>
        <rFont val="Calibri"/>
        <family val="2"/>
        <scheme val="minor"/>
      </rPr>
      <t>L_DCR</t>
    </r>
  </si>
  <si>
    <t>mΩ</t>
  </si>
  <si>
    <t>μF</t>
  </si>
  <si>
    <r>
      <t>T</t>
    </r>
    <r>
      <rPr>
        <vertAlign val="subscript"/>
        <sz val="11"/>
        <rFont val="Calibri"/>
        <family val="2"/>
        <scheme val="minor"/>
      </rPr>
      <t>OPERATING</t>
    </r>
  </si>
  <si>
    <t>°C</t>
  </si>
  <si>
    <t>Yes</t>
  </si>
  <si>
    <t>Device</t>
  </si>
  <si>
    <r>
      <t>I</t>
    </r>
    <r>
      <rPr>
        <vertAlign val="subscript"/>
        <sz val="11"/>
        <color theme="1"/>
        <rFont val="Calibri"/>
        <family val="2"/>
        <scheme val="minor"/>
      </rPr>
      <t>L_Peak</t>
    </r>
  </si>
  <si>
    <t>A</t>
  </si>
  <si>
    <t>Operating Mode</t>
  </si>
  <si>
    <t>Buck-Boost</t>
  </si>
  <si>
    <t>Buck</t>
  </si>
  <si>
    <t>Calculation Results</t>
  </si>
  <si>
    <t>Inductor Utilization</t>
  </si>
  <si>
    <t>Total Utilization</t>
  </si>
  <si>
    <t>%</t>
  </si>
  <si>
    <t>Utilization</t>
  </si>
  <si>
    <t>Current and Power</t>
  </si>
  <si>
    <r>
      <t>I</t>
    </r>
    <r>
      <rPr>
        <vertAlign val="subscript"/>
        <sz val="11"/>
        <color theme="1"/>
        <rFont val="Calibri"/>
        <family val="2"/>
        <scheme val="minor"/>
      </rPr>
      <t>OUT_Max</t>
    </r>
  </si>
  <si>
    <r>
      <t>P</t>
    </r>
    <r>
      <rPr>
        <vertAlign val="subscript"/>
        <sz val="11"/>
        <color theme="1"/>
        <rFont val="Calibri"/>
        <family val="2"/>
        <scheme val="minor"/>
      </rPr>
      <t>OUT_Max</t>
    </r>
  </si>
  <si>
    <t>W</t>
  </si>
  <si>
    <t>Output Voltage Ripple</t>
  </si>
  <si>
    <r>
      <t>V</t>
    </r>
    <r>
      <rPr>
        <vertAlign val="subscript"/>
        <sz val="11"/>
        <color theme="1"/>
        <rFont val="Calibri"/>
        <family val="2"/>
        <scheme val="minor"/>
      </rPr>
      <t>OUT_ripple_no_load</t>
    </r>
  </si>
  <si>
    <r>
      <t>mV</t>
    </r>
    <r>
      <rPr>
        <vertAlign val="subscript"/>
        <sz val="11"/>
        <color theme="1"/>
        <rFont val="Calibri"/>
        <family val="2"/>
      </rPr>
      <t>pp</t>
    </r>
  </si>
  <si>
    <r>
      <t>V</t>
    </r>
    <r>
      <rPr>
        <vertAlign val="subscript"/>
        <sz val="11"/>
        <color theme="1"/>
        <rFont val="Calibri"/>
        <family val="2"/>
        <scheme val="minor"/>
      </rPr>
      <t>OUT_ripple_w_load</t>
    </r>
  </si>
  <si>
    <r>
      <t>mV</t>
    </r>
    <r>
      <rPr>
        <vertAlign val="subscript"/>
        <sz val="11"/>
        <color theme="1"/>
        <rFont val="Calibri"/>
        <family val="2"/>
        <scheme val="minor"/>
      </rPr>
      <t>pp</t>
    </r>
  </si>
  <si>
    <r>
      <t>f</t>
    </r>
    <r>
      <rPr>
        <vertAlign val="subscript"/>
        <sz val="11"/>
        <color theme="1"/>
        <rFont val="Calibri"/>
        <family val="2"/>
        <scheme val="minor"/>
      </rPr>
      <t>OUT_ripple</t>
    </r>
  </si>
  <si>
    <t>kHz</t>
  </si>
  <si>
    <r>
      <t>V</t>
    </r>
    <r>
      <rPr>
        <vertAlign val="subscript"/>
        <sz val="11"/>
        <color theme="1"/>
        <rFont val="Calibri"/>
        <family val="2"/>
        <scheme val="minor"/>
      </rPr>
      <t>OUT_unserviced_droop</t>
    </r>
  </si>
  <si>
    <t>Soft Start and Maximum Capacitance</t>
  </si>
  <si>
    <r>
      <t>t</t>
    </r>
    <r>
      <rPr>
        <vertAlign val="subscript"/>
        <sz val="11"/>
        <color theme="1"/>
        <rFont val="Calibri"/>
        <family val="2"/>
        <scheme val="minor"/>
      </rPr>
      <t>ss</t>
    </r>
  </si>
  <si>
    <t>μs</t>
  </si>
  <si>
    <r>
      <t>I</t>
    </r>
    <r>
      <rPr>
        <vertAlign val="subscript"/>
        <sz val="11"/>
        <color theme="1"/>
        <rFont val="Calibri"/>
        <family val="2"/>
        <scheme val="minor"/>
      </rPr>
      <t>COUT_tss</t>
    </r>
  </si>
  <si>
    <r>
      <t>C</t>
    </r>
    <r>
      <rPr>
        <vertAlign val="subscript"/>
        <sz val="11"/>
        <color theme="1"/>
        <rFont val="Calibri"/>
        <family val="2"/>
        <scheme val="minor"/>
      </rPr>
      <t>OUT_Max_tss</t>
    </r>
  </si>
  <si>
    <r>
      <rPr>
        <sz val="11"/>
        <color theme="1"/>
        <rFont val="Calibri"/>
        <family val="2"/>
      </rPr>
      <t>μ</t>
    </r>
    <r>
      <rPr>
        <sz val="11"/>
        <color theme="1"/>
        <rFont val="Calibri"/>
        <family val="2"/>
        <scheme val="minor"/>
      </rPr>
      <t>F</t>
    </r>
  </si>
  <si>
    <t>Device Characteristics</t>
  </si>
  <si>
    <r>
      <t>t</t>
    </r>
    <r>
      <rPr>
        <vertAlign val="subscript"/>
        <sz val="11"/>
        <color theme="1"/>
        <rFont val="Calibri"/>
        <family val="2"/>
        <scheme val="minor"/>
      </rPr>
      <t>error_comp</t>
    </r>
  </si>
  <si>
    <t>s</t>
  </si>
  <si>
    <t>Channel enabled</t>
  </si>
  <si>
    <r>
      <t>r</t>
    </r>
    <r>
      <rPr>
        <vertAlign val="subscript"/>
        <sz val="11"/>
        <color theme="1"/>
        <rFont val="Calibri"/>
        <family val="2"/>
        <scheme val="minor"/>
      </rPr>
      <t>M1</t>
    </r>
  </si>
  <si>
    <t>Ω</t>
  </si>
  <si>
    <r>
      <t>r</t>
    </r>
    <r>
      <rPr>
        <vertAlign val="subscript"/>
        <sz val="11"/>
        <color theme="1"/>
        <rFont val="Calibri"/>
        <family val="2"/>
        <scheme val="minor"/>
      </rPr>
      <t>M2</t>
    </r>
  </si>
  <si>
    <r>
      <t>r</t>
    </r>
    <r>
      <rPr>
        <vertAlign val="subscript"/>
        <sz val="11"/>
        <color theme="1"/>
        <rFont val="Calibri"/>
        <family val="2"/>
        <scheme val="minor"/>
      </rPr>
      <t>M3</t>
    </r>
  </si>
  <si>
    <r>
      <t>r</t>
    </r>
    <r>
      <rPr>
        <vertAlign val="subscript"/>
        <sz val="11"/>
        <color theme="1"/>
        <rFont val="Calibri"/>
        <family val="2"/>
        <scheme val="minor"/>
      </rPr>
      <t>M4</t>
    </r>
  </si>
  <si>
    <r>
      <t>dV</t>
    </r>
    <r>
      <rPr>
        <vertAlign val="subscript"/>
        <sz val="11"/>
        <color theme="1"/>
        <rFont val="Calibri"/>
        <family val="2"/>
        <scheme val="minor"/>
      </rPr>
      <t>OUT</t>
    </r>
    <r>
      <rPr>
        <sz val="11"/>
        <color theme="1"/>
        <rFont val="Calibri"/>
        <family val="2"/>
        <scheme val="minor"/>
      </rPr>
      <t>/dt</t>
    </r>
    <r>
      <rPr>
        <vertAlign val="subscript"/>
        <sz val="11"/>
        <color theme="1"/>
        <rFont val="Calibri"/>
        <family val="2"/>
        <scheme val="minor"/>
      </rPr>
      <t>ss</t>
    </r>
  </si>
  <si>
    <t>V/s</t>
  </si>
  <si>
    <t>Calculation Details</t>
  </si>
  <si>
    <t>Unit Conversion</t>
  </si>
  <si>
    <t>H</t>
  </si>
  <si>
    <r>
      <t>r</t>
    </r>
    <r>
      <rPr>
        <vertAlign val="subscript"/>
        <sz val="11"/>
        <color theme="1"/>
        <rFont val="Calibri"/>
        <family val="2"/>
        <scheme val="minor"/>
      </rPr>
      <t>L_DCR</t>
    </r>
  </si>
  <si>
    <t>F</t>
  </si>
  <si>
    <t>Output Voltage</t>
  </si>
  <si>
    <r>
      <t>V</t>
    </r>
    <r>
      <rPr>
        <vertAlign val="subscript"/>
        <sz val="11"/>
        <color theme="1"/>
        <rFont val="Calibri"/>
        <family val="2"/>
        <scheme val="minor"/>
      </rPr>
      <t>OUT</t>
    </r>
    <r>
      <rPr>
        <sz val="11"/>
        <color theme="1"/>
        <rFont val="Calibri"/>
        <family val="2"/>
        <scheme val="minor"/>
      </rPr>
      <t xml:space="preserve"> Accuracy</t>
    </r>
  </si>
  <si>
    <r>
      <t>V</t>
    </r>
    <r>
      <rPr>
        <vertAlign val="subscript"/>
        <sz val="11"/>
        <color theme="1"/>
        <rFont val="Calibri"/>
        <family val="2"/>
        <scheme val="minor"/>
      </rPr>
      <t>OUT_ERROR</t>
    </r>
  </si>
  <si>
    <t>Device Operating Mode</t>
  </si>
  <si>
    <t>Effective Capacitance</t>
  </si>
  <si>
    <r>
      <t>C</t>
    </r>
    <r>
      <rPr>
        <vertAlign val="subscript"/>
        <sz val="11"/>
        <color theme="1"/>
        <rFont val="Calibri"/>
        <family val="2"/>
        <scheme val="minor"/>
      </rPr>
      <t>OUT_EFF</t>
    </r>
  </si>
  <si>
    <t>Resistances</t>
  </si>
  <si>
    <r>
      <t>r</t>
    </r>
    <r>
      <rPr>
        <vertAlign val="subscript"/>
        <sz val="11"/>
        <color theme="1"/>
        <rFont val="Calibri"/>
        <family val="2"/>
        <scheme val="minor"/>
      </rPr>
      <t>CHG_Buck</t>
    </r>
  </si>
  <si>
    <r>
      <t>r</t>
    </r>
    <r>
      <rPr>
        <vertAlign val="subscript"/>
        <sz val="11"/>
        <color theme="1"/>
        <rFont val="Calibri"/>
        <family val="2"/>
        <scheme val="minor"/>
      </rPr>
      <t>DIS_Buck</t>
    </r>
  </si>
  <si>
    <r>
      <t>r</t>
    </r>
    <r>
      <rPr>
        <vertAlign val="subscript"/>
        <sz val="11"/>
        <color theme="1"/>
        <rFont val="Calibri"/>
        <family val="2"/>
        <scheme val="minor"/>
      </rPr>
      <t>CHG_BB</t>
    </r>
  </si>
  <si>
    <r>
      <t>r</t>
    </r>
    <r>
      <rPr>
        <vertAlign val="subscript"/>
        <sz val="11"/>
        <color theme="1"/>
        <rFont val="Calibri"/>
        <family val="2"/>
        <scheme val="minor"/>
      </rPr>
      <t>DIS_BB</t>
    </r>
  </si>
  <si>
    <r>
      <t>r</t>
    </r>
    <r>
      <rPr>
        <vertAlign val="subscript"/>
        <sz val="11"/>
        <color theme="1"/>
        <rFont val="Calibri"/>
        <family val="2"/>
        <scheme val="minor"/>
      </rPr>
      <t>CHG</t>
    </r>
  </si>
  <si>
    <r>
      <t>r</t>
    </r>
    <r>
      <rPr>
        <vertAlign val="subscript"/>
        <sz val="11"/>
        <color theme="1"/>
        <rFont val="Calibri"/>
        <family val="2"/>
        <scheme val="minor"/>
      </rPr>
      <t>DIS</t>
    </r>
  </si>
  <si>
    <r>
      <t>t</t>
    </r>
    <r>
      <rPr>
        <vertAlign val="subscript"/>
        <sz val="11"/>
        <color theme="1"/>
        <rFont val="Calibri"/>
        <family val="2"/>
        <scheme val="minor"/>
      </rPr>
      <t>service</t>
    </r>
  </si>
  <si>
    <r>
      <t>t</t>
    </r>
    <r>
      <rPr>
        <vertAlign val="subscript"/>
        <sz val="11"/>
        <color theme="1"/>
        <rFont val="Calibri"/>
        <family val="2"/>
        <scheme val="minor"/>
      </rPr>
      <t>undershoot</t>
    </r>
  </si>
  <si>
    <t>Inductor Current</t>
  </si>
  <si>
    <t>J</t>
  </si>
  <si>
    <r>
      <t>E</t>
    </r>
    <r>
      <rPr>
        <vertAlign val="subscript"/>
        <sz val="11"/>
        <color theme="1"/>
        <rFont val="Calibri"/>
        <family val="2"/>
        <scheme val="minor"/>
      </rPr>
      <t>loss_cond_DIS</t>
    </r>
  </si>
  <si>
    <t>Part #'s</t>
  </si>
  <si>
    <t>I peaks [A]</t>
  </si>
  <si>
    <t>User</t>
  </si>
  <si>
    <r>
      <t>r</t>
    </r>
    <r>
      <rPr>
        <vertAlign val="subscript"/>
        <sz val="11"/>
        <color theme="1"/>
        <rFont val="Calibri"/>
        <family val="2"/>
        <scheme val="minor"/>
      </rPr>
      <t>M3_SBB0</t>
    </r>
  </si>
  <si>
    <r>
      <t>r</t>
    </r>
    <r>
      <rPr>
        <vertAlign val="subscript"/>
        <sz val="11"/>
        <color theme="1"/>
        <rFont val="Calibri"/>
        <family val="2"/>
        <scheme val="minor"/>
      </rPr>
      <t>M3_SBB1</t>
    </r>
    <r>
      <rPr>
        <sz val="11"/>
        <color theme="1"/>
        <rFont val="Calibri"/>
        <family val="2"/>
        <scheme val="minor"/>
      </rPr>
      <t/>
    </r>
  </si>
  <si>
    <r>
      <t>r</t>
    </r>
    <r>
      <rPr>
        <vertAlign val="subscript"/>
        <sz val="11"/>
        <color theme="1"/>
        <rFont val="Calibri"/>
        <family val="2"/>
        <scheme val="minor"/>
      </rPr>
      <t>M3_SBB2</t>
    </r>
    <r>
      <rPr>
        <sz val="11"/>
        <color theme="1"/>
        <rFont val="Calibri"/>
        <family val="2"/>
        <scheme val="minor"/>
      </rPr>
      <t/>
    </r>
  </si>
  <si>
    <t>Possible</t>
  </si>
  <si>
    <t>Automatic</t>
  </si>
  <si>
    <t>Boost</t>
  </si>
  <si>
    <t>Static Output Voltage Accuracy [%]</t>
  </si>
  <si>
    <t>Temp</t>
  </si>
  <si>
    <t>-40 to 85</t>
  </si>
  <si>
    <r>
      <t>V</t>
    </r>
    <r>
      <rPr>
        <vertAlign val="subscript"/>
        <sz val="11"/>
        <color theme="1"/>
        <rFont val="Calibri"/>
        <family val="2"/>
        <scheme val="minor"/>
      </rPr>
      <t>OUT_peak</t>
    </r>
  </si>
  <si>
    <r>
      <t>V</t>
    </r>
    <r>
      <rPr>
        <vertAlign val="subscript"/>
        <sz val="11"/>
        <color theme="1"/>
        <rFont val="Calibri"/>
        <family val="2"/>
        <scheme val="minor"/>
      </rPr>
      <t>OUT_valley</t>
    </r>
  </si>
  <si>
    <t>Legend</t>
  </si>
  <si>
    <t>User Input</t>
  </si>
  <si>
    <t>Calculator Output</t>
  </si>
  <si>
    <t>For Drop-down</t>
  </si>
  <si>
    <t>Channel Enabled?</t>
  </si>
  <si>
    <t>ULPM Output Voltage Accuracy</t>
  </si>
  <si>
    <t>min</t>
  </si>
  <si>
    <t>typ</t>
  </si>
  <si>
    <t>max</t>
  </si>
  <si>
    <t>Programmable Output Voltage Range</t>
  </si>
  <si>
    <t>MAX77278</t>
  </si>
  <si>
    <t>1.412V - 2.200V</t>
  </si>
  <si>
    <t>0.850V - 4.000V</t>
  </si>
  <si>
    <t>2.350V - 5.500V</t>
  </si>
  <si>
    <t>0.800V - 5.500V</t>
  </si>
  <si>
    <t>MAX17270</t>
  </si>
  <si>
    <t>MAX17271</t>
  </si>
  <si>
    <t>0.800V - 4.600V</t>
  </si>
  <si>
    <t>0.800V - 5.175V</t>
  </si>
  <si>
    <t>2.400V - 5.250V</t>
  </si>
  <si>
    <t>0.800V - 3.950V</t>
  </si>
  <si>
    <t>0.800V - 1.588V</t>
  </si>
  <si>
    <t>0.800V - 2.375V</t>
  </si>
  <si>
    <r>
      <t>V</t>
    </r>
    <r>
      <rPr>
        <vertAlign val="subscript"/>
        <sz val="11"/>
        <color theme="1"/>
        <rFont val="Calibri"/>
        <family val="2"/>
        <scheme val="minor"/>
      </rPr>
      <t>OUT</t>
    </r>
    <r>
      <rPr>
        <sz val="11"/>
        <color theme="1"/>
        <rFont val="Calibri"/>
        <family val="2"/>
        <scheme val="minor"/>
      </rPr>
      <t xml:space="preserve"> Range</t>
    </r>
  </si>
  <si>
    <t>650/640/680</t>
  </si>
  <si>
    <t>651/641/681</t>
  </si>
  <si>
    <t>MAX77650/40/80</t>
  </si>
  <si>
    <t>MAX77651/41/81</t>
  </si>
  <si>
    <t>vvv Note: Have to use dumb IF funcs inside IF funcs to support Excel 2007</t>
  </si>
  <si>
    <t>642/643/658</t>
  </si>
  <si>
    <t>MAX77642/643/658</t>
  </si>
  <si>
    <t>SBB0 Range</t>
  </si>
  <si>
    <t>SBB1 Range</t>
  </si>
  <si>
    <t>SBB2 Range</t>
  </si>
  <si>
    <t>2/400V - 5.250V</t>
  </si>
  <si>
    <t>0.500V - 5.500V</t>
  </si>
  <si>
    <r>
      <t>r</t>
    </r>
    <r>
      <rPr>
        <vertAlign val="subscript"/>
        <sz val="11"/>
        <color theme="1"/>
        <rFont val="Calibri"/>
        <family val="2"/>
        <scheme val="minor"/>
      </rPr>
      <t>CHG_Boost</t>
    </r>
  </si>
  <si>
    <r>
      <t>r</t>
    </r>
    <r>
      <rPr>
        <vertAlign val="subscript"/>
        <sz val="11"/>
        <color theme="1"/>
        <rFont val="Calibri"/>
        <family val="2"/>
        <scheme val="minor"/>
      </rPr>
      <t>DIS_Boost</t>
    </r>
  </si>
  <si>
    <t>BB</t>
  </si>
  <si>
    <t>MAX77654/659</t>
  </si>
  <si>
    <t>654/659</t>
  </si>
  <si>
    <t>Nominal</t>
  </si>
  <si>
    <t>Effective</t>
  </si>
  <si>
    <r>
      <t>C</t>
    </r>
    <r>
      <rPr>
        <vertAlign val="subscript"/>
        <sz val="11"/>
        <rFont val="Calibri"/>
        <family val="2"/>
        <scheme val="minor"/>
      </rPr>
      <t>OUT</t>
    </r>
  </si>
  <si>
    <r>
      <t>C</t>
    </r>
    <r>
      <rPr>
        <vertAlign val="subscript"/>
        <sz val="11"/>
        <color theme="1"/>
        <rFont val="Calibri"/>
        <family val="2"/>
        <scheme val="minor"/>
      </rPr>
      <t>OUT</t>
    </r>
    <r>
      <rPr>
        <sz val="11"/>
        <color theme="1"/>
        <rFont val="Calibri"/>
        <family val="2"/>
        <scheme val="minor"/>
      </rPr>
      <t xml:space="preserve"> Effective</t>
    </r>
  </si>
  <si>
    <r>
      <t>C</t>
    </r>
    <r>
      <rPr>
        <vertAlign val="subscript"/>
        <sz val="11"/>
        <color theme="1"/>
        <rFont val="Calibri"/>
        <family val="2"/>
        <scheme val="minor"/>
      </rPr>
      <t>OUT</t>
    </r>
    <r>
      <rPr>
        <sz val="11"/>
        <color theme="1"/>
        <rFont val="Calibri"/>
        <family val="2"/>
        <scheme val="minor"/>
      </rPr>
      <t xml:space="preserve"> Nominal</t>
    </r>
  </si>
  <si>
    <r>
      <t>dI</t>
    </r>
    <r>
      <rPr>
        <vertAlign val="subscript"/>
        <sz val="11"/>
        <color theme="1"/>
        <rFont val="Calibri"/>
        <family val="2"/>
        <scheme val="minor"/>
      </rPr>
      <t>L</t>
    </r>
    <r>
      <rPr>
        <sz val="11"/>
        <color theme="1"/>
        <rFont val="Calibri"/>
        <family val="2"/>
        <scheme val="minor"/>
      </rPr>
      <t>/dt rising</t>
    </r>
  </si>
  <si>
    <r>
      <t>V</t>
    </r>
    <r>
      <rPr>
        <vertAlign val="subscript"/>
        <sz val="11"/>
        <color theme="1"/>
        <rFont val="Calibri"/>
        <family val="2"/>
        <scheme val="minor"/>
      </rPr>
      <t>LXA_H</t>
    </r>
  </si>
  <si>
    <r>
      <t>V</t>
    </r>
    <r>
      <rPr>
        <vertAlign val="subscript"/>
        <sz val="11"/>
        <color theme="1"/>
        <rFont val="Calibri"/>
        <family val="2"/>
        <scheme val="minor"/>
      </rPr>
      <t>LXB_H</t>
    </r>
  </si>
  <si>
    <r>
      <t>V</t>
    </r>
    <r>
      <rPr>
        <vertAlign val="subscript"/>
        <sz val="11"/>
        <color theme="1"/>
        <rFont val="Calibri"/>
        <family val="2"/>
        <scheme val="minor"/>
      </rPr>
      <t>LXB_L</t>
    </r>
  </si>
  <si>
    <t>A/s</t>
  </si>
  <si>
    <r>
      <t>V</t>
    </r>
    <r>
      <rPr>
        <vertAlign val="subscript"/>
        <sz val="11"/>
        <color theme="1"/>
        <rFont val="Calibri"/>
        <family val="2"/>
        <scheme val="minor"/>
      </rPr>
      <t>LXA_L</t>
    </r>
  </si>
  <si>
    <r>
      <t>t</t>
    </r>
    <r>
      <rPr>
        <vertAlign val="subscript"/>
        <sz val="11"/>
        <color theme="1"/>
        <rFont val="Calibri"/>
        <family val="2"/>
        <scheme val="minor"/>
      </rPr>
      <t>ilim_dly</t>
    </r>
  </si>
  <si>
    <t>Delta Output Capacitor Charge</t>
  </si>
  <si>
    <r>
      <t>t</t>
    </r>
    <r>
      <rPr>
        <vertAlign val="subscript"/>
        <sz val="11"/>
        <color theme="1"/>
        <rFont val="Calibri"/>
        <family val="2"/>
        <scheme val="minor"/>
      </rPr>
      <t>CHG_Buck</t>
    </r>
  </si>
  <si>
    <r>
      <t>t</t>
    </r>
    <r>
      <rPr>
        <vertAlign val="subscript"/>
        <sz val="11"/>
        <color theme="1"/>
        <rFont val="Calibri"/>
        <family val="2"/>
        <scheme val="minor"/>
      </rPr>
      <t>DIS_Buck</t>
    </r>
  </si>
  <si>
    <r>
      <t>t</t>
    </r>
    <r>
      <rPr>
        <vertAlign val="subscript"/>
        <sz val="11"/>
        <color theme="1"/>
        <rFont val="Calibri"/>
        <family val="2"/>
        <scheme val="minor"/>
      </rPr>
      <t>CHG_BB</t>
    </r>
  </si>
  <si>
    <r>
      <t>t</t>
    </r>
    <r>
      <rPr>
        <vertAlign val="subscript"/>
        <sz val="11"/>
        <color theme="1"/>
        <rFont val="Calibri"/>
        <family val="2"/>
        <scheme val="minor"/>
      </rPr>
      <t>DIS_BB</t>
    </r>
  </si>
  <si>
    <r>
      <t>t</t>
    </r>
    <r>
      <rPr>
        <vertAlign val="subscript"/>
        <sz val="11"/>
        <color theme="1"/>
        <rFont val="Calibri"/>
        <family val="2"/>
        <scheme val="minor"/>
      </rPr>
      <t>CHG_Boost</t>
    </r>
  </si>
  <si>
    <r>
      <t>t</t>
    </r>
    <r>
      <rPr>
        <vertAlign val="subscript"/>
        <sz val="11"/>
        <color theme="1"/>
        <rFont val="Calibri"/>
        <family val="2"/>
        <scheme val="minor"/>
      </rPr>
      <t>DIS_Boost</t>
    </r>
  </si>
  <si>
    <r>
      <t>t</t>
    </r>
    <r>
      <rPr>
        <vertAlign val="subscript"/>
        <sz val="11"/>
        <color theme="1"/>
        <rFont val="Calibri"/>
        <family val="2"/>
        <scheme val="minor"/>
      </rPr>
      <t>CHG</t>
    </r>
  </si>
  <si>
    <r>
      <t>t</t>
    </r>
    <r>
      <rPr>
        <vertAlign val="subscript"/>
        <sz val="11"/>
        <color theme="1"/>
        <rFont val="Calibri"/>
        <family val="2"/>
        <scheme val="minor"/>
      </rPr>
      <t>DIS</t>
    </r>
  </si>
  <si>
    <t>C</t>
  </si>
  <si>
    <r>
      <t>V</t>
    </r>
    <r>
      <rPr>
        <vertAlign val="subscript"/>
        <sz val="11"/>
        <color theme="1"/>
        <rFont val="Calibri"/>
        <family val="2"/>
        <scheme val="minor"/>
      </rPr>
      <t>L_Buck_CHG</t>
    </r>
  </si>
  <si>
    <r>
      <t>V</t>
    </r>
    <r>
      <rPr>
        <vertAlign val="subscript"/>
        <sz val="11"/>
        <color theme="1"/>
        <rFont val="Calibri"/>
        <family val="2"/>
        <scheme val="minor"/>
      </rPr>
      <t>L_Boost_CHG</t>
    </r>
  </si>
  <si>
    <r>
      <t>V</t>
    </r>
    <r>
      <rPr>
        <vertAlign val="subscript"/>
        <sz val="11"/>
        <color theme="1"/>
        <rFont val="Calibri"/>
        <family val="2"/>
        <scheme val="minor"/>
      </rPr>
      <t>L_BB_CHG</t>
    </r>
  </si>
  <si>
    <r>
      <t>V</t>
    </r>
    <r>
      <rPr>
        <vertAlign val="subscript"/>
        <sz val="11"/>
        <color theme="1"/>
        <rFont val="Calibri"/>
        <family val="2"/>
        <scheme val="minor"/>
      </rPr>
      <t>L_Buck_DIS</t>
    </r>
  </si>
  <si>
    <r>
      <t>V</t>
    </r>
    <r>
      <rPr>
        <vertAlign val="subscript"/>
        <sz val="11"/>
        <color theme="1"/>
        <rFont val="Calibri"/>
        <family val="2"/>
        <scheme val="minor"/>
      </rPr>
      <t>L_BB_DIS</t>
    </r>
  </si>
  <si>
    <r>
      <t>V</t>
    </r>
    <r>
      <rPr>
        <vertAlign val="subscript"/>
        <sz val="11"/>
        <color theme="1"/>
        <rFont val="Calibri"/>
        <family val="2"/>
        <scheme val="minor"/>
      </rPr>
      <t>L_Boost_DIS</t>
    </r>
  </si>
  <si>
    <r>
      <t>I</t>
    </r>
    <r>
      <rPr>
        <vertAlign val="subscript"/>
        <sz val="11"/>
        <color theme="1"/>
        <rFont val="Calibri"/>
        <family val="2"/>
        <scheme val="minor"/>
      </rPr>
      <t>Peak</t>
    </r>
    <r>
      <rPr>
        <sz val="11"/>
        <color theme="1"/>
        <rFont val="Calibri"/>
        <family val="2"/>
        <scheme val="minor"/>
      </rPr>
      <t xml:space="preserve"> Adjust</t>
    </r>
  </si>
  <si>
    <r>
      <t>I</t>
    </r>
    <r>
      <rPr>
        <vertAlign val="subscript"/>
        <sz val="11"/>
        <color theme="1"/>
        <rFont val="Calibri"/>
        <family val="2"/>
        <scheme val="minor"/>
      </rPr>
      <t>rms</t>
    </r>
  </si>
  <si>
    <r>
      <t>V</t>
    </r>
    <r>
      <rPr>
        <vertAlign val="subscript"/>
        <sz val="11"/>
        <color theme="1"/>
        <rFont val="Calibri"/>
        <family val="2"/>
        <scheme val="minor"/>
      </rPr>
      <t>COUT_CHG_Buck</t>
    </r>
  </si>
  <si>
    <r>
      <t>V</t>
    </r>
    <r>
      <rPr>
        <vertAlign val="subscript"/>
        <sz val="11"/>
        <color theme="1"/>
        <rFont val="Calibri"/>
        <family val="2"/>
        <scheme val="minor"/>
      </rPr>
      <t>COUT_DIS_Buck</t>
    </r>
  </si>
  <si>
    <r>
      <t>V</t>
    </r>
    <r>
      <rPr>
        <vertAlign val="subscript"/>
        <sz val="11"/>
        <color theme="1"/>
        <rFont val="Calibri"/>
        <family val="2"/>
        <scheme val="minor"/>
      </rPr>
      <t>COUT_CHG_BB</t>
    </r>
  </si>
  <si>
    <r>
      <t>V</t>
    </r>
    <r>
      <rPr>
        <vertAlign val="subscript"/>
        <sz val="11"/>
        <color theme="1"/>
        <rFont val="Calibri"/>
        <family val="2"/>
        <scheme val="minor"/>
      </rPr>
      <t>COUT_DIS_BB</t>
    </r>
  </si>
  <si>
    <r>
      <t>V</t>
    </r>
    <r>
      <rPr>
        <vertAlign val="subscript"/>
        <sz val="11"/>
        <color theme="1"/>
        <rFont val="Calibri"/>
        <family val="2"/>
        <scheme val="minor"/>
      </rPr>
      <t>COUT_CHG_Boost</t>
    </r>
  </si>
  <si>
    <r>
      <t>V</t>
    </r>
    <r>
      <rPr>
        <vertAlign val="subscript"/>
        <sz val="11"/>
        <color theme="1"/>
        <rFont val="Calibri"/>
        <family val="2"/>
        <scheme val="minor"/>
      </rPr>
      <t>COUT_DIS_Boost</t>
    </r>
  </si>
  <si>
    <r>
      <t>V</t>
    </r>
    <r>
      <rPr>
        <vertAlign val="subscript"/>
        <sz val="11"/>
        <color theme="1"/>
        <rFont val="Calibri"/>
        <family val="2"/>
        <scheme val="minor"/>
      </rPr>
      <t>COUT_CHG</t>
    </r>
  </si>
  <si>
    <r>
      <t>V</t>
    </r>
    <r>
      <rPr>
        <vertAlign val="subscript"/>
        <sz val="11"/>
        <color theme="1"/>
        <rFont val="Calibri"/>
        <family val="2"/>
        <scheme val="minor"/>
      </rPr>
      <t>COUT_DIS</t>
    </r>
  </si>
  <si>
    <t>Delta Output Capacitor Energy</t>
  </si>
  <si>
    <r>
      <t>E</t>
    </r>
    <r>
      <rPr>
        <vertAlign val="subscript"/>
        <sz val="11"/>
        <color theme="1"/>
        <rFont val="Calibri"/>
        <family val="2"/>
        <scheme val="minor"/>
      </rPr>
      <t>loss_cond_CHG</t>
    </r>
  </si>
  <si>
    <r>
      <t>ΔE</t>
    </r>
    <r>
      <rPr>
        <vertAlign val="subscript"/>
        <sz val="11"/>
        <color theme="1"/>
        <rFont val="Calibri"/>
        <family val="2"/>
        <scheme val="minor"/>
      </rPr>
      <t>COUT</t>
    </r>
  </si>
  <si>
    <r>
      <t>ΔQ</t>
    </r>
    <r>
      <rPr>
        <vertAlign val="subscript"/>
        <sz val="11"/>
        <color theme="1"/>
        <rFont val="Calibri"/>
        <family val="2"/>
        <scheme val="minor"/>
      </rPr>
      <t>CHG_Buck</t>
    </r>
  </si>
  <si>
    <r>
      <t>ΔQ</t>
    </r>
    <r>
      <rPr>
        <vertAlign val="subscript"/>
        <sz val="11"/>
        <color theme="1"/>
        <rFont val="Calibri"/>
        <family val="2"/>
        <scheme val="minor"/>
      </rPr>
      <t>DIS_Buck</t>
    </r>
  </si>
  <si>
    <r>
      <t>ΔQ</t>
    </r>
    <r>
      <rPr>
        <vertAlign val="subscript"/>
        <sz val="11"/>
        <color theme="1"/>
        <rFont val="Calibri"/>
        <family val="2"/>
        <scheme val="minor"/>
      </rPr>
      <t>CHG_BB</t>
    </r>
  </si>
  <si>
    <r>
      <t>ΔQ</t>
    </r>
    <r>
      <rPr>
        <vertAlign val="subscript"/>
        <sz val="11"/>
        <color theme="1"/>
        <rFont val="Calibri"/>
        <family val="2"/>
        <scheme val="minor"/>
      </rPr>
      <t>DIS_BB</t>
    </r>
  </si>
  <si>
    <r>
      <t>ΔQ</t>
    </r>
    <r>
      <rPr>
        <vertAlign val="subscript"/>
        <sz val="11"/>
        <color theme="1"/>
        <rFont val="Calibri"/>
        <family val="2"/>
        <scheme val="minor"/>
      </rPr>
      <t>CHG_Boost</t>
    </r>
  </si>
  <si>
    <r>
      <t>ΔQ</t>
    </r>
    <r>
      <rPr>
        <vertAlign val="subscript"/>
        <sz val="11"/>
        <color theme="1"/>
        <rFont val="Calibri"/>
        <family val="2"/>
        <scheme val="minor"/>
      </rPr>
      <t>DIS_Boost</t>
    </r>
  </si>
  <si>
    <r>
      <t>ΔQ</t>
    </r>
    <r>
      <rPr>
        <vertAlign val="subscript"/>
        <sz val="11"/>
        <color theme="1"/>
        <rFont val="Calibri"/>
        <family val="2"/>
        <scheme val="minor"/>
      </rPr>
      <t>CHG</t>
    </r>
  </si>
  <si>
    <r>
      <t>ΔQ</t>
    </r>
    <r>
      <rPr>
        <vertAlign val="subscript"/>
        <sz val="11"/>
        <color theme="1"/>
        <rFont val="Calibri"/>
        <family val="2"/>
        <scheme val="minor"/>
      </rPr>
      <t>DIS</t>
    </r>
  </si>
  <si>
    <t>Delta Output Energy</t>
  </si>
  <si>
    <r>
      <t>dI</t>
    </r>
    <r>
      <rPr>
        <vertAlign val="subscript"/>
        <sz val="11"/>
        <color theme="1"/>
        <rFont val="Calibri"/>
        <family val="2"/>
        <scheme val="minor"/>
      </rPr>
      <t>L</t>
    </r>
    <r>
      <rPr>
        <sz val="11"/>
        <color theme="1"/>
        <rFont val="Calibri"/>
        <family val="2"/>
        <scheme val="minor"/>
      </rPr>
      <t>/dt falling</t>
    </r>
  </si>
  <si>
    <t>Slopes (Magnitude)</t>
  </si>
  <si>
    <t>Timings</t>
  </si>
  <si>
    <t>Output Capacitor Voltage (No load)</t>
  </si>
  <si>
    <t>Selected</t>
  </si>
  <si>
    <r>
      <rPr>
        <sz val="11"/>
        <color theme="1"/>
        <rFont val="Calibri"/>
        <family val="2"/>
      </rPr>
      <t>Δ</t>
    </r>
    <r>
      <rPr>
        <sz val="11"/>
        <color theme="1"/>
        <rFont val="Calibri"/>
        <family val="2"/>
        <scheme val="minor"/>
      </rPr>
      <t>E</t>
    </r>
    <r>
      <rPr>
        <vertAlign val="subscript"/>
        <sz val="11"/>
        <color theme="1"/>
        <rFont val="Calibri"/>
        <family val="2"/>
        <scheme val="minor"/>
      </rPr>
      <t>OUT_CHG</t>
    </r>
  </si>
  <si>
    <r>
      <t>ΔE</t>
    </r>
    <r>
      <rPr>
        <vertAlign val="subscript"/>
        <sz val="11"/>
        <color theme="1"/>
        <rFont val="Calibri"/>
        <family val="2"/>
        <scheme val="minor"/>
      </rPr>
      <t>OUT_DIS</t>
    </r>
  </si>
  <si>
    <r>
      <t>ΔE</t>
    </r>
    <r>
      <rPr>
        <vertAlign val="subscript"/>
        <sz val="11"/>
        <color theme="1"/>
        <rFont val="Calibri"/>
        <family val="2"/>
        <scheme val="minor"/>
      </rPr>
      <t>OUT</t>
    </r>
  </si>
  <si>
    <t>Effective Output Capacitance</t>
  </si>
  <si>
    <t>Min</t>
  </si>
  <si>
    <t>Max</t>
  </si>
  <si>
    <t>LX Node Voltages</t>
  </si>
  <si>
    <r>
      <t>E</t>
    </r>
    <r>
      <rPr>
        <vertAlign val="subscript"/>
        <sz val="11"/>
        <color theme="1"/>
        <rFont val="Calibri"/>
        <family val="2"/>
        <scheme val="minor"/>
      </rPr>
      <t>COUT_BASE</t>
    </r>
  </si>
  <si>
    <t>Output Voltage Droop</t>
  </si>
  <si>
    <t>Device Settings Inputs</t>
  </si>
  <si>
    <t>Explanations about each symbol is shown after clicking on the symbol cells or the value cells (the cell with user input or calculated output).
Note:
To use basic capacitance derating model, enter nominal capacitance in the "Nominal" row and leave the "Effective" row blank. Otherwise, enter effective capacitance in the "Effective" row.</t>
  </si>
  <si>
    <r>
      <t>Instructions:
1. Enter conditions in the Input Section at the top.
2. Enter output capacitance next to "Nominal" to use basic derating model. Or enter next to "Effective".
3. Select Device.
4. Select I</t>
    </r>
    <r>
      <rPr>
        <vertAlign val="subscript"/>
        <sz val="11"/>
        <color theme="1"/>
        <rFont val="Calibri"/>
        <family val="2"/>
        <scheme val="minor"/>
      </rPr>
      <t>L_Peak</t>
    </r>
    <r>
      <rPr>
        <sz val="11"/>
        <color theme="1"/>
        <rFont val="Calibri"/>
        <family val="2"/>
        <scheme val="minor"/>
      </rPr>
      <t xml:space="preserve"> and Operating Mode.
5. Under Calculation Results, check if Total Utilization is &lt;90%.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</si>
</sst>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
    <numFmt numFmtId="165" formatCode="0.0%"/>
    <numFmt numFmtId="166" formatCode="0.00000"/>
    <numFmt numFmtId="167" formatCode="0.0000"/>
    <numFmt numFmtId="168" formatCode="0.0"/>
    <numFmt numFmtId="169" formatCode="0.000%"/>
    <numFmt numFmtId="170" formatCode="0.00000000"/>
    <numFmt numFmtId="171" formatCode="0.000E+00"/>
  </numFmts>
  <fonts count="20" x14ac:knownFonts="1">
    <font>
      <sz val="11"/>
      <color theme="1"/>
      <name val="Calibri"/>
      <family val="2"/>
      <scheme val="minor"/>
    </font>
    <font>
      <sz val="11"/>
      <color theme="1"/>
      <name val="Calibri"/>
      <family val="2"/>
      <scheme val="minor"/>
    </font>
    <font>
      <vertAlign val="subscript"/>
      <sz val="11"/>
      <color theme="1"/>
      <name val="Calibri"/>
      <family val="2"/>
      <scheme val="minor"/>
    </font>
    <font>
      <sz val="11"/>
      <color theme="1"/>
      <name val="Calibri"/>
      <family val="2"/>
    </font>
    <font>
      <vertAlign val="subscript"/>
      <sz val="11"/>
      <color theme="1"/>
      <name val="Calibri"/>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i/>
      <sz val="11"/>
      <color rgb="FF7F7F7F"/>
      <name val="Calibri"/>
      <family val="2"/>
      <scheme val="minor"/>
    </font>
    <font>
      <sz val="11"/>
      <color theme="0"/>
      <name val="Calibri"/>
      <family val="2"/>
      <scheme val="minor"/>
    </font>
    <font>
      <b/>
      <sz val="15"/>
      <color theme="0"/>
      <name val="Calibri"/>
      <family val="2"/>
      <scheme val="minor"/>
    </font>
    <font>
      <b/>
      <sz val="13"/>
      <color theme="0" tint="-4.9989318521683403E-2"/>
      <name val="Calibri"/>
      <family val="2"/>
      <scheme val="minor"/>
    </font>
    <font>
      <b/>
      <sz val="11"/>
      <color theme="1" tint="0.249977111117893"/>
      <name val="Calibri"/>
      <family val="2"/>
      <scheme val="minor"/>
    </font>
    <font>
      <sz val="11"/>
      <name val="Calibri"/>
      <family val="2"/>
      <scheme val="minor"/>
    </font>
    <font>
      <vertAlign val="subscript"/>
      <sz val="11"/>
      <name val="Calibri"/>
      <family val="2"/>
      <scheme val="minor"/>
    </font>
    <font>
      <sz val="11"/>
      <name val="Calibri"/>
      <family val="2"/>
    </font>
    <font>
      <sz val="8"/>
      <name val="Calibri"/>
      <family val="2"/>
      <scheme val="minor"/>
    </font>
  </fonts>
  <fills count="14">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rgb="FFFFCC99"/>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rgb="FF70AD47"/>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A9D08E"/>
        <bgColor indexed="64"/>
      </patternFill>
    </fill>
    <fill>
      <patternFill patternType="solid">
        <fgColor rgb="FFC6E0B4"/>
        <bgColor indexed="64"/>
      </patternFill>
    </fill>
  </fills>
  <borders count="7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ck">
        <color theme="4"/>
      </bottom>
      <diagonal/>
    </border>
    <border>
      <left/>
      <right style="medium">
        <color indexed="64"/>
      </right>
      <top/>
      <bottom style="thick">
        <color theme="4"/>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style="thick">
        <color theme="4" tint="0.499984740745262"/>
      </top>
      <bottom style="medium">
        <color theme="4" tint="0.39997558519241921"/>
      </bottom>
      <diagonal/>
    </border>
    <border>
      <left/>
      <right/>
      <top style="thick">
        <color theme="4" tint="0.499984740745262"/>
      </top>
      <bottom style="medium">
        <color theme="4" tint="0.39997558519241921"/>
      </bottom>
      <diagonal/>
    </border>
    <border>
      <left/>
      <right style="medium">
        <color indexed="64"/>
      </right>
      <top style="thick">
        <color theme="4" tint="0.499984740745262"/>
      </top>
      <bottom style="medium">
        <color theme="4" tint="0.39997558519241921"/>
      </bottom>
      <diagonal/>
    </border>
    <border>
      <left/>
      <right style="thin">
        <color rgb="FF7F7F7F"/>
      </right>
      <top/>
      <bottom/>
      <diagonal/>
    </border>
    <border>
      <left/>
      <right/>
      <top style="medium">
        <color indexed="64"/>
      </top>
      <bottom style="thin">
        <color theme="4" tint="0.399975585192419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B2B2B2"/>
      </left>
      <right/>
      <top style="thin">
        <color rgb="FFB2B2B2"/>
      </top>
      <bottom style="thin">
        <color rgb="FFB2B2B2"/>
      </bottom>
      <diagonal/>
    </border>
    <border>
      <left/>
      <right/>
      <top style="medium">
        <color theme="4" tint="0.39997558519241921"/>
      </top>
      <bottom style="thin">
        <color rgb="FFB2B2B2"/>
      </bottom>
      <diagonal/>
    </border>
    <border>
      <left/>
      <right/>
      <top style="thin">
        <color rgb="FFB2B2B2"/>
      </top>
      <bottom style="thin">
        <color rgb="FFB2B2B2"/>
      </bottom>
      <diagonal/>
    </border>
    <border>
      <left/>
      <right style="medium">
        <color indexed="64"/>
      </right>
      <top style="medium">
        <color theme="4" tint="0.3999755851924192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theme="4" tint="0.39997558519241921"/>
      </top>
      <bottom/>
      <diagonal/>
    </border>
    <border>
      <left/>
      <right/>
      <top style="medium">
        <color theme="4" tint="0.39997558519241921"/>
      </top>
      <bottom/>
      <diagonal/>
    </border>
    <border>
      <left style="thin">
        <color rgb="FF3F3F3F"/>
      </left>
      <right style="thin">
        <color rgb="FF3F3F3F"/>
      </right>
      <top style="thin">
        <color rgb="FF3F3F3F"/>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ck">
        <color theme="4" tint="0.499984740745262"/>
      </top>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diagonal/>
    </border>
    <border>
      <left/>
      <right style="thin">
        <color rgb="FF7F7F7F"/>
      </right>
      <top style="thick">
        <color theme="4" tint="0.499984740745262"/>
      </top>
      <bottom/>
      <diagonal/>
    </border>
    <border>
      <left/>
      <right style="thin">
        <color rgb="FF3F3F3F"/>
      </right>
      <top style="medium">
        <color theme="4" tint="0.39997558519241921"/>
      </top>
      <bottom/>
      <diagonal/>
    </border>
    <border>
      <left/>
      <right style="thin">
        <color rgb="FF3F3F3F"/>
      </right>
      <top/>
      <bottom/>
      <diagonal/>
    </border>
    <border>
      <left/>
      <right style="thin">
        <color rgb="FF3F3F3F"/>
      </right>
      <top/>
      <bottom style="medium">
        <color indexed="64"/>
      </bottom>
      <diagonal/>
    </border>
    <border>
      <left/>
      <right style="thin">
        <color rgb="FF3F3F3F"/>
      </right>
      <top/>
      <bottom style="thick">
        <color theme="4" tint="0.499984740745262"/>
      </bottom>
      <diagonal/>
    </border>
    <border>
      <left style="thin">
        <color rgb="FFB2B2B2"/>
      </left>
      <right style="thin">
        <color rgb="FFB2B2B2"/>
      </right>
      <top style="thin">
        <color rgb="FFB2B2B2"/>
      </top>
      <bottom style="medium">
        <color indexed="64"/>
      </bottom>
      <diagonal/>
    </border>
    <border>
      <left style="thin">
        <color rgb="FF7F7F7F"/>
      </left>
      <right/>
      <top style="thick">
        <color theme="4" tint="0.499984740745262"/>
      </top>
      <bottom style="thin">
        <color rgb="FF7F7F7F"/>
      </bottom>
      <diagonal/>
    </border>
    <border>
      <left/>
      <right style="thin">
        <color rgb="FF7F7F7F"/>
      </right>
      <top style="thick">
        <color theme="4" tint="0.499984740745262"/>
      </top>
      <bottom style="thin">
        <color rgb="FF7F7F7F"/>
      </bottom>
      <diagonal/>
    </border>
    <border>
      <left/>
      <right/>
      <top style="medium">
        <color theme="4" tint="0.39997558519241921"/>
      </top>
      <bottom style="thick">
        <color theme="4" tint="0.499984740745262"/>
      </bottom>
      <diagonal/>
    </border>
    <border>
      <left/>
      <right style="thin">
        <color rgb="FF3F3F3F"/>
      </right>
      <top style="medium">
        <color theme="4" tint="0.39997558519241921"/>
      </top>
      <bottom style="thick">
        <color theme="4" tint="0.499984740745262"/>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0">
    <xf numFmtId="0" fontId="0" fillId="0" borderId="0"/>
    <xf numFmtId="9" fontId="1" fillId="0" borderId="0" applyFont="0" applyFill="0" applyBorder="0" applyAlignment="0" applyProtection="0"/>
    <xf numFmtId="0" fontId="5" fillId="0" borderId="15" applyNumberFormat="0" applyFill="0" applyAlignment="0" applyProtection="0"/>
    <xf numFmtId="0" fontId="6" fillId="0" borderId="16" applyNumberFormat="0" applyFill="0" applyAlignment="0" applyProtection="0"/>
    <xf numFmtId="0" fontId="7" fillId="0" borderId="17" applyNumberFormat="0" applyFill="0" applyAlignment="0" applyProtection="0"/>
    <xf numFmtId="0" fontId="8" fillId="4" borderId="18" applyNumberFormat="0" applyAlignment="0" applyProtection="0"/>
    <xf numFmtId="0" fontId="9" fillId="5" borderId="19" applyNumberFormat="0" applyAlignment="0" applyProtection="0"/>
    <xf numFmtId="0" fontId="10" fillId="5" borderId="18" applyNumberFormat="0" applyAlignment="0" applyProtection="0"/>
    <xf numFmtId="0" fontId="1" fillId="6" borderId="20" applyNumberFormat="0" applyFont="0" applyAlignment="0" applyProtection="0"/>
    <xf numFmtId="0" fontId="11" fillId="0" borderId="0" applyNumberFormat="0" applyFill="0" applyBorder="0" applyAlignment="0" applyProtection="0"/>
  </cellStyleXfs>
  <cellXfs count="300">
    <xf numFmtId="0" fontId="0" fillId="0" borderId="0" xfId="0"/>
    <xf numFmtId="0" fontId="0" fillId="3" borderId="0" xfId="0" applyFill="1"/>
    <xf numFmtId="0" fontId="0" fillId="3" borderId="0" xfId="0" applyFill="1" applyAlignment="1">
      <alignment horizontal="left" vertical="center"/>
    </xf>
    <xf numFmtId="0" fontId="0" fillId="2" borderId="0" xfId="0" applyFill="1"/>
    <xf numFmtId="0" fontId="0" fillId="2" borderId="7" xfId="0" applyFill="1" applyBorder="1"/>
    <xf numFmtId="164" fontId="0" fillId="3" borderId="9" xfId="0" applyNumberFormat="1" applyFill="1" applyBorder="1"/>
    <xf numFmtId="0" fontId="0" fillId="3" borderId="9" xfId="0" applyFill="1" applyBorder="1"/>
    <xf numFmtId="0" fontId="0" fillId="3" borderId="10" xfId="0" applyFill="1" applyBorder="1"/>
    <xf numFmtId="0" fontId="0" fillId="3" borderId="11" xfId="0" applyFill="1" applyBorder="1"/>
    <xf numFmtId="164" fontId="0" fillId="3" borderId="10" xfId="0" applyNumberFormat="1" applyFill="1" applyBorder="1"/>
    <xf numFmtId="164" fontId="0" fillId="3" borderId="11" xfId="0" applyNumberFormat="1" applyFill="1" applyBorder="1"/>
    <xf numFmtId="164" fontId="0" fillId="3" borderId="13" xfId="0" applyNumberFormat="1" applyFill="1" applyBorder="1"/>
    <xf numFmtId="164" fontId="0" fillId="3" borderId="14" xfId="0" applyNumberFormat="1" applyFill="1" applyBorder="1"/>
    <xf numFmtId="0" fontId="0" fillId="3" borderId="12" xfId="0" applyFill="1" applyBorder="1"/>
    <xf numFmtId="0" fontId="0" fillId="3" borderId="13" xfId="0" applyFill="1" applyBorder="1"/>
    <xf numFmtId="0" fontId="0" fillId="3" borderId="14" xfId="0" applyFill="1" applyBorder="1"/>
    <xf numFmtId="10" fontId="0" fillId="2" borderId="0" xfId="1" applyNumberFormat="1" applyFont="1" applyFill="1"/>
    <xf numFmtId="11" fontId="0" fillId="3" borderId="9" xfId="0" applyNumberFormat="1" applyFill="1" applyBorder="1"/>
    <xf numFmtId="0" fontId="3" fillId="3" borderId="10" xfId="0" applyFont="1" applyFill="1" applyBorder="1"/>
    <xf numFmtId="0" fontId="0" fillId="3" borderId="12" xfId="0" quotePrefix="1" applyFill="1" applyBorder="1"/>
    <xf numFmtId="10" fontId="0" fillId="3" borderId="9" xfId="1" applyNumberFormat="1" applyFont="1" applyFill="1" applyBorder="1"/>
    <xf numFmtId="169" fontId="0" fillId="3" borderId="0" xfId="1" applyNumberFormat="1" applyFont="1" applyFill="1"/>
    <xf numFmtId="168" fontId="0" fillId="2" borderId="0" xfId="0" applyNumberFormat="1" applyFill="1"/>
    <xf numFmtId="0" fontId="12" fillId="7" borderId="2" xfId="0" applyFont="1" applyFill="1" applyBorder="1" applyAlignment="1">
      <alignment vertical="center"/>
    </xf>
    <xf numFmtId="0" fontId="13" fillId="7" borderId="15" xfId="2" applyFont="1" applyFill="1"/>
    <xf numFmtId="0" fontId="0" fillId="10" borderId="4" xfId="0" applyFill="1" applyBorder="1"/>
    <xf numFmtId="0" fontId="0" fillId="10" borderId="0" xfId="0" applyFill="1"/>
    <xf numFmtId="0" fontId="0" fillId="10" borderId="5" xfId="0" applyFill="1" applyBorder="1"/>
    <xf numFmtId="0" fontId="3" fillId="10" borderId="5" xfId="0" applyFont="1" applyFill="1" applyBorder="1"/>
    <xf numFmtId="0" fontId="0" fillId="11" borderId="4" xfId="0" applyFill="1" applyBorder="1"/>
    <xf numFmtId="0" fontId="0" fillId="11" borderId="0" xfId="0" applyFill="1"/>
    <xf numFmtId="0" fontId="0" fillId="11" borderId="5" xfId="0" applyFill="1" applyBorder="1"/>
    <xf numFmtId="0" fontId="3" fillId="11" borderId="5" xfId="0" applyFont="1" applyFill="1" applyBorder="1"/>
    <xf numFmtId="0" fontId="16" fillId="11" borderId="0" xfId="0" applyFont="1" applyFill="1"/>
    <xf numFmtId="0" fontId="16" fillId="11" borderId="4" xfId="0" applyFont="1" applyFill="1" applyBorder="1"/>
    <xf numFmtId="0" fontId="18" fillId="11" borderId="0" xfId="0" applyFont="1" applyFill="1"/>
    <xf numFmtId="0" fontId="16" fillId="11" borderId="0" xfId="0" applyFont="1" applyFill="1" applyAlignment="1">
      <alignment horizontal="left" vertical="center"/>
    </xf>
    <xf numFmtId="0" fontId="12" fillId="11" borderId="0" xfId="0" applyFont="1" applyFill="1"/>
    <xf numFmtId="0" fontId="18" fillId="11" borderId="5" xfId="0" applyFont="1" applyFill="1" applyBorder="1"/>
    <xf numFmtId="0" fontId="16" fillId="10" borderId="5" xfId="0" applyFont="1" applyFill="1" applyBorder="1"/>
    <xf numFmtId="0" fontId="16" fillId="11" borderId="5" xfId="0" applyFont="1" applyFill="1" applyBorder="1"/>
    <xf numFmtId="0" fontId="3" fillId="11" borderId="0" xfId="0" applyFont="1" applyFill="1"/>
    <xf numFmtId="0" fontId="0" fillId="11" borderId="4" xfId="0" applyFill="1" applyBorder="1" applyAlignment="1">
      <alignment horizontal="left"/>
    </xf>
    <xf numFmtId="0" fontId="0" fillId="11" borderId="4" xfId="0" applyFill="1" applyBorder="1" applyAlignment="1">
      <alignment horizontal="left" vertical="center"/>
    </xf>
    <xf numFmtId="11" fontId="11" fillId="11" borderId="20" xfId="9" applyNumberFormat="1" applyFill="1" applyBorder="1"/>
    <xf numFmtId="169" fontId="0" fillId="3" borderId="9" xfId="1" applyNumberFormat="1" applyFont="1" applyFill="1" applyBorder="1"/>
    <xf numFmtId="169" fontId="0" fillId="6" borderId="9" xfId="8" applyNumberFormat="1" applyFont="1" applyBorder="1"/>
    <xf numFmtId="0" fontId="10" fillId="5" borderId="9" xfId="7" applyBorder="1"/>
    <xf numFmtId="169" fontId="10" fillId="5" borderId="9" xfId="7" applyNumberFormat="1" applyBorder="1"/>
    <xf numFmtId="0" fontId="0" fillId="6" borderId="9" xfId="8" applyFont="1" applyBorder="1"/>
    <xf numFmtId="169" fontId="0" fillId="3" borderId="11" xfId="1" applyNumberFormat="1" applyFont="1" applyFill="1" applyBorder="1"/>
    <xf numFmtId="169" fontId="0" fillId="6" borderId="11" xfId="8" applyNumberFormat="1" applyFont="1" applyBorder="1"/>
    <xf numFmtId="0" fontId="10" fillId="5" borderId="11" xfId="7" applyBorder="1"/>
    <xf numFmtId="169" fontId="10" fillId="5" borderId="11" xfId="7" applyNumberFormat="1" applyBorder="1"/>
    <xf numFmtId="0" fontId="0" fillId="6" borderId="11" xfId="8" applyFont="1" applyBorder="1"/>
    <xf numFmtId="0" fontId="10" fillId="5" borderId="13" xfId="7" applyBorder="1"/>
    <xf numFmtId="0" fontId="10" fillId="5" borderId="14" xfId="7" applyBorder="1"/>
    <xf numFmtId="168" fontId="8" fillId="2" borderId="0" xfId="5" applyNumberFormat="1" applyFill="1" applyBorder="1" applyProtection="1">
      <protection locked="0"/>
    </xf>
    <xf numFmtId="0" fontId="0" fillId="12" borderId="0" xfId="0" applyFill="1"/>
    <xf numFmtId="0" fontId="0" fillId="12" borderId="4" xfId="0" applyFill="1" applyBorder="1"/>
    <xf numFmtId="0" fontId="3" fillId="12" borderId="5" xfId="0" applyFont="1" applyFill="1" applyBorder="1"/>
    <xf numFmtId="0" fontId="3" fillId="13" borderId="5" xfId="0" applyFont="1" applyFill="1" applyBorder="1"/>
    <xf numFmtId="167" fontId="8" fillId="4" borderId="18" xfId="5" applyNumberFormat="1" applyProtection="1">
      <protection locked="0"/>
    </xf>
    <xf numFmtId="164" fontId="8" fillId="4" borderId="18" xfId="5" applyNumberFormat="1" applyProtection="1">
      <protection locked="0"/>
    </xf>
    <xf numFmtId="164" fontId="16" fillId="6" borderId="20" xfId="8" applyNumberFormat="1" applyFont="1"/>
    <xf numFmtId="2" fontId="8" fillId="4" borderId="18" xfId="5" applyNumberFormat="1" applyProtection="1">
      <protection locked="0"/>
    </xf>
    <xf numFmtId="0" fontId="8" fillId="4" borderId="18" xfId="5" applyProtection="1">
      <protection locked="0"/>
    </xf>
    <xf numFmtId="168" fontId="8" fillId="4" borderId="18" xfId="5" applyNumberFormat="1" applyProtection="1">
      <protection locked="0"/>
    </xf>
    <xf numFmtId="165" fontId="9" fillId="5" borderId="19" xfId="6" applyNumberFormat="1"/>
    <xf numFmtId="164" fontId="9" fillId="5" borderId="19" xfId="6" applyNumberFormat="1"/>
    <xf numFmtId="165" fontId="9" fillId="5" borderId="19" xfId="6" applyNumberFormat="1" applyAlignment="1">
      <alignment horizontal="right"/>
    </xf>
    <xf numFmtId="164" fontId="9" fillId="5" borderId="19" xfId="6" applyNumberFormat="1" applyAlignment="1">
      <alignment horizontal="right"/>
    </xf>
    <xf numFmtId="168" fontId="9" fillId="5" borderId="19" xfId="6" applyNumberFormat="1"/>
    <xf numFmtId="168" fontId="9" fillId="5" borderId="19" xfId="6" applyNumberFormat="1" applyAlignment="1">
      <alignment horizontal="right"/>
    </xf>
    <xf numFmtId="0" fontId="0" fillId="11" borderId="6" xfId="0" applyFill="1" applyBorder="1"/>
    <xf numFmtId="0" fontId="0" fillId="11" borderId="7" xfId="0" applyFill="1" applyBorder="1"/>
    <xf numFmtId="0" fontId="0" fillId="11" borderId="8" xfId="0" applyFill="1" applyBorder="1"/>
    <xf numFmtId="168" fontId="8" fillId="13" borderId="0" xfId="5" applyNumberFormat="1" applyFill="1" applyBorder="1" applyProtection="1">
      <protection locked="0"/>
    </xf>
    <xf numFmtId="0" fontId="0" fillId="3" borderId="35" xfId="0" applyFill="1" applyBorder="1"/>
    <xf numFmtId="0" fontId="0" fillId="3" borderId="36" xfId="0" applyFill="1" applyBorder="1"/>
    <xf numFmtId="0" fontId="0" fillId="3" borderId="37" xfId="0" applyFill="1" applyBorder="1"/>
    <xf numFmtId="0" fontId="3" fillId="11" borderId="41" xfId="0" applyFont="1" applyFill="1" applyBorder="1"/>
    <xf numFmtId="164" fontId="0" fillId="13" borderId="38" xfId="8" applyNumberFormat="1" applyFont="1" applyFill="1" applyBorder="1"/>
    <xf numFmtId="164" fontId="0" fillId="13" borderId="39" xfId="8" applyNumberFormat="1" applyFont="1" applyFill="1" applyBorder="1"/>
    <xf numFmtId="164" fontId="0" fillId="13" borderId="40" xfId="8" applyNumberFormat="1" applyFont="1" applyFill="1" applyBorder="1"/>
    <xf numFmtId="164" fontId="0" fillId="3" borderId="0" xfId="0" applyNumberFormat="1" applyFill="1"/>
    <xf numFmtId="0" fontId="0" fillId="3" borderId="42" xfId="0" applyFill="1" applyBorder="1"/>
    <xf numFmtId="0" fontId="0" fillId="3" borderId="45" xfId="0" applyFill="1" applyBorder="1"/>
    <xf numFmtId="0" fontId="16" fillId="3" borderId="0" xfId="0" applyFont="1" applyFill="1"/>
    <xf numFmtId="9" fontId="0" fillId="3" borderId="9" xfId="0" applyNumberFormat="1" applyFill="1" applyBorder="1"/>
    <xf numFmtId="168" fontId="9" fillId="5" borderId="49" xfId="6" applyNumberFormat="1" applyBorder="1"/>
    <xf numFmtId="0" fontId="8" fillId="4" borderId="9" xfId="5" applyBorder="1"/>
    <xf numFmtId="0" fontId="9" fillId="5" borderId="9" xfId="6" applyBorder="1"/>
    <xf numFmtId="0" fontId="0" fillId="3" borderId="43" xfId="0" applyFill="1" applyBorder="1"/>
    <xf numFmtId="0" fontId="0" fillId="3" borderId="50" xfId="0" applyFill="1" applyBorder="1"/>
    <xf numFmtId="0" fontId="0" fillId="3" borderId="53" xfId="0" applyFill="1" applyBorder="1"/>
    <xf numFmtId="0" fontId="0" fillId="3" borderId="51" xfId="0" quotePrefix="1" applyFill="1" applyBorder="1"/>
    <xf numFmtId="165" fontId="16" fillId="3" borderId="9" xfId="1" applyNumberFormat="1" applyFont="1" applyFill="1" applyBorder="1"/>
    <xf numFmtId="165" fontId="0" fillId="3" borderId="9" xfId="1" applyNumberFormat="1" applyFont="1" applyFill="1" applyBorder="1"/>
    <xf numFmtId="165" fontId="16" fillId="3" borderId="11" xfId="1" applyNumberFormat="1" applyFont="1" applyFill="1" applyBorder="1"/>
    <xf numFmtId="0" fontId="0" fillId="3" borderId="10" xfId="0" quotePrefix="1" applyFill="1" applyBorder="1"/>
    <xf numFmtId="165" fontId="0" fillId="3" borderId="11" xfId="1" applyNumberFormat="1" applyFont="1" applyFill="1" applyBorder="1"/>
    <xf numFmtId="164" fontId="16" fillId="3" borderId="9" xfId="1" applyNumberFormat="1" applyFont="1" applyFill="1" applyBorder="1"/>
    <xf numFmtId="0" fontId="0" fillId="3" borderId="0" xfId="0" applyFill="1" applyAlignment="1">
      <alignment vertical="center"/>
    </xf>
    <xf numFmtId="0" fontId="0" fillId="3" borderId="0" xfId="0" applyFill="1" applyAlignment="1">
      <alignment horizontal="center" vertic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0" fillId="3" borderId="46" xfId="0" applyFill="1" applyBorder="1" applyAlignment="1">
      <alignment horizontal="center"/>
    </xf>
    <xf numFmtId="0" fontId="0" fillId="3" borderId="43" xfId="0" applyFill="1" applyBorder="1" applyAlignment="1">
      <alignment horizontal="center"/>
    </xf>
    <xf numFmtId="0" fontId="0" fillId="3" borderId="44" xfId="0" applyFill="1" applyBorder="1" applyAlignment="1">
      <alignment horizontal="center"/>
    </xf>
    <xf numFmtId="10" fontId="0" fillId="3" borderId="13" xfId="1" applyNumberFormat="1" applyFont="1" applyFill="1" applyBorder="1"/>
    <xf numFmtId="9" fontId="0" fillId="3" borderId="13" xfId="0" applyNumberFormat="1" applyFill="1" applyBorder="1"/>
    <xf numFmtId="0" fontId="3" fillId="3" borderId="12" xfId="0" applyFont="1" applyFill="1" applyBorder="1"/>
    <xf numFmtId="9" fontId="0" fillId="3" borderId="11" xfId="1" applyFont="1" applyFill="1" applyBorder="1"/>
    <xf numFmtId="9" fontId="0" fillId="3" borderId="14" xfId="1" applyFont="1" applyFill="1" applyBorder="1"/>
    <xf numFmtId="164" fontId="0" fillId="3" borderId="42" xfId="0" applyNumberFormat="1" applyFill="1" applyBorder="1"/>
    <xf numFmtId="11" fontId="0" fillId="3" borderId="42" xfId="0" applyNumberFormat="1" applyFill="1" applyBorder="1"/>
    <xf numFmtId="9" fontId="0" fillId="3" borderId="42" xfId="0" applyNumberFormat="1" applyFill="1" applyBorder="1"/>
    <xf numFmtId="9" fontId="0" fillId="3" borderId="45" xfId="0" applyNumberFormat="1" applyFill="1" applyBorder="1"/>
    <xf numFmtId="165" fontId="16" fillId="3" borderId="42" xfId="1" applyNumberFormat="1" applyFont="1" applyFill="1" applyBorder="1"/>
    <xf numFmtId="165" fontId="0" fillId="3" borderId="42" xfId="1" applyNumberFormat="1" applyFont="1" applyFill="1" applyBorder="1"/>
    <xf numFmtId="165" fontId="16" fillId="3" borderId="52" xfId="1" applyNumberFormat="1" applyFont="1" applyFill="1" applyBorder="1"/>
    <xf numFmtId="165" fontId="0" fillId="3" borderId="52" xfId="1" applyNumberFormat="1" applyFont="1" applyFill="1" applyBorder="1"/>
    <xf numFmtId="165" fontId="0" fillId="3" borderId="59" xfId="1" applyNumberFormat="1" applyFont="1" applyFill="1" applyBorder="1"/>
    <xf numFmtId="165" fontId="0" fillId="3" borderId="54" xfId="1" applyNumberFormat="1" applyFont="1" applyFill="1" applyBorder="1"/>
    <xf numFmtId="164" fontId="16" fillId="3" borderId="13" xfId="1" applyNumberFormat="1" applyFont="1" applyFill="1" applyBorder="1"/>
    <xf numFmtId="0" fontId="0" fillId="3" borderId="11" xfId="0" applyFill="1" applyBorder="1" applyAlignment="1">
      <alignment horizontal="right"/>
    </xf>
    <xf numFmtId="0" fontId="0" fillId="3" borderId="42" xfId="0" applyFill="1" applyBorder="1" applyAlignment="1">
      <alignment horizontal="right"/>
    </xf>
    <xf numFmtId="11" fontId="0" fillId="3" borderId="11" xfId="0" applyNumberFormat="1" applyFill="1" applyBorder="1"/>
    <xf numFmtId="0" fontId="0" fillId="3" borderId="61" xfId="0" applyFill="1" applyBorder="1"/>
    <xf numFmtId="0" fontId="0" fillId="3" borderId="0" xfId="0" applyFill="1"/>
    <xf numFmtId="0" fontId="13" fillId="7" borderId="34" xfId="2" applyFont="1" applyFill="1" applyBorder="1" applyAlignment="1">
      <alignment horizontal="center"/>
    </xf>
    <xf numFmtId="0" fontId="16" fillId="12" borderId="4" xfId="0" applyFont="1" applyFill="1" applyBorder="1"/>
    <xf numFmtId="0" fontId="18" fillId="12" borderId="0" xfId="0" applyFont="1" applyFill="1"/>
    <xf numFmtId="0" fontId="16" fillId="12" borderId="0" xfId="0" applyFont="1" applyFill="1" applyAlignment="1">
      <alignment horizontal="left" vertical="center"/>
    </xf>
    <xf numFmtId="0" fontId="16" fillId="12" borderId="5" xfId="0" applyFont="1" applyFill="1" applyBorder="1"/>
    <xf numFmtId="0" fontId="13" fillId="7" borderId="2" xfId="2" applyFont="1" applyFill="1" applyBorder="1" applyAlignment="1">
      <alignment vertical="center"/>
    </xf>
    <xf numFmtId="0" fontId="13" fillId="7" borderId="15" xfId="2" applyFont="1" applyFill="1" applyAlignment="1">
      <alignment vertical="center"/>
    </xf>
    <xf numFmtId="0" fontId="0" fillId="3" borderId="0" xfId="0" applyFill="1" applyAlignment="1"/>
    <xf numFmtId="0" fontId="0" fillId="13" borderId="4" xfId="0" applyFill="1" applyBorder="1"/>
    <xf numFmtId="0" fontId="0" fillId="13" borderId="5" xfId="0" applyFill="1" applyBorder="1"/>
    <xf numFmtId="0" fontId="16" fillId="13" borderId="4" xfId="0" applyFont="1" applyFill="1" applyBorder="1"/>
    <xf numFmtId="0" fontId="18" fillId="13" borderId="0" xfId="0" applyFont="1" applyFill="1"/>
    <xf numFmtId="0" fontId="16" fillId="13" borderId="5" xfId="0" applyFont="1" applyFill="1" applyBorder="1"/>
    <xf numFmtId="0" fontId="3" fillId="12" borderId="4" xfId="0" applyFont="1" applyFill="1" applyBorder="1"/>
    <xf numFmtId="11" fontId="11" fillId="12" borderId="20" xfId="9" applyNumberFormat="1" applyFill="1" applyBorder="1"/>
    <xf numFmtId="0" fontId="0" fillId="12" borderId="0" xfId="0" applyFill="1" applyBorder="1" applyAlignment="1">
      <alignment horizontal="left" vertical="center"/>
    </xf>
    <xf numFmtId="9" fontId="11" fillId="12" borderId="20" xfId="9" applyNumberFormat="1" applyFill="1" applyBorder="1"/>
    <xf numFmtId="0" fontId="0" fillId="12" borderId="5" xfId="0" applyFill="1" applyBorder="1"/>
    <xf numFmtId="11" fontId="11" fillId="13" borderId="20" xfId="9" applyNumberFormat="1" applyFill="1" applyBorder="1"/>
    <xf numFmtId="166" fontId="11" fillId="13" borderId="20" xfId="9" applyNumberFormat="1" applyFill="1" applyBorder="1"/>
    <xf numFmtId="0" fontId="0" fillId="11" borderId="48" xfId="0" applyFill="1" applyBorder="1" applyAlignment="1">
      <alignment vertical="center"/>
    </xf>
    <xf numFmtId="0" fontId="0" fillId="11" borderId="0" xfId="0" applyFill="1" applyBorder="1" applyAlignment="1">
      <alignment horizontal="left"/>
    </xf>
    <xf numFmtId="165" fontId="0" fillId="3" borderId="0" xfId="0" applyNumberFormat="1" applyFill="1" applyAlignment="1"/>
    <xf numFmtId="0" fontId="12" fillId="7" borderId="0" xfId="0" applyFont="1" applyFill="1" applyBorder="1" applyAlignment="1">
      <alignment vertical="center"/>
    </xf>
    <xf numFmtId="0" fontId="13" fillId="7" borderId="15" xfId="2" applyFont="1" applyFill="1" applyBorder="1"/>
    <xf numFmtId="0" fontId="0" fillId="11" borderId="0" xfId="0" applyFill="1" applyBorder="1"/>
    <xf numFmtId="0" fontId="0" fillId="2" borderId="0" xfId="0" applyFill="1" applyBorder="1"/>
    <xf numFmtId="0" fontId="0" fillId="12" borderId="0" xfId="0" applyFill="1" applyBorder="1"/>
    <xf numFmtId="0" fontId="3" fillId="13" borderId="0" xfId="0" applyFont="1" applyFill="1" applyBorder="1"/>
    <xf numFmtId="0" fontId="0" fillId="13" borderId="0" xfId="0" applyFill="1" applyBorder="1" applyAlignment="1">
      <alignment horizontal="left" vertical="center"/>
    </xf>
    <xf numFmtId="0" fontId="0" fillId="13" borderId="0" xfId="0" applyFill="1" applyBorder="1"/>
    <xf numFmtId="0" fontId="3" fillId="12" borderId="0" xfId="0" applyFont="1" applyFill="1" applyBorder="1"/>
    <xf numFmtId="11" fontId="0" fillId="13" borderId="0" xfId="0" applyNumberFormat="1" applyFill="1" applyBorder="1"/>
    <xf numFmtId="170" fontId="0" fillId="6" borderId="20" xfId="8" applyNumberFormat="1" applyFont="1" applyBorder="1"/>
    <xf numFmtId="167" fontId="0" fillId="6" borderId="20" xfId="8" applyNumberFormat="1" applyFont="1" applyBorder="1"/>
    <xf numFmtId="0" fontId="0" fillId="6" borderId="20" xfId="8" applyFont="1" applyBorder="1"/>
    <xf numFmtId="0" fontId="3" fillId="10" borderId="0" xfId="0" applyFont="1" applyFill="1" applyBorder="1"/>
    <xf numFmtId="0" fontId="0" fillId="10" borderId="0" xfId="0" applyFill="1" applyBorder="1"/>
    <xf numFmtId="10" fontId="0" fillId="6" borderId="20" xfId="8" applyNumberFormat="1" applyFont="1" applyBorder="1"/>
    <xf numFmtId="164" fontId="0" fillId="6" borderId="20" xfId="8" applyNumberFormat="1" applyFont="1" applyBorder="1"/>
    <xf numFmtId="0" fontId="0" fillId="2" borderId="0" xfId="0" applyFill="1" applyBorder="1" applyAlignment="1">
      <alignment horizontal="left"/>
    </xf>
    <xf numFmtId="164" fontId="0" fillId="6" borderId="20" xfId="8" applyNumberFormat="1" applyFont="1" applyBorder="1" applyAlignment="1">
      <alignment horizontal="right"/>
    </xf>
    <xf numFmtId="0" fontId="3" fillId="11" borderId="0" xfId="0" applyFont="1" applyFill="1" applyBorder="1"/>
    <xf numFmtId="11" fontId="0" fillId="6" borderId="20" xfId="8" applyNumberFormat="1" applyFont="1" applyBorder="1" applyAlignment="1">
      <alignment horizontal="right"/>
    </xf>
    <xf numFmtId="11" fontId="0" fillId="6" borderId="20" xfId="8" applyNumberFormat="1" applyFont="1" applyBorder="1"/>
    <xf numFmtId="171" fontId="0" fillId="6" borderId="20" xfId="8" applyNumberFormat="1" applyFont="1" applyBorder="1"/>
    <xf numFmtId="0" fontId="0" fillId="12" borderId="0" xfId="0" applyFill="1" applyBorder="1" applyAlignment="1">
      <alignment vertical="center"/>
    </xf>
    <xf numFmtId="0" fontId="0" fillId="11" borderId="0" xfId="0" applyFill="1" applyBorder="1" applyAlignment="1">
      <alignment vertical="center"/>
    </xf>
    <xf numFmtId="0" fontId="0" fillId="10" borderId="0" xfId="0" applyFill="1" applyBorder="1" applyAlignment="1">
      <alignment vertical="center"/>
    </xf>
    <xf numFmtId="0" fontId="0" fillId="2" borderId="0" xfId="0" applyFill="1" applyBorder="1" applyAlignment="1"/>
    <xf numFmtId="0" fontId="0" fillId="11" borderId="0" xfId="0" applyFill="1" applyBorder="1" applyAlignment="1"/>
    <xf numFmtId="171" fontId="0" fillId="6" borderId="20" xfId="8" applyNumberFormat="1" applyFont="1" applyBorder="1" applyAlignment="1"/>
    <xf numFmtId="0" fontId="13" fillId="7" borderId="15" xfId="2" applyFont="1" applyFill="1" applyBorder="1" applyAlignment="1">
      <alignment vertical="center"/>
    </xf>
    <xf numFmtId="0" fontId="0" fillId="12" borderId="0" xfId="0" applyFill="1" applyBorder="1" applyAlignment="1"/>
    <xf numFmtId="164" fontId="0" fillId="6" borderId="20" xfId="8" applyNumberFormat="1" applyFont="1" applyBorder="1" applyAlignment="1"/>
    <xf numFmtId="11" fontId="0" fillId="6" borderId="20" xfId="8" applyNumberFormat="1" applyFont="1" applyBorder="1" applyAlignment="1"/>
    <xf numFmtId="0" fontId="0" fillId="11" borderId="48" xfId="0" applyFill="1" applyBorder="1" applyAlignment="1"/>
    <xf numFmtId="0" fontId="3" fillId="12" borderId="0" xfId="0" applyFont="1" applyFill="1" applyBorder="1" applyAlignment="1">
      <alignment vertical="center"/>
    </xf>
    <xf numFmtId="0" fontId="0" fillId="11" borderId="58" xfId="0" applyFill="1" applyBorder="1" applyAlignment="1">
      <alignment vertical="center"/>
    </xf>
    <xf numFmtId="170" fontId="0" fillId="6" borderId="20" xfId="8" applyNumberFormat="1" applyFont="1" applyBorder="1" applyAlignment="1"/>
    <xf numFmtId="0" fontId="0" fillId="13" borderId="0" xfId="0" applyFill="1" applyBorder="1" applyAlignment="1">
      <alignment vertical="center"/>
    </xf>
    <xf numFmtId="0" fontId="0" fillId="13" borderId="0" xfId="0" applyFill="1" applyBorder="1" applyAlignment="1"/>
    <xf numFmtId="166" fontId="11" fillId="13" borderId="20" xfId="9" applyNumberFormat="1" applyFill="1" applyBorder="1" applyAlignment="1"/>
    <xf numFmtId="0" fontId="0" fillId="11" borderId="4" xfId="0" applyFill="1" applyBorder="1" applyAlignment="1"/>
    <xf numFmtId="0" fontId="0" fillId="12" borderId="4" xfId="0" applyFill="1" applyBorder="1" applyAlignment="1"/>
    <xf numFmtId="0" fontId="0" fillId="10" borderId="4" xfId="0" applyFill="1" applyBorder="1" applyAlignment="1"/>
    <xf numFmtId="0" fontId="0" fillId="10" borderId="0" xfId="0" applyFill="1" applyBorder="1" applyAlignment="1"/>
    <xf numFmtId="0" fontId="13" fillId="7" borderId="3" xfId="2" applyFont="1" applyFill="1" applyBorder="1" applyAlignment="1">
      <alignment vertical="center"/>
    </xf>
    <xf numFmtId="0" fontId="13" fillId="7" borderId="25" xfId="2" applyFont="1" applyFill="1" applyBorder="1" applyAlignment="1">
      <alignment vertical="center"/>
    </xf>
    <xf numFmtId="0" fontId="13" fillId="7" borderId="1" xfId="2" applyFont="1" applyFill="1" applyBorder="1" applyAlignment="1">
      <alignment vertical="center"/>
    </xf>
    <xf numFmtId="0" fontId="13" fillId="7" borderId="24" xfId="2" applyFont="1" applyFill="1" applyBorder="1" applyAlignment="1">
      <alignment vertical="center"/>
    </xf>
    <xf numFmtId="167" fontId="0" fillId="6" borderId="20" xfId="8" applyNumberFormat="1" applyFont="1" applyBorder="1" applyAlignment="1"/>
    <xf numFmtId="9" fontId="11" fillId="12" borderId="20" xfId="9" applyNumberFormat="1" applyFill="1" applyBorder="1" applyAlignment="1"/>
    <xf numFmtId="0" fontId="13" fillId="7" borderId="15" xfId="2" applyFont="1" applyFill="1" applyBorder="1" applyAlignment="1">
      <alignment horizontal="center"/>
    </xf>
    <xf numFmtId="0" fontId="13" fillId="7" borderId="15" xfId="2" applyFont="1" applyFill="1" applyAlignment="1">
      <alignment horizontal="center"/>
    </xf>
    <xf numFmtId="0" fontId="13" fillId="7" borderId="2" xfId="2" applyFont="1" applyFill="1" applyBorder="1" applyAlignment="1">
      <alignment horizontal="center"/>
    </xf>
    <xf numFmtId="0" fontId="13" fillId="7" borderId="34" xfId="2" applyFont="1" applyFill="1" applyBorder="1" applyAlignment="1">
      <alignment horizontal="center"/>
    </xf>
    <xf numFmtId="0" fontId="0" fillId="11" borderId="0" xfId="0" applyFill="1" applyBorder="1" applyAlignment="1">
      <alignment horizontal="left" vertical="center"/>
    </xf>
    <xf numFmtId="0" fontId="0" fillId="10" borderId="0" xfId="0" applyFill="1" applyBorder="1" applyAlignment="1">
      <alignment horizontal="left" vertical="center"/>
    </xf>
    <xf numFmtId="0" fontId="0" fillId="11" borderId="6" xfId="0" applyFill="1" applyBorder="1" applyAlignment="1"/>
    <xf numFmtId="0" fontId="0" fillId="11" borderId="7" xfId="0" applyFill="1" applyBorder="1" applyAlignment="1"/>
    <xf numFmtId="0" fontId="0" fillId="11" borderId="7" xfId="0" applyFill="1" applyBorder="1" applyAlignment="1">
      <alignment horizontal="left" vertical="center"/>
    </xf>
    <xf numFmtId="171" fontId="0" fillId="6" borderId="67" xfId="8" applyNumberFormat="1" applyFont="1" applyBorder="1"/>
    <xf numFmtId="0" fontId="3" fillId="11" borderId="8" xfId="0" applyFont="1" applyFill="1" applyBorder="1"/>
    <xf numFmtId="0" fontId="0" fillId="13" borderId="0" xfId="0" applyFill="1"/>
    <xf numFmtId="0" fontId="0" fillId="11" borderId="41" xfId="0" applyFill="1" applyBorder="1"/>
    <xf numFmtId="171" fontId="0" fillId="6" borderId="20" xfId="8" applyNumberFormat="1" applyFont="1"/>
    <xf numFmtId="11" fontId="0" fillId="6" borderId="20" xfId="8" applyNumberFormat="1" applyFont="1"/>
    <xf numFmtId="0" fontId="0" fillId="3" borderId="59" xfId="0" applyFill="1" applyBorder="1" applyAlignment="1">
      <alignment horizontal="left" vertical="top" wrapText="1"/>
    </xf>
    <xf numFmtId="0" fontId="0" fillId="3" borderId="75" xfId="0" applyFill="1" applyBorder="1" applyAlignment="1">
      <alignment horizontal="left" vertical="top" wrapText="1"/>
    </xf>
    <xf numFmtId="0" fontId="0" fillId="3" borderId="76" xfId="0" applyFill="1" applyBorder="1" applyAlignment="1">
      <alignment horizontal="left" vertical="top" wrapText="1"/>
    </xf>
    <xf numFmtId="0" fontId="0" fillId="3" borderId="77" xfId="0" applyFill="1" applyBorder="1" applyAlignment="1">
      <alignment horizontal="left" vertical="top" wrapText="1"/>
    </xf>
    <xf numFmtId="0" fontId="0" fillId="3" borderId="0" xfId="0" applyFill="1" applyBorder="1" applyAlignment="1">
      <alignment horizontal="left" vertical="top" wrapText="1"/>
    </xf>
    <xf numFmtId="0" fontId="0" fillId="3" borderId="72" xfId="0" applyFill="1" applyBorder="1" applyAlignment="1">
      <alignment horizontal="left" vertical="top" wrapText="1"/>
    </xf>
    <xf numFmtId="0" fontId="0" fillId="3" borderId="78" xfId="0" applyFill="1" applyBorder="1" applyAlignment="1">
      <alignment horizontal="left" vertical="top" wrapText="1"/>
    </xf>
    <xf numFmtId="0" fontId="0" fillId="3" borderId="73" xfId="0" applyFill="1" applyBorder="1" applyAlignment="1">
      <alignment horizontal="left" vertical="top" wrapText="1"/>
    </xf>
    <xf numFmtId="0" fontId="0" fillId="3" borderId="74" xfId="0" applyFill="1" applyBorder="1" applyAlignment="1">
      <alignment horizontal="left" vertical="top" wrapText="1"/>
    </xf>
    <xf numFmtId="0" fontId="0" fillId="3" borderId="9" xfId="0" applyFill="1" applyBorder="1" applyAlignment="1">
      <alignment horizontal="center" vertical="center"/>
    </xf>
    <xf numFmtId="0" fontId="16" fillId="11" borderId="0" xfId="0" applyFont="1" applyFill="1" applyAlignment="1">
      <alignment horizontal="left" vertical="center"/>
    </xf>
    <xf numFmtId="0" fontId="13" fillId="7" borderId="34" xfId="2" applyFont="1" applyFill="1" applyBorder="1" applyAlignment="1">
      <alignment horizontal="center"/>
    </xf>
    <xf numFmtId="0" fontId="13" fillId="7" borderId="34" xfId="2" applyFont="1" applyFill="1" applyBorder="1" applyAlignment="1">
      <alignment horizontal="center" vertical="center"/>
    </xf>
    <xf numFmtId="0" fontId="0" fillId="11" borderId="70" xfId="0" applyFill="1" applyBorder="1" applyAlignment="1">
      <alignment horizontal="left" vertical="center"/>
    </xf>
    <xf numFmtId="0" fontId="0" fillId="11" borderId="71" xfId="0" applyFill="1" applyBorder="1" applyAlignment="1">
      <alignment horizontal="left" vertical="center"/>
    </xf>
    <xf numFmtId="0" fontId="0" fillId="12" borderId="16" xfId="0" applyFill="1" applyBorder="1" applyAlignment="1">
      <alignment horizontal="left" vertical="center"/>
    </xf>
    <xf numFmtId="0" fontId="0" fillId="12" borderId="66" xfId="0" applyFill="1" applyBorder="1" applyAlignment="1">
      <alignment horizontal="left" vertical="center"/>
    </xf>
    <xf numFmtId="0" fontId="0" fillId="11" borderId="48" xfId="0" applyFill="1" applyBorder="1" applyAlignment="1">
      <alignment horizontal="left" vertical="center"/>
    </xf>
    <xf numFmtId="0" fontId="0" fillId="11" borderId="63" xfId="0" applyFill="1" applyBorder="1" applyAlignment="1">
      <alignment horizontal="left" vertical="center"/>
    </xf>
    <xf numFmtId="0" fontId="0" fillId="10" borderId="0" xfId="0" applyFill="1" applyBorder="1" applyAlignment="1">
      <alignment horizontal="left"/>
    </xf>
    <xf numFmtId="0" fontId="0" fillId="10" borderId="33" xfId="0" applyFill="1" applyBorder="1" applyAlignment="1">
      <alignment horizontal="left"/>
    </xf>
    <xf numFmtId="0" fontId="0" fillId="11" borderId="58" xfId="0" applyFill="1" applyBorder="1" applyAlignment="1">
      <alignment horizontal="left"/>
    </xf>
    <xf numFmtId="0" fontId="0" fillId="11" borderId="62" xfId="0" applyFill="1" applyBorder="1" applyAlignment="1">
      <alignment horizontal="left"/>
    </xf>
    <xf numFmtId="0" fontId="16" fillId="13" borderId="0" xfId="0" applyFont="1" applyFill="1" applyAlignment="1">
      <alignment horizontal="left" vertical="center"/>
    </xf>
    <xf numFmtId="0" fontId="16" fillId="13" borderId="33" xfId="0" applyFont="1" applyFill="1" applyBorder="1" applyAlignment="1">
      <alignment horizontal="left" vertical="center"/>
    </xf>
    <xf numFmtId="0" fontId="14" fillId="9" borderId="26" xfId="3" applyFont="1" applyFill="1" applyBorder="1" applyAlignment="1">
      <alignment horizontal="center" vertical="center"/>
    </xf>
    <xf numFmtId="0" fontId="14" fillId="9" borderId="16" xfId="3" applyFont="1" applyFill="1" applyBorder="1" applyAlignment="1">
      <alignment horizontal="center" vertical="center"/>
    </xf>
    <xf numFmtId="0" fontId="14" fillId="9" borderId="27" xfId="3" applyFont="1" applyFill="1" applyBorder="1" applyAlignment="1">
      <alignment horizontal="center" vertical="center"/>
    </xf>
    <xf numFmtId="0" fontId="0" fillId="11" borderId="0" xfId="0" applyFill="1" applyBorder="1" applyAlignment="1">
      <alignment horizontal="left" vertical="center"/>
    </xf>
    <xf numFmtId="0" fontId="0" fillId="11" borderId="64" xfId="0" applyFill="1" applyBorder="1" applyAlignment="1">
      <alignment horizontal="left" vertical="center"/>
    </xf>
    <xf numFmtId="0" fontId="0" fillId="10" borderId="0" xfId="0" applyFill="1" applyBorder="1" applyAlignment="1">
      <alignment horizontal="left" vertical="center"/>
    </xf>
    <xf numFmtId="0" fontId="0" fillId="10" borderId="64" xfId="0" applyFill="1" applyBorder="1" applyAlignment="1">
      <alignment horizontal="left" vertical="center"/>
    </xf>
    <xf numFmtId="0" fontId="15" fillId="8" borderId="28" xfId="4" applyFont="1" applyFill="1" applyBorder="1" applyAlignment="1">
      <alignment horizontal="center"/>
    </xf>
    <xf numFmtId="0" fontId="15" fillId="8" borderId="17" xfId="4" applyFont="1" applyFill="1" applyBorder="1" applyAlignment="1">
      <alignment horizontal="center"/>
    </xf>
    <xf numFmtId="0" fontId="15" fillId="8" borderId="29" xfId="4" applyFont="1" applyFill="1" applyBorder="1" applyAlignment="1">
      <alignment horizontal="center"/>
    </xf>
    <xf numFmtId="0" fontId="0" fillId="11" borderId="0" xfId="0" applyFill="1" applyAlignment="1">
      <alignment horizontal="left" vertical="center"/>
    </xf>
    <xf numFmtId="0" fontId="0" fillId="10" borderId="0" xfId="0" applyFill="1" applyAlignment="1">
      <alignment horizontal="left" vertical="center"/>
    </xf>
    <xf numFmtId="0" fontId="0" fillId="10" borderId="33" xfId="0" applyFill="1" applyBorder="1" applyAlignment="1">
      <alignment horizontal="left" vertical="center"/>
    </xf>
    <xf numFmtId="0" fontId="16" fillId="11" borderId="58" xfId="0" applyFont="1" applyFill="1" applyBorder="1" applyAlignment="1">
      <alignment horizontal="left" vertical="center"/>
    </xf>
    <xf numFmtId="0" fontId="16" fillId="11" borderId="62" xfId="0" applyFont="1" applyFill="1" applyBorder="1" applyAlignment="1">
      <alignment horizontal="left" vertical="center"/>
    </xf>
    <xf numFmtId="0" fontId="0" fillId="10" borderId="48" xfId="0" applyFill="1" applyBorder="1" applyAlignment="1">
      <alignment horizontal="left" vertical="center"/>
    </xf>
    <xf numFmtId="0" fontId="0" fillId="10" borderId="63" xfId="0" applyFill="1" applyBorder="1" applyAlignment="1">
      <alignment horizontal="left" vertical="center"/>
    </xf>
    <xf numFmtId="0" fontId="15" fillId="8" borderId="30" xfId="4" applyFont="1" applyFill="1" applyBorder="1" applyAlignment="1">
      <alignment horizontal="center"/>
    </xf>
    <xf numFmtId="0" fontId="15" fillId="8" borderId="31" xfId="4" applyFont="1" applyFill="1" applyBorder="1" applyAlignment="1">
      <alignment horizontal="center"/>
    </xf>
    <xf numFmtId="0" fontId="15" fillId="8" borderId="32" xfId="4" applyFont="1" applyFill="1" applyBorder="1" applyAlignment="1">
      <alignment horizontal="center"/>
    </xf>
    <xf numFmtId="0" fontId="14" fillId="9" borderId="26" xfId="3" applyFont="1" applyFill="1" applyBorder="1" applyAlignment="1">
      <alignment horizontal="center"/>
    </xf>
    <xf numFmtId="0" fontId="14" fillId="9" borderId="16" xfId="3" applyFont="1" applyFill="1" applyBorder="1" applyAlignment="1">
      <alignment horizontal="center"/>
    </xf>
    <xf numFmtId="0" fontId="14" fillId="9" borderId="27" xfId="3" applyFont="1" applyFill="1" applyBorder="1" applyAlignment="1">
      <alignment horizontal="center"/>
    </xf>
    <xf numFmtId="0" fontId="8" fillId="4" borderId="68" xfId="5" applyBorder="1" applyAlignment="1" applyProtection="1">
      <alignment horizontal="left"/>
      <protection locked="0"/>
    </xf>
    <xf numFmtId="0" fontId="8" fillId="4" borderId="69" xfId="5" applyBorder="1" applyAlignment="1" applyProtection="1">
      <alignment horizontal="left"/>
      <protection locked="0"/>
    </xf>
    <xf numFmtId="0" fontId="0" fillId="11" borderId="7" xfId="0" applyFill="1" applyBorder="1" applyAlignment="1">
      <alignment horizontal="left" vertical="center"/>
    </xf>
    <xf numFmtId="0" fontId="0" fillId="11" borderId="65" xfId="0" applyFill="1" applyBorder="1" applyAlignment="1">
      <alignment horizontal="left" vertical="center"/>
    </xf>
    <xf numFmtId="0" fontId="3" fillId="13" borderId="4" xfId="0" applyFont="1" applyFill="1" applyBorder="1" applyAlignment="1">
      <alignment horizontal="right" vertical="center"/>
    </xf>
    <xf numFmtId="0" fontId="3" fillId="13" borderId="0" xfId="0" applyFont="1" applyFill="1" applyBorder="1" applyAlignment="1">
      <alignment horizontal="right" vertical="center"/>
    </xf>
    <xf numFmtId="0" fontId="3" fillId="12" borderId="4" xfId="0" applyFont="1" applyFill="1" applyBorder="1" applyAlignment="1">
      <alignment horizontal="right" vertical="center"/>
    </xf>
    <xf numFmtId="0" fontId="3" fillId="12" borderId="0" xfId="0" applyFont="1" applyFill="1" applyBorder="1" applyAlignment="1">
      <alignment horizontal="right" vertical="center"/>
    </xf>
    <xf numFmtId="0" fontId="0" fillId="11" borderId="47" xfId="0" applyFill="1" applyBorder="1" applyAlignment="1">
      <alignment horizontal="right" vertical="center"/>
    </xf>
    <xf numFmtId="0" fontId="0" fillId="11" borderId="48" xfId="0" applyFill="1" applyBorder="1" applyAlignment="1">
      <alignment horizontal="right" vertical="center"/>
    </xf>
    <xf numFmtId="0" fontId="0" fillId="11" borderId="4" xfId="0" applyFill="1" applyBorder="1" applyAlignment="1">
      <alignment horizontal="right" vertical="center"/>
    </xf>
    <xf numFmtId="0" fontId="0" fillId="11" borderId="0" xfId="0" applyFill="1" applyBorder="1" applyAlignment="1">
      <alignment horizontal="right" vertical="center"/>
    </xf>
    <xf numFmtId="0" fontId="0" fillId="10" borderId="4" xfId="0" applyFill="1" applyBorder="1" applyAlignment="1">
      <alignment horizontal="right" vertical="center"/>
    </xf>
    <xf numFmtId="0" fontId="0" fillId="10" borderId="0" xfId="0" applyFill="1" applyBorder="1" applyAlignment="1">
      <alignment horizontal="right" vertical="center"/>
    </xf>
    <xf numFmtId="0" fontId="0" fillId="12" borderId="4" xfId="0" applyFill="1" applyBorder="1" applyAlignment="1">
      <alignment horizontal="right" vertical="center"/>
    </xf>
    <xf numFmtId="0" fontId="0" fillId="12" borderId="0" xfId="0" applyFill="1" applyBorder="1" applyAlignment="1">
      <alignment horizontal="right" vertical="center"/>
    </xf>
    <xf numFmtId="0" fontId="0" fillId="3" borderId="42" xfId="0" applyFill="1" applyBorder="1" applyAlignment="1">
      <alignment horizontal="center"/>
    </xf>
    <xf numFmtId="0" fontId="0" fillId="3" borderId="43" xfId="0" applyFill="1" applyBorder="1" applyAlignment="1">
      <alignment horizontal="center"/>
    </xf>
    <xf numFmtId="0" fontId="0" fillId="3" borderId="44"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0" fillId="3" borderId="7" xfId="0" applyFill="1" applyBorder="1" applyAlignment="1">
      <alignment horizontal="left"/>
    </xf>
    <xf numFmtId="0" fontId="0" fillId="3" borderId="55" xfId="0" applyFill="1" applyBorder="1" applyAlignment="1">
      <alignment horizontal="center"/>
    </xf>
    <xf numFmtId="0" fontId="0" fillId="3" borderId="56" xfId="0" applyFill="1" applyBorder="1" applyAlignment="1">
      <alignment horizontal="center"/>
    </xf>
    <xf numFmtId="0" fontId="0" fillId="3" borderId="57" xfId="0" applyFill="1" applyBorder="1" applyAlignment="1">
      <alignment horizontal="center"/>
    </xf>
    <xf numFmtId="0" fontId="0" fillId="3" borderId="10" xfId="0" applyFill="1" applyBorder="1" applyAlignment="1">
      <alignment horizontal="center"/>
    </xf>
    <xf numFmtId="0" fontId="0" fillId="3" borderId="9" xfId="0" applyFill="1" applyBorder="1" applyAlignment="1">
      <alignment horizontal="center"/>
    </xf>
    <xf numFmtId="0" fontId="16" fillId="3" borderId="55" xfId="0" applyFont="1" applyFill="1" applyBorder="1" applyAlignment="1">
      <alignment horizontal="center"/>
    </xf>
    <xf numFmtId="0" fontId="16" fillId="3" borderId="56" xfId="0" applyFont="1" applyFill="1" applyBorder="1" applyAlignment="1">
      <alignment horizontal="center"/>
    </xf>
    <xf numFmtId="0" fontId="16" fillId="3" borderId="60" xfId="0" applyFont="1" applyFill="1" applyBorder="1" applyAlignment="1">
      <alignment horizontal="center"/>
    </xf>
    <xf numFmtId="0" fontId="16" fillId="3" borderId="57" xfId="0" applyFont="1" applyFill="1" applyBorder="1" applyAlignment="1">
      <alignment horizontal="center"/>
    </xf>
  </cellXfs>
  <cellStyles count="10">
    <cellStyle name="Calculation" xfId="7" builtinId="22"/>
    <cellStyle name="Explanatory Text" xfId="9" builtinId="53"/>
    <cellStyle name="Heading 1" xfId="2" builtinId="16"/>
    <cellStyle name="Heading 2" xfId="3" builtinId="17"/>
    <cellStyle name="Heading 3" xfId="4" builtinId="18"/>
    <cellStyle name="Input" xfId="5" builtinId="20"/>
    <cellStyle name="Normal" xfId="0" builtinId="0"/>
    <cellStyle name="Note" xfId="8" builtinId="10"/>
    <cellStyle name="Output" xfId="6" builtinId="21"/>
    <cellStyle name="Percent" xfId="1" builtinId="5"/>
  </cellStyles>
  <dxfs count="17">
    <dxf>
      <font>
        <color theme="7" tint="-0.499984740745262"/>
      </font>
      <fill>
        <patternFill>
          <bgColor theme="7" tint="0.79998168889431442"/>
        </patternFill>
      </fill>
    </dxf>
    <dxf>
      <font>
        <color theme="7" tint="-0.499984740745262"/>
      </font>
      <fill>
        <patternFill>
          <bgColor theme="7" tint="0.79998168889431442"/>
        </patternFill>
      </fill>
    </dxf>
    <dxf>
      <font>
        <color theme="7" tint="-0.499984740745262"/>
      </font>
      <fill>
        <patternFill>
          <bgColor theme="7" tint="0.79998168889431442"/>
        </patternFill>
      </fill>
    </dxf>
    <dxf>
      <font>
        <color theme="7" tint="-0.499984740745262"/>
      </font>
      <fill>
        <patternFill>
          <bgColor theme="7" tint="0.79998168889431442"/>
        </patternFill>
      </fill>
    </dxf>
    <dxf>
      <font>
        <color theme="7" tint="-0.499984740745262"/>
      </font>
      <fill>
        <patternFill>
          <bgColor theme="7" tint="0.79998168889431442"/>
        </patternFill>
      </fill>
    </dxf>
    <dxf>
      <font>
        <color theme="7" tint="-0.499984740745262"/>
      </font>
      <fill>
        <patternFill>
          <bgColor theme="7" tint="0.79998168889431442"/>
        </patternFill>
      </fill>
    </dxf>
    <dxf>
      <font>
        <color theme="7" tint="-0.499984740745262"/>
      </font>
      <fill>
        <patternFill>
          <bgColor theme="7"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bgColor theme="7" tint="0.79998168889431442"/>
        </patternFill>
      </fill>
    </dxf>
  </dxfs>
  <tableStyles count="0" defaultTableStyle="TableStyleMedium2" defaultPivotStyle="PivotStyleLight16"/>
  <colors>
    <mruColors>
      <color rgb="FFC6E0B4"/>
      <color rgb="FFA9D08E"/>
      <color rgb="FF70AD47"/>
      <color rgb="FFFFC7CE"/>
      <color rgb="FFFF7D7D"/>
      <color rgb="FF365422"/>
      <color rgb="FF548235"/>
      <color rgb="FF879AB3"/>
      <color rgb="FF588838"/>
      <color rgb="FF7388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11</xdr:col>
      <xdr:colOff>1</xdr:colOff>
      <xdr:row>0</xdr:row>
      <xdr:rowOff>0</xdr:rowOff>
    </xdr:from>
    <xdr:to>
      <xdr:col>30</xdr:col>
      <xdr:colOff>27002</xdr:colOff>
      <xdr:row>38</xdr:row>
      <xdr:rowOff>85725</xdr:rowOff>
    </xdr:to>
    <xdr:pic>
      <xdr:nvPicPr>
        <xdr:cNvPr id="10" name="Picture 9">
          <a:extLst>
            <a:ext uri="{FF2B5EF4-FFF2-40B4-BE49-F238E27FC236}">
              <a16:creationId xmlns:a16="http://schemas.microsoft.com/office/drawing/2014/main" id="{BEEE2055-942F-41C7-8F06-45526BA14CF6}"/>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6705601" y="0"/>
          <a:ext cx="11609401" cy="6962775"/>
        </a:xfrm>
        <a:prstGeom prst="rect">
          <a:avLst/>
        </a:prstGeom>
      </xdr:spPr>
    </xdr:pic>
    <xdr:clientData/>
  </xdr:twoCellAnchor>
  <xdr:twoCellAnchor>
    <xdr:from>
      <xdr:col>21</xdr:col>
      <xdr:colOff>406400</xdr:colOff>
      <xdr:row>20</xdr:row>
      <xdr:rowOff>155574</xdr:rowOff>
    </xdr:from>
    <xdr:to>
      <xdr:col>26</xdr:col>
      <xdr:colOff>520700</xdr:colOff>
      <xdr:row>23</xdr:row>
      <xdr:rowOff>66674</xdr:rowOff>
    </xdr:to>
    <xdr:sp macro="" textlink="">
      <xdr:nvSpPr>
        <xdr:cNvPr id="3" name="Rectangle 2">
          <a:extLst>
            <a:ext uri="{FF2B5EF4-FFF2-40B4-BE49-F238E27FC236}">
              <a16:creationId xmlns:a16="http://schemas.microsoft.com/office/drawing/2014/main" id="{9C1074DC-DBCA-4A62-BE9C-C880A42BFFB6}"/>
            </a:ext>
          </a:extLst>
        </xdr:cNvPr>
        <xdr:cNvSpPr/>
      </xdr:nvSpPr>
      <xdr:spPr>
        <a:xfrm>
          <a:off x="13208000" y="3775074"/>
          <a:ext cx="3162300" cy="45402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Calculated utilization = 50mA/236mA</a:t>
          </a:r>
          <a:r>
            <a:rPr lang="en-US" sz="1100">
              <a:solidFill>
                <a:srgbClr val="FF0000"/>
              </a:solidFill>
              <a:latin typeface="Calibri" panose="020F0502020204030204" pitchFamily="34" charset="0"/>
              <a:cs typeface="Calibri" panose="020F0502020204030204" pitchFamily="34" charset="0"/>
            </a:rPr>
            <a:t> = </a:t>
          </a:r>
          <a:r>
            <a:rPr lang="en-US" sz="1100">
              <a:solidFill>
                <a:srgbClr val="FF0000"/>
              </a:solidFill>
              <a:latin typeface="+mn-lt"/>
              <a:cs typeface="+mn-cs"/>
            </a:rPr>
            <a:t>21.2</a:t>
          </a:r>
          <a:r>
            <a:rPr lang="en-US" sz="1100">
              <a:solidFill>
                <a:srgbClr val="FF0000"/>
              </a:solidFill>
            </a:rPr>
            <a:t>%</a:t>
          </a:r>
        </a:p>
        <a:p>
          <a:pPr algn="l"/>
          <a:r>
            <a:rPr lang="en-US" sz="1100">
              <a:solidFill>
                <a:srgbClr val="FF0000"/>
              </a:solidFill>
            </a:rPr>
            <a:t>Measured utilization = 899.299ns/4.492</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rPr>
            <a:t>s = 20.0%</a:t>
          </a:r>
        </a:p>
      </xdr:txBody>
    </xdr:sp>
    <xdr:clientData/>
  </xdr:twoCellAnchor>
  <xdr:twoCellAnchor>
    <xdr:from>
      <xdr:col>21</xdr:col>
      <xdr:colOff>276225</xdr:colOff>
      <xdr:row>24</xdr:row>
      <xdr:rowOff>3174</xdr:rowOff>
    </xdr:from>
    <xdr:to>
      <xdr:col>22</xdr:col>
      <xdr:colOff>142874</xdr:colOff>
      <xdr:row>25</xdr:row>
      <xdr:rowOff>114299</xdr:rowOff>
    </xdr:to>
    <xdr:sp macro="" textlink="">
      <xdr:nvSpPr>
        <xdr:cNvPr id="4" name="Right Brace 3">
          <a:extLst>
            <a:ext uri="{FF2B5EF4-FFF2-40B4-BE49-F238E27FC236}">
              <a16:creationId xmlns:a16="http://schemas.microsoft.com/office/drawing/2014/main" id="{68157BCA-4A96-4FF5-91EB-089681E352DB}"/>
            </a:ext>
          </a:extLst>
        </xdr:cNvPr>
        <xdr:cNvSpPr/>
      </xdr:nvSpPr>
      <xdr:spPr>
        <a:xfrm rot="16200000">
          <a:off x="13169900" y="4254499"/>
          <a:ext cx="292100" cy="476249"/>
        </a:xfrm>
        <a:prstGeom prst="rightBrace">
          <a:avLst>
            <a:gd name="adj1" fmla="val 97917"/>
            <a:gd name="adj2" fmla="val 50000"/>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15</xdr:col>
      <xdr:colOff>495299</xdr:colOff>
      <xdr:row>35</xdr:row>
      <xdr:rowOff>126999</xdr:rowOff>
    </xdr:from>
    <xdr:to>
      <xdr:col>20</xdr:col>
      <xdr:colOff>193674</xdr:colOff>
      <xdr:row>38</xdr:row>
      <xdr:rowOff>38099</xdr:rowOff>
    </xdr:to>
    <xdr:sp macro="" textlink="">
      <xdr:nvSpPr>
        <xdr:cNvPr id="5" name="Rectangle 4">
          <a:extLst>
            <a:ext uri="{FF2B5EF4-FFF2-40B4-BE49-F238E27FC236}">
              <a16:creationId xmlns:a16="http://schemas.microsoft.com/office/drawing/2014/main" id="{0E5A1D67-1B3A-436A-B12A-CBBFB7C76CFC}"/>
            </a:ext>
          </a:extLst>
        </xdr:cNvPr>
        <xdr:cNvSpPr/>
      </xdr:nvSpPr>
      <xdr:spPr>
        <a:xfrm>
          <a:off x="9639299" y="6461124"/>
          <a:ext cx="2746375" cy="45402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Calculated frequency = 247kHz (4.050</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latin typeface="Calibri" panose="020F0502020204030204" pitchFamily="34" charset="0"/>
              <a:cs typeface="Calibri" panose="020F0502020204030204" pitchFamily="34" charset="0"/>
            </a:rPr>
            <a:t>s</a:t>
          </a:r>
          <a:r>
            <a:rPr lang="en-US" sz="1100">
              <a:solidFill>
                <a:srgbClr val="FF0000"/>
              </a:solidFill>
            </a:rPr>
            <a:t>)</a:t>
          </a:r>
        </a:p>
        <a:p>
          <a:pPr algn="l"/>
          <a:r>
            <a:rPr lang="en-US" sz="1100">
              <a:solidFill>
                <a:srgbClr val="FF0000"/>
              </a:solidFill>
            </a:rPr>
            <a:t>Measured frequency</a:t>
          </a:r>
          <a:r>
            <a:rPr lang="en-US" sz="1100" baseline="0">
              <a:solidFill>
                <a:srgbClr val="FF0000"/>
              </a:solidFill>
            </a:rPr>
            <a:t> = 223kHz (4.492</a:t>
          </a:r>
          <a:r>
            <a:rPr lang="el-GR" sz="1100" baseline="0">
              <a:solidFill>
                <a:srgbClr val="FF0000"/>
              </a:solidFill>
              <a:latin typeface="Calibri" panose="020F0502020204030204" pitchFamily="34" charset="0"/>
              <a:cs typeface="Calibri" panose="020F0502020204030204" pitchFamily="34" charset="0"/>
            </a:rPr>
            <a:t>μ</a:t>
          </a:r>
          <a:r>
            <a:rPr lang="en-US" sz="1100" baseline="0">
              <a:solidFill>
                <a:srgbClr val="FF0000"/>
              </a:solidFill>
            </a:rPr>
            <a:t>s)</a:t>
          </a:r>
          <a:endParaRPr lang="en-US" sz="1100">
            <a:solidFill>
              <a:srgbClr val="FF0000"/>
            </a:solidFill>
          </a:endParaRPr>
        </a:p>
      </xdr:txBody>
    </xdr:sp>
    <xdr:clientData/>
  </xdr:twoCellAnchor>
  <xdr:twoCellAnchor>
    <xdr:from>
      <xdr:col>17</xdr:col>
      <xdr:colOff>120869</xdr:colOff>
      <xdr:row>34</xdr:row>
      <xdr:rowOff>45985</xdr:rowOff>
    </xdr:from>
    <xdr:to>
      <xdr:col>21</xdr:col>
      <xdr:colOff>285968</xdr:colOff>
      <xdr:row>35</xdr:row>
      <xdr:rowOff>22005</xdr:rowOff>
    </xdr:to>
    <xdr:sp macro="" textlink="">
      <xdr:nvSpPr>
        <xdr:cNvPr id="6" name="Right Brace 5">
          <a:extLst>
            <a:ext uri="{FF2B5EF4-FFF2-40B4-BE49-F238E27FC236}">
              <a16:creationId xmlns:a16="http://schemas.microsoft.com/office/drawing/2014/main" id="{B6F3CD9A-20F3-4D2D-B04E-5EC43B6CA4F7}"/>
            </a:ext>
          </a:extLst>
        </xdr:cNvPr>
        <xdr:cNvSpPr/>
      </xdr:nvSpPr>
      <xdr:spPr>
        <a:xfrm rot="5400000">
          <a:off x="11730805" y="5075238"/>
          <a:ext cx="159951" cy="2608755"/>
        </a:xfrm>
        <a:prstGeom prst="rightBrace">
          <a:avLst>
            <a:gd name="adj1" fmla="val 97917"/>
            <a:gd name="adj2" fmla="val 50000"/>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16</xdr:col>
      <xdr:colOff>358775</xdr:colOff>
      <xdr:row>2</xdr:row>
      <xdr:rowOff>158750</xdr:rowOff>
    </xdr:from>
    <xdr:to>
      <xdr:col>22</xdr:col>
      <xdr:colOff>200025</xdr:colOff>
      <xdr:row>5</xdr:row>
      <xdr:rowOff>76200</xdr:rowOff>
    </xdr:to>
    <xdr:sp macro="" textlink="">
      <xdr:nvSpPr>
        <xdr:cNvPr id="7" name="Rectangle 6">
          <a:extLst>
            <a:ext uri="{FF2B5EF4-FFF2-40B4-BE49-F238E27FC236}">
              <a16:creationId xmlns:a16="http://schemas.microsoft.com/office/drawing/2014/main" id="{C4C7DF67-A86D-460F-9CC4-C70722A9CB97}"/>
            </a:ext>
          </a:extLst>
        </xdr:cNvPr>
        <xdr:cNvSpPr/>
      </xdr:nvSpPr>
      <xdr:spPr>
        <a:xfrm>
          <a:off x="10112375" y="527050"/>
          <a:ext cx="3498850" cy="4699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Expected I</a:t>
          </a:r>
          <a:r>
            <a:rPr lang="en-US" sz="1100" baseline="-25000">
              <a:solidFill>
                <a:srgbClr val="FF0000"/>
              </a:solidFill>
            </a:rPr>
            <a:t>OUT_MAX</a:t>
          </a:r>
          <a:r>
            <a:rPr lang="en-US" sz="1100">
              <a:solidFill>
                <a:srgbClr val="FF0000"/>
              </a:solidFill>
            </a:rPr>
            <a:t> = 236mA</a:t>
          </a:r>
        </a:p>
        <a:p>
          <a:pPr algn="l"/>
          <a:r>
            <a:rPr lang="en-US" sz="1100">
              <a:solidFill>
                <a:srgbClr val="FF0000"/>
              </a:solidFill>
            </a:rPr>
            <a:t>Therefore,</a:t>
          </a:r>
          <a:r>
            <a:rPr lang="en-US" sz="1100" baseline="0">
              <a:solidFill>
                <a:srgbClr val="FF0000"/>
              </a:solidFill>
            </a:rPr>
            <a:t> expected utilization = 50mA/236mA = 21.2%</a:t>
          </a:r>
          <a:endParaRPr lang="en-US" sz="1100">
            <a:solidFill>
              <a:srgbClr val="FF0000"/>
            </a:solidFill>
          </a:endParaRPr>
        </a:p>
      </xdr:txBody>
    </xdr:sp>
    <xdr:clientData/>
  </xdr:twoCellAnchor>
  <xdr:twoCellAnchor editAs="oneCell">
    <xdr:from>
      <xdr:col>0</xdr:col>
      <xdr:colOff>0</xdr:colOff>
      <xdr:row>0</xdr:row>
      <xdr:rowOff>0</xdr:rowOff>
    </xdr:from>
    <xdr:to>
      <xdr:col>11</xdr:col>
      <xdr:colOff>7434</xdr:colOff>
      <xdr:row>29</xdr:row>
      <xdr:rowOff>85725</xdr:rowOff>
    </xdr:to>
    <xdr:pic>
      <xdr:nvPicPr>
        <xdr:cNvPr id="11" name="Picture 10">
          <a:extLst>
            <a:ext uri="{FF2B5EF4-FFF2-40B4-BE49-F238E27FC236}">
              <a16:creationId xmlns:a16="http://schemas.microsoft.com/office/drawing/2014/main" id="{11ABA27C-E476-4BED-AF3D-AB7831C0037D}"/>
            </a:ext>
          </a:extLst>
        </xdr:cNvPr>
        <xdr:cNvPicPr>
          <a:picLocks noChangeAspect="1"/>
        </xdr:cNvPicPr>
      </xdr:nvPicPr>
      <xdr:blipFill>
        <a:blip xmlns:r="http://schemas.openxmlformats.org/officeDocument/2006/relationships" r:embed="rId2"/>
        <a:stretch>
          <a:fillRect/>
        </a:stretch>
      </xdr:blipFill>
      <xdr:spPr>
        <a:xfrm>
          <a:off x="0" y="0"/>
          <a:ext cx="6713034" cy="533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606425</xdr:colOff>
      <xdr:row>0</xdr:row>
      <xdr:rowOff>0</xdr:rowOff>
    </xdr:from>
    <xdr:to>
      <xdr:col>29</xdr:col>
      <xdr:colOff>600075</xdr:colOff>
      <xdr:row>37</xdr:row>
      <xdr:rowOff>115156</xdr:rowOff>
    </xdr:to>
    <xdr:pic>
      <xdr:nvPicPr>
        <xdr:cNvPr id="2" name="Picture 1">
          <a:extLst>
            <a:ext uri="{FF2B5EF4-FFF2-40B4-BE49-F238E27FC236}">
              <a16:creationId xmlns:a16="http://schemas.microsoft.com/office/drawing/2014/main" id="{7A3923DD-0AB7-43D3-A280-178319F92720}"/>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6702425" y="0"/>
          <a:ext cx="11576050" cy="6811231"/>
        </a:xfrm>
        <a:prstGeom prst="rect">
          <a:avLst/>
        </a:prstGeom>
      </xdr:spPr>
    </xdr:pic>
    <xdr:clientData/>
  </xdr:twoCellAnchor>
  <xdr:twoCellAnchor>
    <xdr:from>
      <xdr:col>21</xdr:col>
      <xdr:colOff>104775</xdr:colOff>
      <xdr:row>24</xdr:row>
      <xdr:rowOff>57149</xdr:rowOff>
    </xdr:from>
    <xdr:to>
      <xdr:col>26</xdr:col>
      <xdr:colOff>219075</xdr:colOff>
      <xdr:row>26</xdr:row>
      <xdr:rowOff>152399</xdr:rowOff>
    </xdr:to>
    <xdr:sp macro="" textlink="">
      <xdr:nvSpPr>
        <xdr:cNvPr id="3" name="Rectangle 2">
          <a:extLst>
            <a:ext uri="{FF2B5EF4-FFF2-40B4-BE49-F238E27FC236}">
              <a16:creationId xmlns:a16="http://schemas.microsoft.com/office/drawing/2014/main" id="{0AA2898C-0688-452F-B32E-C4A9CA3ED61D}"/>
            </a:ext>
          </a:extLst>
        </xdr:cNvPr>
        <xdr:cNvSpPr/>
      </xdr:nvSpPr>
      <xdr:spPr>
        <a:xfrm>
          <a:off x="12906375" y="4400549"/>
          <a:ext cx="3162300" cy="4572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Calculated utilization = 100mA/248mA</a:t>
          </a:r>
          <a:r>
            <a:rPr lang="en-US" sz="1100">
              <a:solidFill>
                <a:srgbClr val="FF0000"/>
              </a:solidFill>
              <a:latin typeface="Calibri" panose="020F0502020204030204" pitchFamily="34" charset="0"/>
              <a:cs typeface="Calibri" panose="020F0502020204030204" pitchFamily="34" charset="0"/>
            </a:rPr>
            <a:t> = </a:t>
          </a:r>
          <a:r>
            <a:rPr lang="en-US" sz="1100">
              <a:solidFill>
                <a:srgbClr val="FF0000"/>
              </a:solidFill>
            </a:rPr>
            <a:t>40.3%</a:t>
          </a:r>
        </a:p>
        <a:p>
          <a:pPr algn="l"/>
          <a:r>
            <a:rPr lang="en-US" sz="1100">
              <a:solidFill>
                <a:srgbClr val="FF0000"/>
              </a:solidFill>
            </a:rPr>
            <a:t>Measured utilization = 830.649ns/2.158</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rPr>
            <a:t>s = 38.5%</a:t>
          </a:r>
        </a:p>
      </xdr:txBody>
    </xdr:sp>
    <xdr:clientData/>
  </xdr:twoCellAnchor>
  <xdr:twoCellAnchor>
    <xdr:from>
      <xdr:col>20</xdr:col>
      <xdr:colOff>600075</xdr:colOff>
      <xdr:row>27</xdr:row>
      <xdr:rowOff>76199</xdr:rowOff>
    </xdr:from>
    <xdr:to>
      <xdr:col>21</xdr:col>
      <xdr:colOff>447675</xdr:colOff>
      <xdr:row>29</xdr:row>
      <xdr:rowOff>12699</xdr:rowOff>
    </xdr:to>
    <xdr:sp macro="" textlink="">
      <xdr:nvSpPr>
        <xdr:cNvPr id="4" name="Right Brace 3">
          <a:extLst>
            <a:ext uri="{FF2B5EF4-FFF2-40B4-BE49-F238E27FC236}">
              <a16:creationId xmlns:a16="http://schemas.microsoft.com/office/drawing/2014/main" id="{9DED46B9-4CF2-42E6-A6C9-83E992D1F345}"/>
            </a:ext>
          </a:extLst>
        </xdr:cNvPr>
        <xdr:cNvSpPr/>
      </xdr:nvSpPr>
      <xdr:spPr>
        <a:xfrm rot="16200000">
          <a:off x="12871450" y="4883149"/>
          <a:ext cx="298450" cy="457200"/>
        </a:xfrm>
        <a:prstGeom prst="rightBrace">
          <a:avLst>
            <a:gd name="adj1" fmla="val 97917"/>
            <a:gd name="adj2" fmla="val 50000"/>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473075</xdr:colOff>
      <xdr:row>24</xdr:row>
      <xdr:rowOff>69849</xdr:rowOff>
    </xdr:from>
    <xdr:to>
      <xdr:col>18</xdr:col>
      <xdr:colOff>600075</xdr:colOff>
      <xdr:row>26</xdr:row>
      <xdr:rowOff>165099</xdr:rowOff>
    </xdr:to>
    <xdr:sp macro="" textlink="">
      <xdr:nvSpPr>
        <xdr:cNvPr id="5" name="Rectangle 4">
          <a:extLst>
            <a:ext uri="{FF2B5EF4-FFF2-40B4-BE49-F238E27FC236}">
              <a16:creationId xmlns:a16="http://schemas.microsoft.com/office/drawing/2014/main" id="{D0F37FE0-D3E1-4A2A-8BBA-7B845C9A4A63}"/>
            </a:ext>
          </a:extLst>
        </xdr:cNvPr>
        <xdr:cNvSpPr/>
      </xdr:nvSpPr>
      <xdr:spPr>
        <a:xfrm>
          <a:off x="9007475" y="4413249"/>
          <a:ext cx="2565400" cy="4572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Calculated frequency = 494kHz (2.023</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latin typeface="Calibri" panose="020F0502020204030204" pitchFamily="34" charset="0"/>
              <a:cs typeface="Calibri" panose="020F0502020204030204" pitchFamily="34" charset="0"/>
            </a:rPr>
            <a:t>s</a:t>
          </a:r>
          <a:r>
            <a:rPr lang="en-US" sz="1100">
              <a:solidFill>
                <a:srgbClr val="FF0000"/>
              </a:solidFill>
            </a:rPr>
            <a:t>)</a:t>
          </a:r>
        </a:p>
        <a:p>
          <a:pPr algn="l"/>
          <a:r>
            <a:rPr lang="en-US" sz="1100">
              <a:solidFill>
                <a:srgbClr val="FF0000"/>
              </a:solidFill>
            </a:rPr>
            <a:t>Measured frequency</a:t>
          </a:r>
          <a:r>
            <a:rPr lang="en-US" sz="1100" baseline="0">
              <a:solidFill>
                <a:srgbClr val="FF0000"/>
              </a:solidFill>
            </a:rPr>
            <a:t> = 463kHz (2.158</a:t>
          </a:r>
          <a:r>
            <a:rPr lang="el-GR" sz="1100" baseline="0">
              <a:solidFill>
                <a:srgbClr val="FF0000"/>
              </a:solidFill>
              <a:latin typeface="Calibri" panose="020F0502020204030204" pitchFamily="34" charset="0"/>
              <a:cs typeface="Calibri" panose="020F0502020204030204" pitchFamily="34" charset="0"/>
            </a:rPr>
            <a:t>μ</a:t>
          </a:r>
          <a:r>
            <a:rPr lang="en-US" sz="1100" baseline="0">
              <a:solidFill>
                <a:srgbClr val="FF0000"/>
              </a:solidFill>
            </a:rPr>
            <a:t>s)</a:t>
          </a:r>
          <a:endParaRPr lang="en-US" sz="1100">
            <a:solidFill>
              <a:srgbClr val="FF0000"/>
            </a:solidFill>
          </a:endParaRPr>
        </a:p>
      </xdr:txBody>
    </xdr:sp>
    <xdr:clientData/>
  </xdr:twoCellAnchor>
  <xdr:twoCellAnchor>
    <xdr:from>
      <xdr:col>16</xdr:col>
      <xdr:colOff>606425</xdr:colOff>
      <xdr:row>27</xdr:row>
      <xdr:rowOff>76199</xdr:rowOff>
    </xdr:from>
    <xdr:to>
      <xdr:col>19</xdr:col>
      <xdr:colOff>9525</xdr:colOff>
      <xdr:row>29</xdr:row>
      <xdr:rowOff>12699</xdr:rowOff>
    </xdr:to>
    <xdr:sp macro="" textlink="">
      <xdr:nvSpPr>
        <xdr:cNvPr id="6" name="Right Brace 5">
          <a:extLst>
            <a:ext uri="{FF2B5EF4-FFF2-40B4-BE49-F238E27FC236}">
              <a16:creationId xmlns:a16="http://schemas.microsoft.com/office/drawing/2014/main" id="{7F06E6DA-3096-4687-A636-E160F89E8A35}"/>
            </a:ext>
          </a:extLst>
        </xdr:cNvPr>
        <xdr:cNvSpPr/>
      </xdr:nvSpPr>
      <xdr:spPr>
        <a:xfrm rot="16200000">
          <a:off x="10826750" y="4495799"/>
          <a:ext cx="298450" cy="1231900"/>
        </a:xfrm>
        <a:prstGeom prst="rightBrace">
          <a:avLst>
            <a:gd name="adj1" fmla="val 97917"/>
            <a:gd name="adj2" fmla="val 50000"/>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16</xdr:col>
      <xdr:colOff>358775</xdr:colOff>
      <xdr:row>2</xdr:row>
      <xdr:rowOff>158750</xdr:rowOff>
    </xdr:from>
    <xdr:to>
      <xdr:col>22</xdr:col>
      <xdr:colOff>200025</xdr:colOff>
      <xdr:row>5</xdr:row>
      <xdr:rowOff>76200</xdr:rowOff>
    </xdr:to>
    <xdr:sp macro="" textlink="">
      <xdr:nvSpPr>
        <xdr:cNvPr id="7" name="Rectangle 6">
          <a:extLst>
            <a:ext uri="{FF2B5EF4-FFF2-40B4-BE49-F238E27FC236}">
              <a16:creationId xmlns:a16="http://schemas.microsoft.com/office/drawing/2014/main" id="{083BA0CD-2D25-417B-93B5-924DAE7C0DEE}"/>
            </a:ext>
          </a:extLst>
        </xdr:cNvPr>
        <xdr:cNvSpPr/>
      </xdr:nvSpPr>
      <xdr:spPr>
        <a:xfrm>
          <a:off x="10112375" y="520700"/>
          <a:ext cx="3498850" cy="46037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Expected I</a:t>
          </a:r>
          <a:r>
            <a:rPr lang="en-US" sz="1100" baseline="-25000">
              <a:solidFill>
                <a:srgbClr val="FF0000"/>
              </a:solidFill>
            </a:rPr>
            <a:t>OUT_MAX</a:t>
          </a:r>
          <a:r>
            <a:rPr lang="en-US" sz="1100">
              <a:solidFill>
                <a:srgbClr val="FF0000"/>
              </a:solidFill>
            </a:rPr>
            <a:t> = 248mA</a:t>
          </a:r>
        </a:p>
        <a:p>
          <a:pPr algn="l"/>
          <a:r>
            <a:rPr lang="en-US" sz="1100">
              <a:solidFill>
                <a:srgbClr val="FF0000"/>
              </a:solidFill>
            </a:rPr>
            <a:t>Therefore,</a:t>
          </a:r>
          <a:r>
            <a:rPr lang="en-US" sz="1100" baseline="0">
              <a:solidFill>
                <a:srgbClr val="FF0000"/>
              </a:solidFill>
            </a:rPr>
            <a:t> expected utilization = 100mA/248mA = 40.3%</a:t>
          </a:r>
          <a:endParaRPr lang="en-US" sz="1100">
            <a:solidFill>
              <a:srgbClr val="FF0000"/>
            </a:solidFill>
          </a:endParaRPr>
        </a:p>
      </xdr:txBody>
    </xdr:sp>
    <xdr:clientData/>
  </xdr:twoCellAnchor>
  <xdr:twoCellAnchor editAs="oneCell">
    <xdr:from>
      <xdr:col>0</xdr:col>
      <xdr:colOff>0</xdr:colOff>
      <xdr:row>0</xdr:row>
      <xdr:rowOff>0</xdr:rowOff>
    </xdr:from>
    <xdr:to>
      <xdr:col>11</xdr:col>
      <xdr:colOff>19050</xdr:colOff>
      <xdr:row>29</xdr:row>
      <xdr:rowOff>88060</xdr:rowOff>
    </xdr:to>
    <xdr:pic>
      <xdr:nvPicPr>
        <xdr:cNvPr id="10" name="Picture 9">
          <a:extLst>
            <a:ext uri="{FF2B5EF4-FFF2-40B4-BE49-F238E27FC236}">
              <a16:creationId xmlns:a16="http://schemas.microsoft.com/office/drawing/2014/main" id="{EC3AC8DB-E360-44FC-BD4C-6BE0BE13B606}"/>
            </a:ext>
          </a:extLst>
        </xdr:cNvPr>
        <xdr:cNvPicPr>
          <a:picLocks noChangeAspect="1"/>
        </xdr:cNvPicPr>
      </xdr:nvPicPr>
      <xdr:blipFill>
        <a:blip xmlns:r="http://schemas.openxmlformats.org/officeDocument/2006/relationships" r:embed="rId2"/>
        <a:stretch>
          <a:fillRect/>
        </a:stretch>
      </xdr:blipFill>
      <xdr:spPr>
        <a:xfrm>
          <a:off x="0" y="0"/>
          <a:ext cx="6724650" cy="533633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606425</xdr:colOff>
      <xdr:row>0</xdr:row>
      <xdr:rowOff>0</xdr:rowOff>
    </xdr:from>
    <xdr:to>
      <xdr:col>30</xdr:col>
      <xdr:colOff>17448</xdr:colOff>
      <xdr:row>38</xdr:row>
      <xdr:rowOff>66675</xdr:rowOff>
    </xdr:to>
    <xdr:pic>
      <xdr:nvPicPr>
        <xdr:cNvPr id="10" name="Picture 9">
          <a:extLst>
            <a:ext uri="{FF2B5EF4-FFF2-40B4-BE49-F238E27FC236}">
              <a16:creationId xmlns:a16="http://schemas.microsoft.com/office/drawing/2014/main" id="{77A889F2-EDC3-4AEF-9478-6566189960D0}"/>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6702425" y="0"/>
          <a:ext cx="11603023" cy="6943725"/>
        </a:xfrm>
        <a:prstGeom prst="rect">
          <a:avLst/>
        </a:prstGeom>
      </xdr:spPr>
    </xdr:pic>
    <xdr:clientData/>
  </xdr:twoCellAnchor>
  <xdr:twoCellAnchor>
    <xdr:from>
      <xdr:col>21</xdr:col>
      <xdr:colOff>225425</xdr:colOff>
      <xdr:row>24</xdr:row>
      <xdr:rowOff>133349</xdr:rowOff>
    </xdr:from>
    <xdr:to>
      <xdr:col>26</xdr:col>
      <xdr:colOff>339725</xdr:colOff>
      <xdr:row>27</xdr:row>
      <xdr:rowOff>47624</xdr:rowOff>
    </xdr:to>
    <xdr:sp macro="" textlink="">
      <xdr:nvSpPr>
        <xdr:cNvPr id="3" name="Rectangle 2">
          <a:extLst>
            <a:ext uri="{FF2B5EF4-FFF2-40B4-BE49-F238E27FC236}">
              <a16:creationId xmlns:a16="http://schemas.microsoft.com/office/drawing/2014/main" id="{4D02F4B3-7346-4FD9-B895-E2FA696CE7B6}"/>
            </a:ext>
          </a:extLst>
        </xdr:cNvPr>
        <xdr:cNvSpPr/>
      </xdr:nvSpPr>
      <xdr:spPr>
        <a:xfrm>
          <a:off x="13027025" y="4476749"/>
          <a:ext cx="3162300" cy="4572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Calculated utilization = 100mA/308mA</a:t>
          </a:r>
          <a:r>
            <a:rPr lang="en-US" sz="1100">
              <a:solidFill>
                <a:srgbClr val="FF0000"/>
              </a:solidFill>
              <a:latin typeface="Calibri" panose="020F0502020204030204" pitchFamily="34" charset="0"/>
              <a:cs typeface="Calibri" panose="020F0502020204030204" pitchFamily="34" charset="0"/>
            </a:rPr>
            <a:t> = </a:t>
          </a:r>
          <a:r>
            <a:rPr lang="en-US" sz="1100">
              <a:solidFill>
                <a:srgbClr val="FF0000"/>
              </a:solidFill>
              <a:latin typeface="+mn-lt"/>
              <a:cs typeface="+mn-cs"/>
            </a:rPr>
            <a:t>32.5</a:t>
          </a:r>
          <a:r>
            <a:rPr lang="en-US" sz="1100">
              <a:solidFill>
                <a:srgbClr val="FF0000"/>
              </a:solidFill>
            </a:rPr>
            <a:t>%</a:t>
          </a:r>
        </a:p>
        <a:p>
          <a:pPr algn="l"/>
          <a:r>
            <a:rPr lang="en-US" sz="1100">
              <a:solidFill>
                <a:srgbClr val="FF0000"/>
              </a:solidFill>
            </a:rPr>
            <a:t>Measured utilization = 1.094</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rPr>
            <a:t>s/3.188</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rPr>
            <a:t>s = 34.3%</a:t>
          </a:r>
        </a:p>
      </xdr:txBody>
    </xdr:sp>
    <xdr:clientData/>
  </xdr:twoCellAnchor>
  <xdr:twoCellAnchor>
    <xdr:from>
      <xdr:col>21</xdr:col>
      <xdr:colOff>542925</xdr:colOff>
      <xdr:row>27</xdr:row>
      <xdr:rowOff>165099</xdr:rowOff>
    </xdr:from>
    <xdr:to>
      <xdr:col>22</xdr:col>
      <xdr:colOff>542924</xdr:colOff>
      <xdr:row>29</xdr:row>
      <xdr:rowOff>95249</xdr:rowOff>
    </xdr:to>
    <xdr:sp macro="" textlink="">
      <xdr:nvSpPr>
        <xdr:cNvPr id="4" name="Right Brace 3">
          <a:extLst>
            <a:ext uri="{FF2B5EF4-FFF2-40B4-BE49-F238E27FC236}">
              <a16:creationId xmlns:a16="http://schemas.microsoft.com/office/drawing/2014/main" id="{342645CF-65CD-40C4-9B5A-E37AAE4F7949}"/>
            </a:ext>
          </a:extLst>
        </xdr:cNvPr>
        <xdr:cNvSpPr/>
      </xdr:nvSpPr>
      <xdr:spPr>
        <a:xfrm rot="16200000">
          <a:off x="13503275" y="4892674"/>
          <a:ext cx="292100" cy="609599"/>
        </a:xfrm>
        <a:prstGeom prst="rightBrace">
          <a:avLst>
            <a:gd name="adj1" fmla="val 97917"/>
            <a:gd name="adj2" fmla="val 50000"/>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574674</xdr:colOff>
      <xdr:row>24</xdr:row>
      <xdr:rowOff>133349</xdr:rowOff>
    </xdr:from>
    <xdr:to>
      <xdr:col>19</xdr:col>
      <xdr:colOff>266699</xdr:colOff>
      <xdr:row>27</xdr:row>
      <xdr:rowOff>47624</xdr:rowOff>
    </xdr:to>
    <xdr:sp macro="" textlink="">
      <xdr:nvSpPr>
        <xdr:cNvPr id="5" name="Rectangle 4">
          <a:extLst>
            <a:ext uri="{FF2B5EF4-FFF2-40B4-BE49-F238E27FC236}">
              <a16:creationId xmlns:a16="http://schemas.microsoft.com/office/drawing/2014/main" id="{0837F0FA-67D1-4531-8577-CF15636ADCFF}"/>
            </a:ext>
          </a:extLst>
        </xdr:cNvPr>
        <xdr:cNvSpPr/>
      </xdr:nvSpPr>
      <xdr:spPr>
        <a:xfrm>
          <a:off x="9109074" y="4476749"/>
          <a:ext cx="2740025" cy="4572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Calculated frequency = 332kHz (3.008</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latin typeface="Calibri" panose="020F0502020204030204" pitchFamily="34" charset="0"/>
              <a:cs typeface="Calibri" panose="020F0502020204030204" pitchFamily="34" charset="0"/>
            </a:rPr>
            <a:t>s</a:t>
          </a:r>
          <a:r>
            <a:rPr lang="en-US" sz="1100">
              <a:solidFill>
                <a:srgbClr val="FF0000"/>
              </a:solidFill>
            </a:rPr>
            <a:t>)</a:t>
          </a:r>
        </a:p>
        <a:p>
          <a:pPr algn="l"/>
          <a:r>
            <a:rPr lang="en-US" sz="1100">
              <a:solidFill>
                <a:srgbClr val="FF0000"/>
              </a:solidFill>
            </a:rPr>
            <a:t>Measured frequency</a:t>
          </a:r>
          <a:r>
            <a:rPr lang="en-US" sz="1100" baseline="0">
              <a:solidFill>
                <a:srgbClr val="FF0000"/>
              </a:solidFill>
            </a:rPr>
            <a:t> = 314kHz (3.188</a:t>
          </a:r>
          <a:r>
            <a:rPr lang="el-GR" sz="1100" baseline="0">
              <a:solidFill>
                <a:srgbClr val="FF0000"/>
              </a:solidFill>
              <a:latin typeface="Calibri" panose="020F0502020204030204" pitchFamily="34" charset="0"/>
              <a:cs typeface="Calibri" panose="020F0502020204030204" pitchFamily="34" charset="0"/>
            </a:rPr>
            <a:t>μ</a:t>
          </a:r>
          <a:r>
            <a:rPr lang="en-US" sz="1100" baseline="0">
              <a:solidFill>
                <a:srgbClr val="FF0000"/>
              </a:solidFill>
            </a:rPr>
            <a:t>s)</a:t>
          </a:r>
          <a:endParaRPr lang="en-US" sz="1100">
            <a:solidFill>
              <a:srgbClr val="FF0000"/>
            </a:solidFill>
          </a:endParaRPr>
        </a:p>
      </xdr:txBody>
    </xdr:sp>
    <xdr:clientData/>
  </xdr:twoCellAnchor>
  <xdr:twoCellAnchor>
    <xdr:from>
      <xdr:col>15</xdr:col>
      <xdr:colOff>530224</xdr:colOff>
      <xdr:row>27</xdr:row>
      <xdr:rowOff>171449</xdr:rowOff>
    </xdr:from>
    <xdr:to>
      <xdr:col>18</xdr:col>
      <xdr:colOff>533399</xdr:colOff>
      <xdr:row>29</xdr:row>
      <xdr:rowOff>107949</xdr:rowOff>
    </xdr:to>
    <xdr:sp macro="" textlink="">
      <xdr:nvSpPr>
        <xdr:cNvPr id="6" name="Right Brace 5">
          <a:extLst>
            <a:ext uri="{FF2B5EF4-FFF2-40B4-BE49-F238E27FC236}">
              <a16:creationId xmlns:a16="http://schemas.microsoft.com/office/drawing/2014/main" id="{9D978FCD-A35C-48CF-A0B8-A1BE72123593}"/>
            </a:ext>
          </a:extLst>
        </xdr:cNvPr>
        <xdr:cNvSpPr/>
      </xdr:nvSpPr>
      <xdr:spPr>
        <a:xfrm rot="16200000">
          <a:off x="10440987" y="4291011"/>
          <a:ext cx="298450" cy="1831975"/>
        </a:xfrm>
        <a:prstGeom prst="rightBrace">
          <a:avLst>
            <a:gd name="adj1" fmla="val 97917"/>
            <a:gd name="adj2" fmla="val 50000"/>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16</xdr:col>
      <xdr:colOff>358775</xdr:colOff>
      <xdr:row>2</xdr:row>
      <xdr:rowOff>0</xdr:rowOff>
    </xdr:from>
    <xdr:to>
      <xdr:col>22</xdr:col>
      <xdr:colOff>196850</xdr:colOff>
      <xdr:row>4</xdr:row>
      <xdr:rowOff>95250</xdr:rowOff>
    </xdr:to>
    <xdr:sp macro="" textlink="">
      <xdr:nvSpPr>
        <xdr:cNvPr id="7" name="Rectangle 6">
          <a:extLst>
            <a:ext uri="{FF2B5EF4-FFF2-40B4-BE49-F238E27FC236}">
              <a16:creationId xmlns:a16="http://schemas.microsoft.com/office/drawing/2014/main" id="{CDD5BF67-9A96-4C45-8661-5B2B6C619BFB}"/>
            </a:ext>
          </a:extLst>
        </xdr:cNvPr>
        <xdr:cNvSpPr/>
      </xdr:nvSpPr>
      <xdr:spPr>
        <a:xfrm>
          <a:off x="10112375" y="361950"/>
          <a:ext cx="3495675" cy="4572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Expected I</a:t>
          </a:r>
          <a:r>
            <a:rPr lang="en-US" sz="1100" baseline="-25000">
              <a:solidFill>
                <a:srgbClr val="FF0000"/>
              </a:solidFill>
            </a:rPr>
            <a:t>OUT_MAX</a:t>
          </a:r>
          <a:r>
            <a:rPr lang="en-US" sz="1100">
              <a:solidFill>
                <a:srgbClr val="FF0000"/>
              </a:solidFill>
            </a:rPr>
            <a:t> = 308mA</a:t>
          </a:r>
        </a:p>
        <a:p>
          <a:pPr algn="l"/>
          <a:r>
            <a:rPr lang="en-US" sz="1100">
              <a:solidFill>
                <a:srgbClr val="FF0000"/>
              </a:solidFill>
            </a:rPr>
            <a:t>Therefore,</a:t>
          </a:r>
          <a:r>
            <a:rPr lang="en-US" sz="1100" baseline="0">
              <a:solidFill>
                <a:srgbClr val="FF0000"/>
              </a:solidFill>
            </a:rPr>
            <a:t> expected utilization = 100mA/308mA = 32.5%</a:t>
          </a:r>
          <a:endParaRPr lang="en-US" sz="1100">
            <a:solidFill>
              <a:srgbClr val="FF0000"/>
            </a:solidFill>
          </a:endParaRPr>
        </a:p>
      </xdr:txBody>
    </xdr:sp>
    <xdr:clientData/>
  </xdr:twoCellAnchor>
  <xdr:twoCellAnchor editAs="oneCell">
    <xdr:from>
      <xdr:col>0</xdr:col>
      <xdr:colOff>0</xdr:colOff>
      <xdr:row>0</xdr:row>
      <xdr:rowOff>0</xdr:rowOff>
    </xdr:from>
    <xdr:to>
      <xdr:col>11</xdr:col>
      <xdr:colOff>9525</xdr:colOff>
      <xdr:row>29</xdr:row>
      <xdr:rowOff>87386</xdr:rowOff>
    </xdr:to>
    <xdr:pic>
      <xdr:nvPicPr>
        <xdr:cNvPr id="9" name="Picture 8">
          <a:extLst>
            <a:ext uri="{FF2B5EF4-FFF2-40B4-BE49-F238E27FC236}">
              <a16:creationId xmlns:a16="http://schemas.microsoft.com/office/drawing/2014/main" id="{0873C012-68EB-460F-BE6A-7682B9BB001B}"/>
            </a:ext>
          </a:extLst>
        </xdr:cNvPr>
        <xdr:cNvPicPr>
          <a:picLocks noChangeAspect="1"/>
        </xdr:cNvPicPr>
      </xdr:nvPicPr>
      <xdr:blipFill>
        <a:blip xmlns:r="http://schemas.openxmlformats.org/officeDocument/2006/relationships" r:embed="rId2"/>
        <a:stretch>
          <a:fillRect/>
        </a:stretch>
      </xdr:blipFill>
      <xdr:spPr>
        <a:xfrm>
          <a:off x="0" y="0"/>
          <a:ext cx="6715125" cy="533566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3174</xdr:colOff>
      <xdr:row>0</xdr:row>
      <xdr:rowOff>0</xdr:rowOff>
    </xdr:from>
    <xdr:to>
      <xdr:col>30</xdr:col>
      <xdr:colOff>20832</xdr:colOff>
      <xdr:row>38</xdr:row>
      <xdr:rowOff>76200</xdr:rowOff>
    </xdr:to>
    <xdr:pic>
      <xdr:nvPicPr>
        <xdr:cNvPr id="2" name="Picture 1">
          <a:extLst>
            <a:ext uri="{FF2B5EF4-FFF2-40B4-BE49-F238E27FC236}">
              <a16:creationId xmlns:a16="http://schemas.microsoft.com/office/drawing/2014/main" id="{9B311CCC-A220-40C0-9681-9736B4FA099B}"/>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6708774" y="0"/>
          <a:ext cx="11600058" cy="6953250"/>
        </a:xfrm>
        <a:prstGeom prst="rect">
          <a:avLst/>
        </a:prstGeom>
      </xdr:spPr>
    </xdr:pic>
    <xdr:clientData/>
  </xdr:twoCellAnchor>
  <xdr:twoCellAnchor>
    <xdr:from>
      <xdr:col>15</xdr:col>
      <xdr:colOff>152400</xdr:colOff>
      <xdr:row>28</xdr:row>
      <xdr:rowOff>123824</xdr:rowOff>
    </xdr:from>
    <xdr:to>
      <xdr:col>26</xdr:col>
      <xdr:colOff>419100</xdr:colOff>
      <xdr:row>31</xdr:row>
      <xdr:rowOff>28574</xdr:rowOff>
    </xdr:to>
    <xdr:sp macro="" textlink="">
      <xdr:nvSpPr>
        <xdr:cNvPr id="3" name="Rectangle 2">
          <a:extLst>
            <a:ext uri="{FF2B5EF4-FFF2-40B4-BE49-F238E27FC236}">
              <a16:creationId xmlns:a16="http://schemas.microsoft.com/office/drawing/2014/main" id="{5B14E0BA-2626-4B86-A75B-12C534302D0F}"/>
            </a:ext>
          </a:extLst>
        </xdr:cNvPr>
        <xdr:cNvSpPr/>
      </xdr:nvSpPr>
      <xdr:spPr>
        <a:xfrm>
          <a:off x="9296400" y="5191124"/>
          <a:ext cx="6972300" cy="44767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Calculated utilization = ~77.4%</a:t>
          </a:r>
        </a:p>
        <a:p>
          <a:pPr algn="l"/>
          <a:r>
            <a:rPr lang="en-US" sz="1100">
              <a:solidFill>
                <a:srgbClr val="FF0000"/>
              </a:solidFill>
            </a:rPr>
            <a:t>Average utilization = (0.890153*8+0.844386*14+1.108*6)</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latin typeface="Calibri" panose="020F0502020204030204" pitchFamily="34" charset="0"/>
              <a:cs typeface="Calibri" panose="020F0502020204030204" pitchFamily="34" charset="0"/>
            </a:rPr>
            <a:t>s</a:t>
          </a:r>
          <a:r>
            <a:rPr lang="en-US" sz="1100">
              <a:solidFill>
                <a:srgbClr val="FF0000"/>
              </a:solidFill>
            </a:rPr>
            <a:t>/33.698</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rPr>
            <a:t>s = 25.591</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latin typeface="Calibri" panose="020F0502020204030204" pitchFamily="34" charset="0"/>
              <a:cs typeface="Calibri" panose="020F0502020204030204" pitchFamily="34" charset="0"/>
            </a:rPr>
            <a:t>s</a:t>
          </a:r>
          <a:r>
            <a:rPr lang="en-US" sz="1100">
              <a:solidFill>
                <a:srgbClr val="FF0000"/>
              </a:solidFill>
            </a:rPr>
            <a:t>/33.698</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latin typeface="Calibri" panose="020F0502020204030204" pitchFamily="34" charset="0"/>
              <a:cs typeface="Calibri" panose="020F0502020204030204" pitchFamily="34" charset="0"/>
            </a:rPr>
            <a:t>s</a:t>
          </a:r>
          <a:r>
            <a:rPr lang="en-US" sz="1100">
              <a:solidFill>
                <a:srgbClr val="FF0000"/>
              </a:solidFill>
            </a:rPr>
            <a:t> = 75.9%</a:t>
          </a:r>
        </a:p>
      </xdr:txBody>
    </xdr:sp>
    <xdr:clientData/>
  </xdr:twoCellAnchor>
  <xdr:twoCellAnchor>
    <xdr:from>
      <xdr:col>18</xdr:col>
      <xdr:colOff>276225</xdr:colOff>
      <xdr:row>36</xdr:row>
      <xdr:rowOff>117474</xdr:rowOff>
    </xdr:from>
    <xdr:to>
      <xdr:col>21</xdr:col>
      <xdr:colOff>415926</xdr:colOff>
      <xdr:row>41</xdr:row>
      <xdr:rowOff>19050</xdr:rowOff>
    </xdr:to>
    <xdr:sp macro="" textlink="">
      <xdr:nvSpPr>
        <xdr:cNvPr id="5" name="Rectangle 4">
          <a:extLst>
            <a:ext uri="{FF2B5EF4-FFF2-40B4-BE49-F238E27FC236}">
              <a16:creationId xmlns:a16="http://schemas.microsoft.com/office/drawing/2014/main" id="{E9CBC53A-5770-4624-9263-BA2B02E5C015}"/>
            </a:ext>
          </a:extLst>
        </xdr:cNvPr>
        <xdr:cNvSpPr/>
      </xdr:nvSpPr>
      <xdr:spPr>
        <a:xfrm>
          <a:off x="11249025" y="6632574"/>
          <a:ext cx="1968501" cy="806451"/>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Sample time period</a:t>
          </a:r>
          <a:r>
            <a:rPr lang="en-US" sz="1100" baseline="0">
              <a:solidFill>
                <a:srgbClr val="FF0000"/>
              </a:solidFill>
            </a:rPr>
            <a:t> = 33.698</a:t>
          </a:r>
          <a:r>
            <a:rPr lang="el-GR" sz="1100" baseline="0">
              <a:solidFill>
                <a:srgbClr val="FF0000"/>
              </a:solidFill>
              <a:latin typeface="Calibri" panose="020F0502020204030204" pitchFamily="34" charset="0"/>
              <a:cs typeface="Calibri" panose="020F0502020204030204" pitchFamily="34" charset="0"/>
            </a:rPr>
            <a:t>μ</a:t>
          </a:r>
          <a:r>
            <a:rPr lang="en-US" sz="1100" baseline="0">
              <a:solidFill>
                <a:srgbClr val="FF0000"/>
              </a:solidFill>
              <a:latin typeface="Calibri" panose="020F0502020204030204" pitchFamily="34" charset="0"/>
              <a:cs typeface="Calibri" panose="020F0502020204030204" pitchFamily="34" charset="0"/>
            </a:rPr>
            <a:t>s</a:t>
          </a:r>
        </a:p>
        <a:p>
          <a:pPr algn="l"/>
          <a:r>
            <a:rPr lang="en-US" sz="1100">
              <a:solidFill>
                <a:srgbClr val="FF0000"/>
              </a:solidFill>
            </a:rPr>
            <a:t>SBB0 serviced 8x</a:t>
          </a:r>
        </a:p>
        <a:p>
          <a:pPr algn="l"/>
          <a:r>
            <a:rPr lang="en-US" sz="1100">
              <a:solidFill>
                <a:srgbClr val="FF0000"/>
              </a:solidFill>
            </a:rPr>
            <a:t>SBB1</a:t>
          </a:r>
          <a:r>
            <a:rPr lang="en-US" sz="1100" baseline="0">
              <a:solidFill>
                <a:srgbClr val="FF0000"/>
              </a:solidFill>
            </a:rPr>
            <a:t> serviced 14x</a:t>
          </a:r>
        </a:p>
        <a:p>
          <a:pPr algn="l"/>
          <a:r>
            <a:rPr lang="en-US" sz="1100" baseline="0">
              <a:solidFill>
                <a:srgbClr val="FF0000"/>
              </a:solidFill>
            </a:rPr>
            <a:t>SBB2 serviced 6x</a:t>
          </a:r>
          <a:endParaRPr lang="en-US" sz="1100">
            <a:solidFill>
              <a:srgbClr val="FF0000"/>
            </a:solidFill>
          </a:endParaRPr>
        </a:p>
      </xdr:txBody>
    </xdr:sp>
    <xdr:clientData/>
  </xdr:twoCellAnchor>
  <xdr:twoCellAnchor>
    <xdr:from>
      <xdr:col>12</xdr:col>
      <xdr:colOff>568325</xdr:colOff>
      <xdr:row>34</xdr:row>
      <xdr:rowOff>146049</xdr:rowOff>
    </xdr:from>
    <xdr:to>
      <xdr:col>28</xdr:col>
      <xdr:colOff>539753</xdr:colOff>
      <xdr:row>35</xdr:row>
      <xdr:rowOff>171448</xdr:rowOff>
    </xdr:to>
    <xdr:sp macro="" textlink="">
      <xdr:nvSpPr>
        <xdr:cNvPr id="6" name="Right Brace 5">
          <a:extLst>
            <a:ext uri="{FF2B5EF4-FFF2-40B4-BE49-F238E27FC236}">
              <a16:creationId xmlns:a16="http://schemas.microsoft.com/office/drawing/2014/main" id="{9748B617-005C-4F93-AC72-C19407F7DFE4}"/>
            </a:ext>
          </a:extLst>
        </xdr:cNvPr>
        <xdr:cNvSpPr/>
      </xdr:nvSpPr>
      <xdr:spPr>
        <a:xfrm rot="5400000">
          <a:off x="12641264" y="1649410"/>
          <a:ext cx="209549" cy="9725028"/>
        </a:xfrm>
        <a:prstGeom prst="rightBrace">
          <a:avLst>
            <a:gd name="adj1" fmla="val 97917"/>
            <a:gd name="adj2" fmla="val 50000"/>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21</xdr:col>
      <xdr:colOff>53975</xdr:colOff>
      <xdr:row>1</xdr:row>
      <xdr:rowOff>133350</xdr:rowOff>
    </xdr:from>
    <xdr:to>
      <xdr:col>24</xdr:col>
      <xdr:colOff>209550</xdr:colOff>
      <xdr:row>3</xdr:row>
      <xdr:rowOff>25400</xdr:rowOff>
    </xdr:to>
    <xdr:sp macro="" textlink="">
      <xdr:nvSpPr>
        <xdr:cNvPr id="7" name="Rectangle 6">
          <a:extLst>
            <a:ext uri="{FF2B5EF4-FFF2-40B4-BE49-F238E27FC236}">
              <a16:creationId xmlns:a16="http://schemas.microsoft.com/office/drawing/2014/main" id="{4DF0797E-4019-4794-A233-1B93093288C2}"/>
            </a:ext>
          </a:extLst>
        </xdr:cNvPr>
        <xdr:cNvSpPr/>
      </xdr:nvSpPr>
      <xdr:spPr>
        <a:xfrm>
          <a:off x="12855575" y="317500"/>
          <a:ext cx="1984375" cy="26035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Expected utilization = ~77.4%</a:t>
          </a:r>
        </a:p>
      </xdr:txBody>
    </xdr:sp>
    <xdr:clientData/>
  </xdr:twoCellAnchor>
  <xdr:twoCellAnchor editAs="oneCell">
    <xdr:from>
      <xdr:col>0</xdr:col>
      <xdr:colOff>0</xdr:colOff>
      <xdr:row>0</xdr:row>
      <xdr:rowOff>0</xdr:rowOff>
    </xdr:from>
    <xdr:to>
      <xdr:col>11</xdr:col>
      <xdr:colOff>19422</xdr:colOff>
      <xdr:row>29</xdr:row>
      <xdr:rowOff>95250</xdr:rowOff>
    </xdr:to>
    <xdr:pic>
      <xdr:nvPicPr>
        <xdr:cNvPr id="10" name="Picture 9">
          <a:extLst>
            <a:ext uri="{FF2B5EF4-FFF2-40B4-BE49-F238E27FC236}">
              <a16:creationId xmlns:a16="http://schemas.microsoft.com/office/drawing/2014/main" id="{88383C74-95B0-40B6-A3C1-B310998B1C19}"/>
            </a:ext>
          </a:extLst>
        </xdr:cNvPr>
        <xdr:cNvPicPr>
          <a:picLocks noChangeAspect="1"/>
        </xdr:cNvPicPr>
      </xdr:nvPicPr>
      <xdr:blipFill>
        <a:blip xmlns:r="http://schemas.openxmlformats.org/officeDocument/2006/relationships" r:embed="rId2"/>
        <a:stretch>
          <a:fillRect/>
        </a:stretch>
      </xdr:blipFill>
      <xdr:spPr>
        <a:xfrm>
          <a:off x="0" y="0"/>
          <a:ext cx="6725022" cy="5343525"/>
        </a:xfrm>
        <a:prstGeom prst="rect">
          <a:avLst/>
        </a:prstGeom>
      </xdr:spPr>
    </xdr:pic>
    <xdr:clientData/>
  </xdr:twoCellAnchor>
  <xdr:twoCellAnchor>
    <xdr:from>
      <xdr:col>13</xdr:col>
      <xdr:colOff>82550</xdr:colOff>
      <xdr:row>28</xdr:row>
      <xdr:rowOff>47625</xdr:rowOff>
    </xdr:from>
    <xdr:to>
      <xdr:col>13</xdr:col>
      <xdr:colOff>314325</xdr:colOff>
      <xdr:row>32</xdr:row>
      <xdr:rowOff>158750</xdr:rowOff>
    </xdr:to>
    <xdr:cxnSp macro="">
      <xdr:nvCxnSpPr>
        <xdr:cNvPr id="16" name="Straight Arrow Connector 15">
          <a:extLst>
            <a:ext uri="{FF2B5EF4-FFF2-40B4-BE49-F238E27FC236}">
              <a16:creationId xmlns:a16="http://schemas.microsoft.com/office/drawing/2014/main" id="{10954FCD-9602-49B8-B9B0-F0446DED458F}"/>
            </a:ext>
          </a:extLst>
        </xdr:cNvPr>
        <xdr:cNvCxnSpPr/>
      </xdr:nvCxnSpPr>
      <xdr:spPr>
        <a:xfrm flipH="1">
          <a:off x="8007350" y="5114925"/>
          <a:ext cx="231775" cy="835025"/>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330200</xdr:colOff>
      <xdr:row>28</xdr:row>
      <xdr:rowOff>57150</xdr:rowOff>
    </xdr:from>
    <xdr:to>
      <xdr:col>13</xdr:col>
      <xdr:colOff>581025</xdr:colOff>
      <xdr:row>31</xdr:row>
      <xdr:rowOff>152400</xdr:rowOff>
    </xdr:to>
    <xdr:cxnSp macro="">
      <xdr:nvCxnSpPr>
        <xdr:cNvPr id="17" name="Straight Arrow Connector 16">
          <a:extLst>
            <a:ext uri="{FF2B5EF4-FFF2-40B4-BE49-F238E27FC236}">
              <a16:creationId xmlns:a16="http://schemas.microsoft.com/office/drawing/2014/main" id="{64E4AA49-CBEA-44DB-A252-2864555E7BB9}"/>
            </a:ext>
          </a:extLst>
        </xdr:cNvPr>
        <xdr:cNvCxnSpPr/>
      </xdr:nvCxnSpPr>
      <xdr:spPr>
        <a:xfrm>
          <a:off x="8255000" y="5124450"/>
          <a:ext cx="250825" cy="638175"/>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323850</xdr:colOff>
      <xdr:row>28</xdr:row>
      <xdr:rowOff>38100</xdr:rowOff>
    </xdr:from>
    <xdr:to>
      <xdr:col>13</xdr:col>
      <xdr:colOff>381000</xdr:colOff>
      <xdr:row>31</xdr:row>
      <xdr:rowOff>123825</xdr:rowOff>
    </xdr:to>
    <xdr:cxnSp macro="">
      <xdr:nvCxnSpPr>
        <xdr:cNvPr id="28" name="Straight Arrow Connector 27">
          <a:extLst>
            <a:ext uri="{FF2B5EF4-FFF2-40B4-BE49-F238E27FC236}">
              <a16:creationId xmlns:a16="http://schemas.microsoft.com/office/drawing/2014/main" id="{4B4923F8-DFF7-41E3-B9D0-896D4F811EFA}"/>
            </a:ext>
          </a:extLst>
        </xdr:cNvPr>
        <xdr:cNvCxnSpPr/>
      </xdr:nvCxnSpPr>
      <xdr:spPr>
        <a:xfrm>
          <a:off x="8248650" y="5105400"/>
          <a:ext cx="57150" cy="628650"/>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24</xdr:row>
      <xdr:rowOff>152400</xdr:rowOff>
    </xdr:from>
    <xdr:to>
      <xdr:col>15</xdr:col>
      <xdr:colOff>66675</xdr:colOff>
      <xdr:row>28</xdr:row>
      <xdr:rowOff>38099</xdr:rowOff>
    </xdr:to>
    <xdr:sp macro="" textlink="">
      <xdr:nvSpPr>
        <xdr:cNvPr id="38" name="Rectangle 37">
          <a:extLst>
            <a:ext uri="{FF2B5EF4-FFF2-40B4-BE49-F238E27FC236}">
              <a16:creationId xmlns:a16="http://schemas.microsoft.com/office/drawing/2014/main" id="{5CD3D730-CA3B-4A49-9947-12418C221036}"/>
            </a:ext>
          </a:extLst>
        </xdr:cNvPr>
        <xdr:cNvSpPr/>
      </xdr:nvSpPr>
      <xdr:spPr>
        <a:xfrm>
          <a:off x="7534275" y="4495800"/>
          <a:ext cx="1676400" cy="609599"/>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SBB0 tservice</a:t>
          </a:r>
          <a:r>
            <a:rPr lang="en-US" sz="1100" baseline="0">
              <a:solidFill>
                <a:srgbClr val="FF0000"/>
              </a:solidFill>
            </a:rPr>
            <a:t> = 890.153ns</a:t>
          </a:r>
          <a:endParaRPr lang="en-US" sz="1100">
            <a:solidFill>
              <a:srgbClr val="FF0000"/>
            </a:solidFill>
          </a:endParaRPr>
        </a:p>
        <a:p>
          <a:pPr algn="l"/>
          <a:r>
            <a:rPr lang="en-US" sz="1100">
              <a:solidFill>
                <a:srgbClr val="FF0000"/>
              </a:solidFill>
            </a:rPr>
            <a:t>SBB1 tservice = 844.386ns</a:t>
          </a:r>
        </a:p>
        <a:p>
          <a:pPr algn="l"/>
          <a:r>
            <a:rPr lang="en-US" sz="1100">
              <a:solidFill>
                <a:srgbClr val="FF0000"/>
              </a:solidFill>
            </a:rPr>
            <a:t>SBB2 tservice = 1.108</a:t>
          </a:r>
          <a:r>
            <a:rPr lang="el-GR" sz="1100">
              <a:solidFill>
                <a:srgbClr val="FF0000"/>
              </a:solidFill>
              <a:latin typeface="Calibri" panose="020F0502020204030204" pitchFamily="34" charset="0"/>
              <a:cs typeface="Calibri" panose="020F0502020204030204" pitchFamily="34" charset="0"/>
            </a:rPr>
            <a:t>μ</a:t>
          </a:r>
          <a:r>
            <a:rPr lang="en-US" sz="1100">
              <a:solidFill>
                <a:srgbClr val="FF0000"/>
              </a:solidFill>
              <a:latin typeface="Calibri" panose="020F0502020204030204" pitchFamily="34" charset="0"/>
              <a:cs typeface="Calibri" panose="020F0502020204030204" pitchFamily="34" charset="0"/>
            </a:rPr>
            <a:t>s</a:t>
          </a:r>
          <a:endParaRPr lang="en-US" sz="11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F87-0DBD-4801-8A7A-B9C722B284A2}">
  <sheetPr codeName="Sheet1">
    <outlinePr summaryBelow="0"/>
  </sheetPr>
  <dimension ref="B1:AD48"/>
  <sheetViews>
    <sheetView tabSelected="1" zoomScaleNormal="100" workbookViewId="0">
      <pane xSplit="1" ySplit="3" topLeftCell="B4" activePane="bottomRight" state="frozen"/>
      <selection pane="topRight" activeCell="B1" sqref="B1"/>
      <selection pane="bottomLeft" activeCell="A4" sqref="A4"/>
      <selection pane="bottomRight" activeCell="V9" sqref="V9:Y19"/>
    </sheetView>
  </sheetViews>
  <sheetFormatPr defaultColWidth="8.81640625" defaultRowHeight="14.5" outlineLevelRow="2" outlineLevelCol="1" x14ac:dyDescent="0.35"/>
  <cols>
    <col min="1" max="1" width="2.453125" style="1" customWidth="1"/>
    <col min="2" max="2" width="14.54296875" style="131" bestFit="1" customWidth="1"/>
    <col min="3" max="3" width="11.54296875" style="131" bestFit="1" customWidth="1"/>
    <col min="4" max="4" width="6.1796875" style="131" bestFit="1" customWidth="1"/>
    <col min="5" max="5" width="0.81640625" style="131" customWidth="1"/>
    <col min="6" max="6" width="9.453125" style="2" customWidth="1"/>
    <col min="7" max="7" width="15.1796875" style="2" customWidth="1"/>
    <col min="8" max="8" width="0.81640625" style="131" hidden="1" customWidth="1" outlineLevel="1"/>
    <col min="9" max="11" width="8.1796875" style="131" hidden="1" customWidth="1" outlineLevel="1"/>
    <col min="12" max="12" width="0.81640625" style="131" hidden="1" customWidth="1" outlineLevel="1"/>
    <col min="13" max="13" width="13.81640625" style="131" bestFit="1" customWidth="1" collapsed="1"/>
    <col min="14" max="15" width="13.81640625" style="131" bestFit="1" customWidth="1"/>
    <col min="16" max="16" width="0.81640625" style="131" hidden="1" customWidth="1" outlineLevel="1"/>
    <col min="17" max="19" width="8.1796875" style="131" hidden="1" customWidth="1" outlineLevel="1"/>
    <col min="20" max="20" width="5.81640625" style="131" bestFit="1" customWidth="1" collapsed="1"/>
    <col min="21" max="21" width="8.81640625" style="1"/>
    <col min="22" max="22" width="7.08984375" style="1" bestFit="1" customWidth="1"/>
    <col min="23" max="23" width="15.81640625" style="1" bestFit="1" customWidth="1"/>
    <col min="24" max="30" width="13.81640625" style="1" bestFit="1" customWidth="1"/>
    <col min="31" max="37" width="8.81640625" style="1"/>
    <col min="38" max="40" width="11.81640625" style="1" bestFit="1" customWidth="1"/>
    <col min="41" max="16384" width="8.81640625" style="1"/>
  </cols>
  <sheetData>
    <row r="1" spans="2:26" ht="15" thickBot="1" x14ac:dyDescent="0.4"/>
    <row r="2" spans="2:26" ht="19.5" x14ac:dyDescent="0.45">
      <c r="B2" s="201" t="s">
        <v>0</v>
      </c>
      <c r="C2" s="137" t="s">
        <v>1</v>
      </c>
      <c r="D2" s="137" t="s">
        <v>2</v>
      </c>
      <c r="E2" s="207"/>
      <c r="F2" s="137" t="s">
        <v>3</v>
      </c>
      <c r="G2" s="137"/>
      <c r="H2" s="132"/>
      <c r="I2" s="231" t="s">
        <v>199</v>
      </c>
      <c r="J2" s="231"/>
      <c r="K2" s="231"/>
      <c r="L2" s="132"/>
      <c r="M2" s="232" t="s">
        <v>4</v>
      </c>
      <c r="N2" s="232"/>
      <c r="O2" s="232"/>
      <c r="P2" s="132"/>
      <c r="Q2" s="231" t="s">
        <v>200</v>
      </c>
      <c r="R2" s="231"/>
      <c r="S2" s="231"/>
      <c r="T2" s="199" t="s">
        <v>2</v>
      </c>
    </row>
    <row r="3" spans="2:26" ht="20" thickBot="1" x14ac:dyDescent="0.5">
      <c r="B3" s="202"/>
      <c r="C3" s="138"/>
      <c r="D3" s="138"/>
      <c r="E3" s="156"/>
      <c r="F3" s="184"/>
      <c r="G3" s="184"/>
      <c r="H3" s="24"/>
      <c r="I3" s="206" t="s">
        <v>5</v>
      </c>
      <c r="J3" s="206" t="s">
        <v>6</v>
      </c>
      <c r="K3" s="206" t="s">
        <v>7</v>
      </c>
      <c r="L3" s="206"/>
      <c r="M3" s="206" t="s">
        <v>5</v>
      </c>
      <c r="N3" s="206" t="s">
        <v>6</v>
      </c>
      <c r="O3" s="206" t="s">
        <v>7</v>
      </c>
      <c r="P3" s="206"/>
      <c r="Q3" s="206" t="s">
        <v>5</v>
      </c>
      <c r="R3" s="206" t="s">
        <v>6</v>
      </c>
      <c r="S3" s="206" t="s">
        <v>7</v>
      </c>
      <c r="T3" s="200"/>
    </row>
    <row r="4" spans="2:26" ht="18" thickTop="1" thickBot="1" x14ac:dyDescent="0.4">
      <c r="B4" s="245" t="s">
        <v>8</v>
      </c>
      <c r="C4" s="246"/>
      <c r="D4" s="246"/>
      <c r="E4" s="246"/>
      <c r="F4" s="246"/>
      <c r="G4" s="246"/>
      <c r="H4" s="246"/>
      <c r="I4" s="246"/>
      <c r="J4" s="246"/>
      <c r="K4" s="246"/>
      <c r="L4" s="246"/>
      <c r="M4" s="246"/>
      <c r="N4" s="246"/>
      <c r="O4" s="246"/>
      <c r="P4" s="246"/>
      <c r="Q4" s="246"/>
      <c r="R4" s="246"/>
      <c r="S4" s="246"/>
      <c r="T4" s="247"/>
    </row>
    <row r="5" spans="2:26" ht="17" thickTop="1" x14ac:dyDescent="0.45">
      <c r="B5" s="34" t="s">
        <v>9</v>
      </c>
      <c r="C5" s="62">
        <v>3.7</v>
      </c>
      <c r="D5" s="33" t="s">
        <v>10</v>
      </c>
      <c r="E5" s="3"/>
      <c r="F5" s="258" t="s">
        <v>11</v>
      </c>
      <c r="G5" s="259"/>
      <c r="H5" s="3"/>
      <c r="I5" s="64">
        <f>VOUT_SBB0-VOUT_ERROR_SBB0</f>
        <v>3.234</v>
      </c>
      <c r="J5" s="64">
        <f>VOUT_SBB1-VOUT_ERROR_SBB1</f>
        <v>1.764</v>
      </c>
      <c r="K5" s="64">
        <f>VOUT_SBB2-VOUT_ERROR_SBB2</f>
        <v>4.9000000000000004</v>
      </c>
      <c r="L5" s="3"/>
      <c r="M5" s="63">
        <v>3.3</v>
      </c>
      <c r="N5" s="63">
        <v>1.8</v>
      </c>
      <c r="O5" s="63">
        <v>5</v>
      </c>
      <c r="P5" s="3"/>
      <c r="Q5" s="64">
        <f>VOUT_SBB0+VOUT_ERROR_SBB0</f>
        <v>3.3659999999999997</v>
      </c>
      <c r="R5" s="64">
        <f>VOUT_SBB1+VOUT_ERROR_SBB1</f>
        <v>1.8360000000000001</v>
      </c>
      <c r="S5" s="64">
        <f>VOUT_SBB2+VOUT_ERROR_SBB2</f>
        <v>5.0999999999999996</v>
      </c>
      <c r="T5" s="38" t="s">
        <v>10</v>
      </c>
      <c r="V5" s="229" t="s">
        <v>99</v>
      </c>
      <c r="W5" s="91" t="s">
        <v>100</v>
      </c>
    </row>
    <row r="6" spans="2:26" ht="16.5" x14ac:dyDescent="0.35">
      <c r="B6" s="25" t="s">
        <v>12</v>
      </c>
      <c r="C6" s="65">
        <v>1.5</v>
      </c>
      <c r="D6" s="26" t="s">
        <v>13</v>
      </c>
      <c r="E6" s="3"/>
      <c r="F6" s="256" t="s">
        <v>14</v>
      </c>
      <c r="G6" s="257"/>
      <c r="H6" s="3"/>
      <c r="I6" s="26"/>
      <c r="J6" s="26"/>
      <c r="K6" s="26"/>
      <c r="L6" s="3"/>
      <c r="M6" s="67">
        <v>50</v>
      </c>
      <c r="N6" s="67">
        <v>90</v>
      </c>
      <c r="O6" s="67">
        <v>50</v>
      </c>
      <c r="P6" s="3"/>
      <c r="Q6" s="26"/>
      <c r="R6" s="26"/>
      <c r="S6" s="26"/>
      <c r="T6" s="39" t="s">
        <v>15</v>
      </c>
      <c r="V6" s="229"/>
      <c r="W6" s="92" t="s">
        <v>101</v>
      </c>
    </row>
    <row r="7" spans="2:26" ht="16.5" x14ac:dyDescent="0.45">
      <c r="B7" s="34" t="s">
        <v>16</v>
      </c>
      <c r="C7" s="66">
        <v>116</v>
      </c>
      <c r="D7" s="35" t="s">
        <v>17</v>
      </c>
      <c r="E7" s="57">
        <v>8.1999999999999993</v>
      </c>
      <c r="F7" s="230" t="s">
        <v>142</v>
      </c>
      <c r="G7" s="36" t="s">
        <v>140</v>
      </c>
      <c r="H7" s="57">
        <v>8.1999999999999993</v>
      </c>
      <c r="I7" s="77"/>
      <c r="J7" s="77"/>
      <c r="K7" s="77"/>
      <c r="L7" s="57"/>
      <c r="M7" s="67">
        <v>22</v>
      </c>
      <c r="N7" s="67">
        <v>22</v>
      </c>
      <c r="O7" s="67">
        <v>22</v>
      </c>
      <c r="P7" s="57"/>
      <c r="Q7" s="77"/>
      <c r="R7" s="77"/>
      <c r="S7" s="77"/>
      <c r="T7" s="40" t="s">
        <v>18</v>
      </c>
    </row>
    <row r="8" spans="2:26" s="131" customFormat="1" ht="16.5" customHeight="1" x14ac:dyDescent="0.35">
      <c r="B8" s="133"/>
      <c r="C8" s="58"/>
      <c r="D8" s="134"/>
      <c r="E8" s="57"/>
      <c r="F8" s="230"/>
      <c r="G8" s="135" t="s">
        <v>141</v>
      </c>
      <c r="H8" s="57"/>
      <c r="I8" s="77"/>
      <c r="J8" s="77"/>
      <c r="K8" s="77"/>
      <c r="L8" s="57"/>
      <c r="M8" s="67"/>
      <c r="N8" s="67"/>
      <c r="O8" s="67"/>
      <c r="P8" s="57"/>
      <c r="Q8" s="77"/>
      <c r="R8" s="77"/>
      <c r="S8" s="77"/>
      <c r="T8" s="136" t="s">
        <v>18</v>
      </c>
    </row>
    <row r="9" spans="2:26" ht="16.5" customHeight="1" x14ac:dyDescent="0.45">
      <c r="B9" s="142" t="s">
        <v>19</v>
      </c>
      <c r="C9" s="66">
        <v>25</v>
      </c>
      <c r="D9" s="143" t="s">
        <v>20</v>
      </c>
      <c r="E9" s="3"/>
      <c r="F9" s="243" t="s">
        <v>103</v>
      </c>
      <c r="G9" s="244"/>
      <c r="H9" s="3"/>
      <c r="I9" s="37"/>
      <c r="J9" s="37"/>
      <c r="K9" s="37"/>
      <c r="L9" s="3"/>
      <c r="M9" s="66" t="s">
        <v>21</v>
      </c>
      <c r="N9" s="66" t="s">
        <v>21</v>
      </c>
      <c r="O9" s="66" t="s">
        <v>21</v>
      </c>
      <c r="P9" s="3"/>
      <c r="Q9" s="37"/>
      <c r="R9" s="37"/>
      <c r="S9" s="37"/>
      <c r="T9" s="144"/>
      <c r="V9" s="220" t="s">
        <v>206</v>
      </c>
      <c r="W9" s="221"/>
      <c r="X9" s="221"/>
      <c r="Y9" s="222"/>
    </row>
    <row r="10" spans="2:26" ht="17.5" thickBot="1" x14ac:dyDescent="0.45">
      <c r="B10" s="265" t="s">
        <v>204</v>
      </c>
      <c r="C10" s="266"/>
      <c r="D10" s="266"/>
      <c r="E10" s="266"/>
      <c r="F10" s="266"/>
      <c r="G10" s="266"/>
      <c r="H10" s="266"/>
      <c r="I10" s="266"/>
      <c r="J10" s="266"/>
      <c r="K10" s="266"/>
      <c r="L10" s="266"/>
      <c r="M10" s="266"/>
      <c r="N10" s="266"/>
      <c r="O10" s="266"/>
      <c r="P10" s="266"/>
      <c r="Q10" s="266"/>
      <c r="R10" s="266"/>
      <c r="S10" s="266"/>
      <c r="T10" s="267"/>
      <c r="V10" s="223"/>
      <c r="W10" s="224"/>
      <c r="X10" s="224"/>
      <c r="Y10" s="225"/>
    </row>
    <row r="11" spans="2:26" ht="17" outlineLevel="1" thickTop="1" x14ac:dyDescent="0.45">
      <c r="B11" s="29" t="s">
        <v>22</v>
      </c>
      <c r="C11" s="268" t="s">
        <v>129</v>
      </c>
      <c r="D11" s="269"/>
      <c r="E11" s="3"/>
      <c r="F11" s="241" t="s">
        <v>23</v>
      </c>
      <c r="G11" s="242"/>
      <c r="H11" s="3"/>
      <c r="I11" s="30"/>
      <c r="J11" s="30"/>
      <c r="K11" s="30"/>
      <c r="L11" s="3"/>
      <c r="M11" s="63">
        <v>1</v>
      </c>
      <c r="N11" s="63">
        <v>0.5</v>
      </c>
      <c r="O11" s="63">
        <v>0.75</v>
      </c>
      <c r="P11" s="3"/>
      <c r="Q11" s="30"/>
      <c r="R11" s="30"/>
      <c r="S11" s="30"/>
      <c r="T11" s="32" t="s">
        <v>24</v>
      </c>
      <c r="V11" s="223"/>
      <c r="W11" s="224"/>
      <c r="X11" s="224"/>
      <c r="Y11" s="225"/>
    </row>
    <row r="12" spans="2:26" outlineLevel="1" x14ac:dyDescent="0.35">
      <c r="B12" s="25"/>
      <c r="C12" s="26"/>
      <c r="D12" s="26"/>
      <c r="E12" s="3"/>
      <c r="F12" s="239" t="s">
        <v>25</v>
      </c>
      <c r="G12" s="240"/>
      <c r="H12" s="3"/>
      <c r="I12" s="26"/>
      <c r="J12" s="26"/>
      <c r="K12" s="26"/>
      <c r="L12" s="3"/>
      <c r="M12" s="63" t="s">
        <v>92</v>
      </c>
      <c r="N12" s="63" t="s">
        <v>92</v>
      </c>
      <c r="O12" s="63" t="s">
        <v>92</v>
      </c>
      <c r="P12" s="3"/>
      <c r="Q12" s="26"/>
      <c r="R12" s="26"/>
      <c r="S12" s="26"/>
      <c r="T12" s="28"/>
      <c r="V12" s="223"/>
      <c r="W12" s="224"/>
      <c r="X12" s="224"/>
      <c r="Y12" s="225"/>
    </row>
    <row r="13" spans="2:26" ht="17.5" thickBot="1" x14ac:dyDescent="0.45">
      <c r="B13" s="265" t="s">
        <v>28</v>
      </c>
      <c r="C13" s="266"/>
      <c r="D13" s="266"/>
      <c r="E13" s="266"/>
      <c r="F13" s="266"/>
      <c r="G13" s="266"/>
      <c r="H13" s="266"/>
      <c r="I13" s="266"/>
      <c r="J13" s="266"/>
      <c r="K13" s="266"/>
      <c r="L13" s="266"/>
      <c r="M13" s="266"/>
      <c r="N13" s="266"/>
      <c r="O13" s="266"/>
      <c r="P13" s="266"/>
      <c r="Q13" s="266"/>
      <c r="R13" s="266"/>
      <c r="S13" s="266"/>
      <c r="T13" s="267"/>
      <c r="V13" s="223"/>
      <c r="W13" s="224"/>
      <c r="X13" s="224"/>
      <c r="Y13" s="225"/>
    </row>
    <row r="14" spans="2:26" ht="15.5" outlineLevel="1" thickTop="1" thickBot="1" x14ac:dyDescent="0.4">
      <c r="B14" s="262" t="s">
        <v>51</v>
      </c>
      <c r="C14" s="263"/>
      <c r="D14" s="263"/>
      <c r="E14" s="263"/>
      <c r="F14" s="263"/>
      <c r="G14" s="263"/>
      <c r="H14" s="263"/>
      <c r="I14" s="263"/>
      <c r="J14" s="263"/>
      <c r="K14" s="263"/>
      <c r="L14" s="263"/>
      <c r="M14" s="263"/>
      <c r="N14" s="263"/>
      <c r="O14" s="263"/>
      <c r="P14" s="263"/>
      <c r="Q14" s="263"/>
      <c r="R14" s="263"/>
      <c r="S14" s="263"/>
      <c r="T14" s="264"/>
      <c r="V14" s="223"/>
      <c r="W14" s="224"/>
      <c r="X14" s="224"/>
      <c r="Y14" s="225"/>
    </row>
    <row r="15" spans="2:26" ht="16.5" outlineLevel="2" x14ac:dyDescent="0.35">
      <c r="B15" s="29"/>
      <c r="C15" s="30"/>
      <c r="D15" s="30"/>
      <c r="E15" s="16"/>
      <c r="F15" s="237" t="s">
        <v>122</v>
      </c>
      <c r="G15" s="238"/>
      <c r="H15" s="16"/>
      <c r="I15" s="216"/>
      <c r="J15" s="216"/>
      <c r="K15" s="216"/>
      <c r="L15" s="16"/>
      <c r="M15" s="68" t="str">
        <f>uc!E40</f>
        <v>0.500V - 5.500V</v>
      </c>
      <c r="N15" s="68" t="str">
        <f>uc!E41</f>
        <v>0.500V - 5.500V</v>
      </c>
      <c r="O15" s="68" t="str">
        <f>uc!E42</f>
        <v>0.500V - 5.500V</v>
      </c>
      <c r="P15" s="16"/>
      <c r="Q15" s="216"/>
      <c r="R15" s="216"/>
      <c r="S15" s="216"/>
      <c r="T15" s="217"/>
      <c r="V15" s="223"/>
      <c r="W15" s="224"/>
      <c r="X15" s="224"/>
      <c r="Y15" s="225"/>
      <c r="Z15" s="139"/>
    </row>
    <row r="16" spans="2:26" s="131" customFormat="1" ht="15" outlineLevel="2" thickBot="1" x14ac:dyDescent="0.4">
      <c r="B16" s="59"/>
      <c r="C16" s="58"/>
      <c r="D16" s="58"/>
      <c r="E16" s="16"/>
      <c r="F16" s="235" t="s">
        <v>25</v>
      </c>
      <c r="G16" s="236"/>
      <c r="H16" s="16"/>
      <c r="I16" s="58"/>
      <c r="J16" s="58"/>
      <c r="K16" s="58"/>
      <c r="L16" s="16"/>
      <c r="M16" s="68" t="str">
        <f>cd!L21</f>
        <v>Buck-Boost</v>
      </c>
      <c r="N16" s="68" t="str">
        <f>cd!M21</f>
        <v>Buck</v>
      </c>
      <c r="O16" s="68" t="str">
        <f>cd!N21</f>
        <v>Boost</v>
      </c>
      <c r="P16" s="16"/>
      <c r="Q16" s="58"/>
      <c r="R16" s="58"/>
      <c r="S16" s="58"/>
      <c r="T16" s="149"/>
      <c r="V16" s="223"/>
      <c r="W16" s="224"/>
      <c r="X16" s="224"/>
      <c r="Y16" s="225"/>
      <c r="Z16" s="139"/>
    </row>
    <row r="17" spans="2:30" s="131" customFormat="1" ht="15.5" outlineLevel="1" thickTop="1" thickBot="1" x14ac:dyDescent="0.4">
      <c r="B17" s="262" t="s">
        <v>198</v>
      </c>
      <c r="C17" s="263"/>
      <c r="D17" s="263"/>
      <c r="E17" s="263"/>
      <c r="F17" s="263"/>
      <c r="G17" s="263"/>
      <c r="H17" s="263"/>
      <c r="I17" s="263"/>
      <c r="J17" s="263"/>
      <c r="K17" s="263"/>
      <c r="L17" s="263"/>
      <c r="M17" s="263"/>
      <c r="N17" s="263"/>
      <c r="O17" s="263"/>
      <c r="P17" s="263"/>
      <c r="Q17" s="263"/>
      <c r="R17" s="263"/>
      <c r="S17" s="263"/>
      <c r="T17" s="264"/>
      <c r="V17" s="223"/>
      <c r="W17" s="224"/>
      <c r="X17" s="224"/>
      <c r="Y17" s="225"/>
      <c r="Z17" s="139"/>
      <c r="AA17" s="103"/>
      <c r="AB17" s="103"/>
      <c r="AC17" s="103"/>
      <c r="AD17" s="103"/>
    </row>
    <row r="18" spans="2:30" s="131" customFormat="1" ht="17" outlineLevel="2" thickBot="1" x14ac:dyDescent="0.4">
      <c r="B18" s="29"/>
      <c r="C18" s="30"/>
      <c r="D18" s="30"/>
      <c r="E18" s="16"/>
      <c r="F18" s="233" t="s">
        <v>143</v>
      </c>
      <c r="G18" s="234"/>
      <c r="H18" s="16"/>
      <c r="I18" s="216"/>
      <c r="J18" s="216"/>
      <c r="K18" s="216"/>
      <c r="L18" s="16"/>
      <c r="M18" s="72">
        <f>COUT_EFF_SBB0*1000000</f>
        <v>9.3893263907740003</v>
      </c>
      <c r="N18" s="72">
        <f>COUT_EFF_SBB1*1000000</f>
        <v>15.240710725504</v>
      </c>
      <c r="O18" s="72">
        <f>COUT_EFF_SBB2*1000000</f>
        <v>6.3871500000000081</v>
      </c>
      <c r="P18" s="16"/>
      <c r="Q18" s="216"/>
      <c r="R18" s="216"/>
      <c r="S18" s="216"/>
      <c r="T18" s="40" t="s">
        <v>18</v>
      </c>
      <c r="V18" s="223"/>
      <c r="W18" s="224"/>
      <c r="X18" s="224"/>
      <c r="Y18" s="225"/>
      <c r="Z18" s="139"/>
    </row>
    <row r="19" spans="2:30" ht="15.5" outlineLevel="1" thickTop="1" thickBot="1" x14ac:dyDescent="0.4">
      <c r="B19" s="262" t="s">
        <v>29</v>
      </c>
      <c r="C19" s="263"/>
      <c r="D19" s="263"/>
      <c r="E19" s="263"/>
      <c r="F19" s="263"/>
      <c r="G19" s="263"/>
      <c r="H19" s="263"/>
      <c r="I19" s="263"/>
      <c r="J19" s="263"/>
      <c r="K19" s="263"/>
      <c r="L19" s="263"/>
      <c r="M19" s="263"/>
      <c r="N19" s="263"/>
      <c r="O19" s="263"/>
      <c r="P19" s="263"/>
      <c r="Q19" s="263"/>
      <c r="R19" s="263"/>
      <c r="S19" s="263"/>
      <c r="T19" s="264"/>
      <c r="V19" s="226"/>
      <c r="W19" s="227"/>
      <c r="X19" s="227"/>
      <c r="Y19" s="228"/>
      <c r="Z19" s="139"/>
      <c r="AA19" s="103"/>
      <c r="AB19" s="103"/>
      <c r="AC19" s="103"/>
      <c r="AD19" s="103"/>
    </row>
    <row r="20" spans="2:30" outlineLevel="2" x14ac:dyDescent="0.35">
      <c r="B20" s="29" t="s">
        <v>30</v>
      </c>
      <c r="C20" s="68">
        <f>SUM(M20:O20)</f>
        <v>0.77448667238452196</v>
      </c>
      <c r="D20" s="30"/>
      <c r="E20" s="16"/>
      <c r="F20" s="237" t="s">
        <v>32</v>
      </c>
      <c r="G20" s="238"/>
      <c r="H20" s="16"/>
      <c r="I20" s="68">
        <f>IF(EN_SBB0,IOUT_SBB0/IOUT_Max_SBB0_MAX,0)</f>
        <v>0.19738104390196323</v>
      </c>
      <c r="J20" s="68">
        <f>IF(EN_SBB1,IOUT_SBB1/IOUT_Max_SBB1_MAX,0)</f>
        <v>0.32721943602586495</v>
      </c>
      <c r="K20" s="68">
        <f>IF(EN_SBB2,IOUT_SBB2/IOUT_Max_SBB2_MAX,0)</f>
        <v>0.17072647885638897</v>
      </c>
      <c r="L20" s="16"/>
      <c r="M20" s="68">
        <f>IF(EN_SBB0,IOUT_SBB0/IOUT_Max_SBB0,0)</f>
        <v>0.21209213424266887</v>
      </c>
      <c r="N20" s="68">
        <f>IF(EN_SBB1,IOUT_SBB1/IOUT_Max_SBB1,0)</f>
        <v>0.36235980923579564</v>
      </c>
      <c r="O20" s="68">
        <f>IF(EN_SBB2,IOUT_SBB2/IOUT_Max_SBB2,0)</f>
        <v>0.20003472890605747</v>
      </c>
      <c r="P20" s="16"/>
      <c r="Q20" s="68">
        <f>IF(EN_SBB0,IOUT_SBB0/IOUT_Max_SBB0_MIN,0)</f>
        <v>0.227905739018574</v>
      </c>
      <c r="R20" s="68">
        <f>IF(EN_SBB1,IOUT_SBB1/IOUT_Max_SBB1_MIN,0)</f>
        <v>0.40113060735588829</v>
      </c>
      <c r="S20" s="68">
        <f>IF(EN_SBB2,IOUT_SBB2/IOUT_Max_SBB2_MIN,0)</f>
        <v>0.23417058664184054</v>
      </c>
      <c r="T20" s="31"/>
      <c r="V20" s="154"/>
      <c r="W20" s="139"/>
      <c r="X20" s="131"/>
      <c r="Y20" s="131"/>
      <c r="Z20" s="131"/>
    </row>
    <row r="21" spans="2:30" ht="15" customHeight="1" outlineLevel="1" thickBot="1" x14ac:dyDescent="0.4">
      <c r="B21" s="252" t="s">
        <v>33</v>
      </c>
      <c r="C21" s="253"/>
      <c r="D21" s="253"/>
      <c r="E21" s="253"/>
      <c r="F21" s="253"/>
      <c r="G21" s="253"/>
      <c r="H21" s="253"/>
      <c r="I21" s="253"/>
      <c r="J21" s="253"/>
      <c r="K21" s="253"/>
      <c r="L21" s="253"/>
      <c r="M21" s="253"/>
      <c r="N21" s="253"/>
      <c r="O21" s="253"/>
      <c r="P21" s="253"/>
      <c r="Q21" s="253"/>
      <c r="R21" s="253"/>
      <c r="S21" s="253"/>
      <c r="T21" s="254"/>
      <c r="V21" s="220" t="s">
        <v>205</v>
      </c>
      <c r="W21" s="221"/>
      <c r="X21" s="221"/>
      <c r="Y21" s="222"/>
      <c r="Z21" s="131"/>
    </row>
    <row r="22" spans="2:30" ht="16.5" customHeight="1" outlineLevel="2" x14ac:dyDescent="0.35">
      <c r="B22" s="25"/>
      <c r="C22" s="26"/>
      <c r="D22" s="26"/>
      <c r="E22" s="3"/>
      <c r="F22" s="260" t="s">
        <v>34</v>
      </c>
      <c r="G22" s="261"/>
      <c r="H22" s="3"/>
      <c r="I22" s="69">
        <f>IF(EN_SBB0,POUT_MAX_SBB0_MIN/VOUT_SBB0_MAX,0)</f>
        <v>0.21938894656762054</v>
      </c>
      <c r="J22" s="69">
        <f>IF(EN_SBB1,POUT_MAX_SBB1_MIN/VOUT_SBB1_MAX,0)</f>
        <v>0.22436582586716158</v>
      </c>
      <c r="K22" s="71">
        <f>IF(EN_SBB2,POUT_MAX_SBB2_MIN/VOUT_SBB2_MAX,0)</f>
        <v>0.21351955733225392</v>
      </c>
      <c r="L22" s="3"/>
      <c r="M22" s="69">
        <f>IF(EN_SBB0,POUT_MAX_SBB0/VOUT_SBB0,0)</f>
        <v>0.23574660219502361</v>
      </c>
      <c r="N22" s="69">
        <f>IF(EN_SBB1,POUT_MAX_SBB1/VOUT_SBB1,0)</f>
        <v>0.24837191572047379</v>
      </c>
      <c r="O22" s="69">
        <f>IF(EN_SBB2,POUT_MAX_SBB2/VOUT_SBB2,0)</f>
        <v>0.24995659640422518</v>
      </c>
      <c r="P22" s="3"/>
      <c r="Q22" s="69">
        <f>IF(EN_SBB0,POUT_MAX_SBB0_MAX/VOUT_SBB0_MIN,0)</f>
        <v>0.25331713224110008</v>
      </c>
      <c r="R22" s="71">
        <f>IF(EN_SBB1,POUT_MAX_SBB1_MAX/VOUT_SBB1_MIN,0)</f>
        <v>0.2750447867433094</v>
      </c>
      <c r="S22" s="69">
        <f>IF(EN_SBB2,POUT_MAX_SBB2_MAX/VOUT_SBB2_MIN,0)</f>
        <v>0.29286611154242104</v>
      </c>
      <c r="T22" s="27" t="s">
        <v>24</v>
      </c>
      <c r="V22" s="223"/>
      <c r="W22" s="224"/>
      <c r="X22" s="224"/>
      <c r="Y22" s="225"/>
      <c r="Z22" s="131"/>
      <c r="AA22" s="104"/>
      <c r="AB22" s="104"/>
    </row>
    <row r="23" spans="2:30" ht="16.5" customHeight="1" outlineLevel="2" x14ac:dyDescent="0.35">
      <c r="B23" s="29"/>
      <c r="C23" s="30"/>
      <c r="D23" s="30"/>
      <c r="E23" s="3"/>
      <c r="F23" s="255" t="s">
        <v>35</v>
      </c>
      <c r="G23" s="249"/>
      <c r="H23" s="3"/>
      <c r="I23" s="69">
        <f>IF(EN_SBB0,EOUT_SBB0_MIN/tservice_SBB0_MAX,0)</f>
        <v>0.73846319414661066</v>
      </c>
      <c r="J23" s="69">
        <f>IF(EN_SBB1,EOUT_SBB1_MIN/tservice_SBB1_MAX,0)</f>
        <v>0.41193565629210871</v>
      </c>
      <c r="K23" s="71">
        <f>IF(EN_SBB2,EOUT_SBB2_MIN/tservice_SBB2_MAX,0)</f>
        <v>1.0889497423944949</v>
      </c>
      <c r="L23" s="3"/>
      <c r="M23" s="69">
        <f>IF(EN_SBB0,EOUT_SBB0/tservice_SBB0,0)</f>
        <v>0.77796378724357784</v>
      </c>
      <c r="N23" s="69">
        <f>IF(EN_SBB1,EOUT_SBB1/tservice_SBB1,0)</f>
        <v>0.44706944829685286</v>
      </c>
      <c r="O23" s="69">
        <f>IF(EN_SBB2,EOUT_SBB2/tservice_SBB2,0)</f>
        <v>1.2497829820211259</v>
      </c>
      <c r="P23" s="3"/>
      <c r="Q23" s="69">
        <f>IF(EN_SBB0,EOUT_SBB0_MAX/tservice_SBB0_MIN,0)</f>
        <v>0.81922760566771768</v>
      </c>
      <c r="R23" s="71">
        <f>IF(EN_SBB1,EOUT_SBB1_MAX/tservice_SBB1_MIN,0)</f>
        <v>0.48517900381519774</v>
      </c>
      <c r="S23" s="69">
        <f>IF(EN_SBB2,EOUT_SBB2_MAX/tservice_SBB2_MIN,0)</f>
        <v>1.4350439465578633</v>
      </c>
      <c r="T23" s="31" t="s">
        <v>36</v>
      </c>
      <c r="V23" s="223"/>
      <c r="W23" s="224"/>
      <c r="X23" s="224"/>
      <c r="Y23" s="225"/>
      <c r="Z23" s="131"/>
      <c r="AA23" s="104"/>
      <c r="AB23" s="104"/>
    </row>
    <row r="24" spans="2:30" ht="15" outlineLevel="1" thickBot="1" x14ac:dyDescent="0.4">
      <c r="B24" s="252" t="s">
        <v>37</v>
      </c>
      <c r="C24" s="253"/>
      <c r="D24" s="253"/>
      <c r="E24" s="253"/>
      <c r="F24" s="253"/>
      <c r="G24" s="253"/>
      <c r="H24" s="253"/>
      <c r="I24" s="253"/>
      <c r="J24" s="253"/>
      <c r="K24" s="253"/>
      <c r="L24" s="253"/>
      <c r="M24" s="253"/>
      <c r="N24" s="253"/>
      <c r="O24" s="253"/>
      <c r="P24" s="253"/>
      <c r="Q24" s="253"/>
      <c r="R24" s="253"/>
      <c r="S24" s="253"/>
      <c r="T24" s="254"/>
      <c r="V24" s="223"/>
      <c r="W24" s="224"/>
      <c r="X24" s="224"/>
      <c r="Y24" s="225"/>
      <c r="Z24" s="131"/>
    </row>
    <row r="25" spans="2:30" ht="16.5" outlineLevel="2" x14ac:dyDescent="0.45">
      <c r="B25" s="29"/>
      <c r="C25" s="30"/>
      <c r="D25" s="30"/>
      <c r="E25" s="3"/>
      <c r="F25" s="237" t="s">
        <v>38</v>
      </c>
      <c r="G25" s="238"/>
      <c r="H25" s="3"/>
      <c r="I25" s="72">
        <f>IF(EN_SBB0,1000*(VCOUT_DIS_SBB0_MIN-VOUT_valley_SBB0_MIN+ULPM_typ*VOUT_SBB0_MIN),0)</f>
        <v>96.45736748632963</v>
      </c>
      <c r="J25" s="72">
        <f>IF(EN_SBB1,1000*(VCOUT_DIS_SBB1_MIN-VOUT_valley_SBB1_MIN+ULPM_typ*VOUT_SBB1_MIN),0)</f>
        <v>60.324494533397704</v>
      </c>
      <c r="K25" s="72">
        <f>IF(EN_SBB2,1000*(VCOUT_DIS_SBB2_MIN-VOUT_valley_SBB2_MIN+ULPM_typ*VOUT_SBB2_MIN),0)</f>
        <v>156.90110901047447</v>
      </c>
      <c r="L25" s="3"/>
      <c r="M25" s="72">
        <f>IF(EN_SBB0,1000*(VCOUT_DIS_SBB0-VOUT_valley_SBB0+ULPM_typ*VOUT_SBB0),0)</f>
        <v>97.544651098083278</v>
      </c>
      <c r="N25" s="72">
        <f>IF(EN_SBB1,1000*(VCOUT_DIS_SBB1-VOUT_valley_SBB1+ULPM_typ*VOUT_SBB1),0)</f>
        <v>61.577526918808623</v>
      </c>
      <c r="O25" s="72">
        <f>IF(EN_SBB2,1000*(VCOUT_DIS_SBB2-VOUT_valley_SBB2+ULPM_typ*VOUT_SBB2),0)</f>
        <v>156.64333364558041</v>
      </c>
      <c r="P25" s="3"/>
      <c r="Q25" s="72">
        <f>IF(EN_SBB0,1000*(VCOUT_DIS_SBB0_MAX-VOUT_valley_SBB0_MAX+ULPM_typ*VOUT_SBB0_MAX),0)</f>
        <v>98.626386148721878</v>
      </c>
      <c r="R25" s="72">
        <f>IF(EN_SBB1,1000*(VCOUT_DIS_SBB1_MAX-VOUT_valley_SBB1_MAX+ULPM_typ*VOUT_SBB1_MAX),0)</f>
        <v>62.890116083383226</v>
      </c>
      <c r="S25" s="72">
        <f>IF(EN_SBB2,1000*(VCOUT_DIS_SBB2_MAX-VOUT_valley_SBB2_MAX+ULPM_typ*VOUT_SBB2_MAX),0)</f>
        <v>155.19697365812712</v>
      </c>
      <c r="T25" s="32" t="s">
        <v>39</v>
      </c>
      <c r="V25" s="223"/>
      <c r="W25" s="224"/>
      <c r="X25" s="224"/>
      <c r="Y25" s="225"/>
      <c r="Z25" s="131"/>
    </row>
    <row r="26" spans="2:30" outlineLevel="2" x14ac:dyDescent="0.35">
      <c r="B26" s="29"/>
      <c r="C26" s="30"/>
      <c r="D26" s="30"/>
      <c r="E26" s="3"/>
      <c r="F26" s="248"/>
      <c r="G26" s="249"/>
      <c r="H26" s="3"/>
      <c r="I26" s="68">
        <f>I25/1000/VOUT_SBB0_MAX</f>
        <v>2.8656377744007616E-2</v>
      </c>
      <c r="J26" s="70">
        <f>J25/1000/VOUT_SBB1_MAX</f>
        <v>3.285647850402925E-2</v>
      </c>
      <c r="K26" s="70">
        <f>K25/1000/VOUT_SBB2_MAX</f>
        <v>3.0764923335387152E-2</v>
      </c>
      <c r="L26" s="3"/>
      <c r="M26" s="68">
        <f>M25/1000/VOUT_SBB0</f>
        <v>2.9558985181237358E-2</v>
      </c>
      <c r="N26" s="68">
        <f>N25/1000/VOUT_SBB1</f>
        <v>3.4209737177115902E-2</v>
      </c>
      <c r="O26" s="68">
        <f>O25/1000/VOUT_SBB2</f>
        <v>3.1328666729116085E-2</v>
      </c>
      <c r="P26" s="3"/>
      <c r="Q26" s="70">
        <f>Q25/1000/VOUT_SBB0_MIN</f>
        <v>3.04967180422764E-2</v>
      </c>
      <c r="R26" s="70">
        <f>R25/1000/VOUT_SBB1_MIN</f>
        <v>3.5651993244548312E-2</v>
      </c>
      <c r="S26" s="68">
        <f>S25/1000/VOUT_SBB2_MIN</f>
        <v>3.1672851766964716E-2</v>
      </c>
      <c r="T26" s="31"/>
      <c r="V26" s="223"/>
      <c r="W26" s="224"/>
      <c r="X26" s="224"/>
      <c r="Y26" s="225"/>
      <c r="Z26" s="131"/>
    </row>
    <row r="27" spans="2:30" ht="16.5" outlineLevel="2" x14ac:dyDescent="0.45">
      <c r="B27" s="25"/>
      <c r="C27" s="26"/>
      <c r="D27" s="26"/>
      <c r="E27" s="3"/>
      <c r="F27" s="250" t="s">
        <v>40</v>
      </c>
      <c r="G27" s="251"/>
      <c r="H27" s="3"/>
      <c r="I27" s="72">
        <f>IF(EN_SBB0,1000*(VOUT_peak_SBB0_MIN-VOUT_valley_SBB0_MIN),0)</f>
        <v>33.677989019951227</v>
      </c>
      <c r="J27" s="72">
        <f>IF(EN_SBB1,1000*(VOUT_peak_SBB1_MIN-VOUT_valley_SBB1_MIN),0)</f>
        <v>24.420432202583832</v>
      </c>
      <c r="K27" s="72">
        <f>IF(EN_SBB2,1000*(VOUT_peak_SBB2_MIN-VOUT_valley_SBB2_MIN),0)</f>
        <v>56.551088483269396</v>
      </c>
      <c r="L27" s="3"/>
      <c r="M27" s="72">
        <f>1000*(VOUT_peak_SBB0-VOUT_valley_SBB0)</f>
        <v>34.729043488607836</v>
      </c>
      <c r="N27" s="72">
        <f>1000*(VOUT_peak_SBB1-VOUT_valley_SBB1)</f>
        <v>25.595615912078038</v>
      </c>
      <c r="O27" s="72">
        <f>1000*(VOUT_peak_SBB2-VOUT_valley_SBB2)</f>
        <v>60.775414762916036</v>
      </c>
      <c r="P27" s="3"/>
      <c r="Q27" s="73">
        <f>IF(EN_SBB0,1000*(VOUT_peak_SBB0_MAX-VOUT_valley_SBB0_MAX),0)</f>
        <v>35.825610727961532</v>
      </c>
      <c r="R27" s="73">
        <f>IF(EN_SBB1,1000*(VOUT_peak_SBB1_MAX-VOUT_valley_SBB1_MAX),0)</f>
        <v>26.829719834670975</v>
      </c>
      <c r="S27" s="73">
        <f>IF(EN_SBB2,1000*(VOUT_peak_SBB2_MAX-VOUT_valley_SBB2_MAX),0)</f>
        <v>65.386146728322103</v>
      </c>
      <c r="T27" s="27" t="s">
        <v>41</v>
      </c>
      <c r="V27" s="223"/>
      <c r="W27" s="224"/>
      <c r="X27" s="224"/>
      <c r="Y27" s="225"/>
      <c r="Z27" s="131"/>
    </row>
    <row r="28" spans="2:30" outlineLevel="2" x14ac:dyDescent="0.35">
      <c r="B28" s="25"/>
      <c r="C28" s="26"/>
      <c r="D28" s="26"/>
      <c r="E28" s="3"/>
      <c r="F28" s="250"/>
      <c r="G28" s="251"/>
      <c r="H28" s="3"/>
      <c r="I28" s="68">
        <f>I27/1000/VOUT_SBB0_MAX</f>
        <v>1.0005344331536313E-2</v>
      </c>
      <c r="J28" s="70">
        <f>J27/1000/VOUT_SBB1_MAX</f>
        <v>1.3300888999228667E-2</v>
      </c>
      <c r="K28" s="70">
        <f>K27/1000/VOUT_SBB2_MAX</f>
        <v>1.1088448722209687E-2</v>
      </c>
      <c r="L28" s="3"/>
      <c r="M28" s="68">
        <f>M27/1000/VOUT_SBB0</f>
        <v>1.0523952572305406E-2</v>
      </c>
      <c r="N28" s="68">
        <f>N27/1000/VOUT_SBB1</f>
        <v>1.4219786617821131E-2</v>
      </c>
      <c r="O28" s="68">
        <f>O27/1000/VOUT_SBB2</f>
        <v>1.2155082952583208E-2</v>
      </c>
      <c r="P28" s="3"/>
      <c r="Q28" s="70">
        <f>Q27/1000/VOUT_SBB0_MIN</f>
        <v>1.1077801709326386E-2</v>
      </c>
      <c r="R28" s="70">
        <f>R27/1000/VOUT_SBB1_MIN</f>
        <v>1.5209591743010757E-2</v>
      </c>
      <c r="S28" s="68">
        <f>S27/1000/VOUT_SBB2_MIN</f>
        <v>1.3344111577208592E-2</v>
      </c>
      <c r="T28" s="27"/>
      <c r="V28" s="223"/>
      <c r="W28" s="224"/>
      <c r="X28" s="224"/>
      <c r="Y28" s="225"/>
    </row>
    <row r="29" spans="2:30" ht="16.5" outlineLevel="2" x14ac:dyDescent="0.35">
      <c r="B29" s="29"/>
      <c r="C29" s="30"/>
      <c r="D29" s="30"/>
      <c r="E29" s="3"/>
      <c r="F29" s="255" t="s">
        <v>42</v>
      </c>
      <c r="G29" s="249"/>
      <c r="H29" s="3"/>
      <c r="I29" s="72">
        <f>IF(EN_SBB0,I20/tservice_SBB0_MAX/1000,0)</f>
        <v>227.62312489363833</v>
      </c>
      <c r="J29" s="73">
        <f>IF(EN_SBB1,J20/tservice_SBB1_MAX/1000,0)</f>
        <v>393.86441050545932</v>
      </c>
      <c r="K29" s="73">
        <f>IF(EN_SBB2,K20/tservice_SBB2_MAX/1000,0)</f>
        <v>136.35537616702837</v>
      </c>
      <c r="L29" s="3"/>
      <c r="M29" s="72">
        <f>IF(EN_SBB0,M20/tservice_SBB0/1000,0)</f>
        <v>246.9477060982604</v>
      </c>
      <c r="N29" s="72">
        <f>IF(EN_SBB1,N20/tservice_SBB1/1000,0)</f>
        <v>444.8696919569893</v>
      </c>
      <c r="O29" s="72">
        <f>IF(EN_SBB2,O20/tservice_SBB2/1000,0)</f>
        <v>167.31274040093595</v>
      </c>
      <c r="P29" s="3"/>
      <c r="Q29" s="73">
        <f>IF(EN_SBB0,Q20/tservice_SBB0_MIN/1000,0)</f>
        <v>267.84806135529163</v>
      </c>
      <c r="R29" s="73">
        <f>IF(EN_SBB1,R20/tservice_SBB1_MIN/1000,0)</f>
        <v>502.10772852444694</v>
      </c>
      <c r="S29" s="72">
        <f>IF(EN_SBB2,S20/tservice_SBB2_MIN/1000,0)</f>
        <v>204.27909710903981</v>
      </c>
      <c r="T29" s="31" t="s">
        <v>43</v>
      </c>
      <c r="V29" s="223"/>
      <c r="W29" s="224"/>
      <c r="X29" s="224"/>
      <c r="Y29" s="225"/>
    </row>
    <row r="30" spans="2:30" ht="16.5" outlineLevel="2" x14ac:dyDescent="0.35">
      <c r="B30" s="25"/>
      <c r="C30" s="26"/>
      <c r="D30" s="26"/>
      <c r="E30" s="3"/>
      <c r="F30" s="256" t="s">
        <v>97</v>
      </c>
      <c r="G30" s="251"/>
      <c r="H30" s="3"/>
      <c r="I30" s="69">
        <f>IF(EN_SBB0,SQRT(2*SUM(cd!H89:H90)/COUT_EFF_SBB0),0)</f>
        <v>3.2502414433237252</v>
      </c>
      <c r="J30" s="71">
        <f>IF(EN_SBB1,SQRT(2*SUM(cd!I89:I90)/COUT_EFF_SBB1),0)</f>
        <v>1.771607021478852</v>
      </c>
      <c r="K30" s="71">
        <f>IF(EN_SBB2,SQRT(2*SUM(cd!J89:J90)/COUT_EFF_SBB2),0)</f>
        <v>4.9332502019051798</v>
      </c>
      <c r="L30" s="3"/>
      <c r="M30" s="69">
        <f>IF(EN_SBB0,SQRT(2*SUM(cd!L89:L90)/COUT_EFF_SBB0),0)</f>
        <v>3.3169469788996397</v>
      </c>
      <c r="N30" s="69">
        <f>IF(EN_SBB1,SQRT(2*SUM(cd!M89:M90)/COUT_EFF_SBB1),0)</f>
        <v>1.8084442804855743</v>
      </c>
      <c r="O30" s="69">
        <f>IF(EN_SBB2,SQRT(2*SUM(cd!N89:N90)/COUT_EFF_SBB2),0)</f>
        <v>5.0372896710091641</v>
      </c>
      <c r="P30" s="3"/>
      <c r="Q30" s="71">
        <f>IF(EN_SBB0,SQRT(2*SUM(cd!P89:P90)/COUT_EFF_SBB0),0)</f>
        <v>3.3836560950903323</v>
      </c>
      <c r="R30" s="71">
        <f>IF(EN_SBB1,SQRT(2*SUM(cd!Q89:Q90)/COUT_EFF_SBB1),0)</f>
        <v>1.8452958345656032</v>
      </c>
      <c r="S30" s="69">
        <f>IF(EN_SBB2,SQRT(2*SUM(cd!R89:R90)/COUT_EFF_SBB2),0)</f>
        <v>5.1417082428973444</v>
      </c>
      <c r="T30" s="27" t="s">
        <v>10</v>
      </c>
      <c r="V30" s="223"/>
      <c r="W30" s="224"/>
      <c r="X30" s="224"/>
      <c r="Y30" s="225"/>
    </row>
    <row r="31" spans="2:30" ht="16.5" outlineLevel="2" x14ac:dyDescent="0.35">
      <c r="B31" s="29"/>
      <c r="C31" s="30"/>
      <c r="D31" s="30"/>
      <c r="E31" s="3"/>
      <c r="F31" s="255" t="s">
        <v>98</v>
      </c>
      <c r="G31" s="249"/>
      <c r="H31" s="3"/>
      <c r="I31" s="69">
        <f>IF(EN_SBB0,VOUT_SBB0_MIN-I33,0)</f>
        <v>3.216563454303774</v>
      </c>
      <c r="J31" s="69">
        <f>IF(EN_SBB1,VOUT_SBB1_MIN-J33,0)</f>
        <v>1.7471865892762681</v>
      </c>
      <c r="K31" s="69">
        <f>IF(EN_SBB2,VOUT_SBB2_MIN-K33,0)</f>
        <v>4.8766991134219104</v>
      </c>
      <c r="L31" s="3"/>
      <c r="M31" s="69">
        <f>IF(EN_SBB0,VOUT_SBB0-M33,0)</f>
        <v>3.2822179354110319</v>
      </c>
      <c r="N31" s="69">
        <f>IF(EN_SBB1,VOUT_SBB1-N33,0)</f>
        <v>1.7828486645734962</v>
      </c>
      <c r="O31" s="69">
        <f>IF(EN_SBB2,VOUT_SBB2-O33,0)</f>
        <v>4.9765142562462481</v>
      </c>
      <c r="P31" s="3"/>
      <c r="Q31" s="71">
        <f>IF(EN_SBB0,VOUT_SBB0_MAX-Q33,0)</f>
        <v>3.3478304843623707</v>
      </c>
      <c r="R31" s="71">
        <f>IF(EN_SBB1,VOUT_SBB1_MAX-R33,0)</f>
        <v>1.8184661147309322</v>
      </c>
      <c r="S31" s="71">
        <f>IF(EN_SBB2,VOUT_SBB2_MAX-S33,0)</f>
        <v>5.0763220961690223</v>
      </c>
      <c r="T31" s="31" t="s">
        <v>10</v>
      </c>
      <c r="V31" s="223"/>
      <c r="W31" s="224"/>
      <c r="X31" s="224"/>
      <c r="Y31" s="225"/>
    </row>
    <row r="32" spans="2:30" ht="15" outlineLevel="1" collapsed="1" thickBot="1" x14ac:dyDescent="0.4">
      <c r="B32" s="252" t="s">
        <v>203</v>
      </c>
      <c r="C32" s="253"/>
      <c r="D32" s="253"/>
      <c r="E32" s="253"/>
      <c r="F32" s="253"/>
      <c r="G32" s="253"/>
      <c r="H32" s="253"/>
      <c r="I32" s="253"/>
      <c r="J32" s="253"/>
      <c r="K32" s="253"/>
      <c r="L32" s="253"/>
      <c r="M32" s="253"/>
      <c r="N32" s="253"/>
      <c r="O32" s="253"/>
      <c r="P32" s="253"/>
      <c r="Q32" s="253"/>
      <c r="R32" s="253"/>
      <c r="S32" s="253"/>
      <c r="T32" s="254"/>
      <c r="V32" s="223"/>
      <c r="W32" s="224"/>
      <c r="X32" s="224"/>
      <c r="Y32" s="225"/>
    </row>
    <row r="33" spans="2:25" ht="16.5" hidden="1" outlineLevel="2" x14ac:dyDescent="0.35">
      <c r="B33" s="25"/>
      <c r="C33" s="26"/>
      <c r="D33" s="26"/>
      <c r="E33" s="3"/>
      <c r="F33" s="256" t="s">
        <v>44</v>
      </c>
      <c r="G33" s="251"/>
      <c r="H33" s="3"/>
      <c r="I33" s="69">
        <f>IF(EN_SBB0,IOUT_SBB0*SUM(tundershoot_SBB0_MIN,tservice_SBB1_MIN,tservice_SBB2_MIN)/COUT_EFF_SBB0,0)</f>
        <v>1.7436545696226033E-2</v>
      </c>
      <c r="J33" s="69">
        <f>IF(EN_SBB1,IOUT_SBB1*SUM(tundershoot_SBB1_MIN,tservice_SBB0_MIN,tservice_SBB2_MIN)/COUT_EFF_SBB1,0)</f>
        <v>1.6813410723731916E-2</v>
      </c>
      <c r="K33" s="69">
        <f>IF(EN_SBB2,IOUT_SBB2*SUM(tundershoot_SBB2_MIN,tservice_SBB1_MIN,tservice_SBB0_MIN)/COUT_EFF_SBB2,0)</f>
        <v>2.3300886578089978E-2</v>
      </c>
      <c r="L33" s="3"/>
      <c r="M33" s="69">
        <f>IF(EN_SBB0,IOUT_SBB0*SUM(tundershoot_SBB0,tservice_SBB1,tservice_SBB2)/COUT_EFF_SBB0,0)</f>
        <v>1.7782064588967729E-2</v>
      </c>
      <c r="N33" s="69">
        <f>IF(EN_SBB1,IOUT_SBB1*SUM(tundershoot_SBB1,tservice_SBB0,tservice_SBB2)/COUT_EFF_SBB1,0)</f>
        <v>1.7151335426503878E-2</v>
      </c>
      <c r="O33" s="69">
        <f>IF(EN_SBB2,IOUT_SBB2*SUM(tundershoot_SBB2,tservice_SBB1,tservice_SBB0)/COUT_EFF_SBB2,0)</f>
        <v>2.3485743753751776E-2</v>
      </c>
      <c r="P33" s="3"/>
      <c r="Q33" s="69">
        <f>IF(EN_SBB0,IOUT_SBB0*SUM(tundershoot_SBB0_MAX,tservice_SBB1_MAX,tservice_SBB2_MAX)/COUT_EFF_SBB0,0)</f>
        <v>1.8169515637628812E-2</v>
      </c>
      <c r="R33" s="69">
        <f>IF(EN_SBB1,IOUT_SBB1*SUM(tundershoot_SBB1_MAX,tservice_SBB0_MAX,tservice_SBB2_MAX)/COUT_EFF_SBB1,0)</f>
        <v>1.7533885269067781E-2</v>
      </c>
      <c r="S33" s="69">
        <f>IF(EN_SBB2,IOUT_SBB2*SUM(tundershoot_SBB2_MAX,tservice_SBB1_MAX,tservice_SBB0_MAX)/COUT_EFF_SBB2,0)</f>
        <v>2.3677903830977128E-2</v>
      </c>
      <c r="T33" s="27" t="s">
        <v>10</v>
      </c>
      <c r="V33" s="223"/>
      <c r="W33" s="224"/>
      <c r="X33" s="224"/>
      <c r="Y33" s="225"/>
    </row>
    <row r="34" spans="2:25" ht="15" outlineLevel="1" collapsed="1" thickBot="1" x14ac:dyDescent="0.4">
      <c r="B34" s="252" t="s">
        <v>45</v>
      </c>
      <c r="C34" s="253"/>
      <c r="D34" s="253"/>
      <c r="E34" s="253"/>
      <c r="F34" s="253"/>
      <c r="G34" s="253"/>
      <c r="H34" s="253"/>
      <c r="I34" s="253"/>
      <c r="J34" s="253"/>
      <c r="K34" s="253"/>
      <c r="L34" s="253"/>
      <c r="M34" s="253"/>
      <c r="N34" s="253"/>
      <c r="O34" s="253"/>
      <c r="P34" s="253"/>
      <c r="Q34" s="253"/>
      <c r="R34" s="253"/>
      <c r="S34" s="253"/>
      <c r="T34" s="254"/>
      <c r="V34" s="226"/>
      <c r="W34" s="227"/>
      <c r="X34" s="227"/>
      <c r="Y34" s="228"/>
    </row>
    <row r="35" spans="2:25" ht="16.5" hidden="1" outlineLevel="2" x14ac:dyDescent="0.35">
      <c r="B35" s="29"/>
      <c r="C35" s="30"/>
      <c r="D35" s="41"/>
      <c r="E35" s="22"/>
      <c r="F35" s="237" t="s">
        <v>46</v>
      </c>
      <c r="G35" s="238"/>
      <c r="H35" s="22"/>
      <c r="I35" s="72">
        <f>IF(EN_SBB0,VOUT_SBB0_MIN/dVOUT_dtss*1000000,0)</f>
        <v>646.79999999999995</v>
      </c>
      <c r="J35" s="72">
        <f>IF(EN_SBB1,VOUT_SBB1_MIN/dVOUT_dtss*1000000,0)</f>
        <v>352.8</v>
      </c>
      <c r="K35" s="72">
        <f>IF(EN_SBB2,VOUT_SBB2_MIN/dVOUT_dtss*1000000,0)</f>
        <v>980</v>
      </c>
      <c r="L35" s="22"/>
      <c r="M35" s="72">
        <f>IF(EN_SBB0,VOUT_SBB0/dVOUT_dtss*1000000,0)</f>
        <v>660</v>
      </c>
      <c r="N35" s="72">
        <f>IF(EN_SBB1,VOUT_SBB1/dVOUT_dtss*1000000,0)</f>
        <v>360</v>
      </c>
      <c r="O35" s="72">
        <f>IF(EN_SBB2,VOUT_SBB2/dVOUT_dtss*1000000,0)</f>
        <v>1000</v>
      </c>
      <c r="P35" s="22"/>
      <c r="Q35" s="72">
        <f>IF(EN_SBB0,VOUT_SBB0_MAX/dVOUT_dtss*1000000,0)</f>
        <v>673.19999999999993</v>
      </c>
      <c r="R35" s="72">
        <f>IF(EN_SBB1,VOUT_SBB1_MAX/dVOUT_dtss*1000000,0)</f>
        <v>367.20000000000005</v>
      </c>
      <c r="S35" s="72">
        <f>IF(EN_SBB2,VOUT_SBB2_MAX/dVOUT_dtss*1000000,0)</f>
        <v>1019.9999999999999</v>
      </c>
      <c r="T35" s="32" t="s">
        <v>47</v>
      </c>
    </row>
    <row r="36" spans="2:25" ht="16.5" hidden="1" outlineLevel="2" x14ac:dyDescent="0.35">
      <c r="B36" s="25"/>
      <c r="C36" s="26"/>
      <c r="D36" s="26"/>
      <c r="E36" s="3"/>
      <c r="F36" s="256" t="s">
        <v>48</v>
      </c>
      <c r="G36" s="251"/>
      <c r="H36" s="3"/>
      <c r="I36" s="26"/>
      <c r="J36" s="26"/>
      <c r="K36" s="26"/>
      <c r="L36" s="3"/>
      <c r="M36" s="69">
        <f>IF(EN_SBB0,COUT_EFF_SBB0*dVOUT_dtss,0)</f>
        <v>4.6946631953870006E-2</v>
      </c>
      <c r="N36" s="69">
        <f>IF(EN_SBB1,COUT_EFF_SBB1*dVOUT_dtss,0)</f>
        <v>7.6203553627520002E-2</v>
      </c>
      <c r="O36" s="69">
        <f>IF(EN_SBB2,COUT_EFF_SBB2*dVOUT_dtss,0)</f>
        <v>3.193575000000004E-2</v>
      </c>
      <c r="P36" s="3"/>
      <c r="Q36" s="26"/>
      <c r="R36" s="26"/>
      <c r="S36" s="26"/>
      <c r="T36" s="27" t="s">
        <v>24</v>
      </c>
    </row>
    <row r="37" spans="2:25" ht="17" hidden="1" outlineLevel="2" thickBot="1" x14ac:dyDescent="0.4">
      <c r="B37" s="74"/>
      <c r="C37" s="75"/>
      <c r="D37" s="75"/>
      <c r="E37" s="4"/>
      <c r="F37" s="270" t="s">
        <v>49</v>
      </c>
      <c r="G37" s="271"/>
      <c r="H37" s="4"/>
      <c r="I37" s="90">
        <f>IOUT_Max_SBB0_MIN/dVOUT_dtss*1000000</f>
        <v>43.877789313524104</v>
      </c>
      <c r="J37" s="90">
        <f>IOUT_Max_SBB1_MIN/dVOUT_dtss*1000000</f>
        <v>44.873165173432312</v>
      </c>
      <c r="K37" s="90">
        <f>IOUT_Max_SBB2_MIN/dVOUT_dtss*1000000</f>
        <v>42.703911466450784</v>
      </c>
      <c r="L37" s="4"/>
      <c r="M37" s="90">
        <f>IOUT_Max_SBB0/dVOUT_dtss*1000000</f>
        <v>47.149320439004725</v>
      </c>
      <c r="N37" s="90">
        <f>IOUT_Max_SBB1/dVOUT_dtss*1000000</f>
        <v>49.674383144094762</v>
      </c>
      <c r="O37" s="90">
        <f>IOUT_Max_SBB2/dVOUT_dtss*1000000</f>
        <v>49.99131928084504</v>
      </c>
      <c r="P37" s="4"/>
      <c r="Q37" s="90">
        <f>IOUT_Max_SBB0_MAX/dVOUT_dtss*1000000</f>
        <v>50.663426448220015</v>
      </c>
      <c r="R37" s="90">
        <f>IOUT_Max_SBB1_MAX/dVOUT_dtss*1000000</f>
        <v>55.00895734866188</v>
      </c>
      <c r="S37" s="90">
        <f>IOUT_Max_SBB2_MAX/dVOUT_dtss*1000000</f>
        <v>58.573222308484205</v>
      </c>
      <c r="T37" s="76" t="s">
        <v>50</v>
      </c>
    </row>
    <row r="48" spans="2:25" collapsed="1" x14ac:dyDescent="0.35"/>
  </sheetData>
  <mergeCells count="38">
    <mergeCell ref="F37:G37"/>
    <mergeCell ref="F36:G36"/>
    <mergeCell ref="F35:G35"/>
    <mergeCell ref="F33:G33"/>
    <mergeCell ref="F30:G30"/>
    <mergeCell ref="B34:T34"/>
    <mergeCell ref="B32:T32"/>
    <mergeCell ref="B24:T24"/>
    <mergeCell ref="B21:T21"/>
    <mergeCell ref="F31:G31"/>
    <mergeCell ref="F6:G6"/>
    <mergeCell ref="F5:G5"/>
    <mergeCell ref="F29:G29"/>
    <mergeCell ref="F23:G23"/>
    <mergeCell ref="F22:G22"/>
    <mergeCell ref="F20:G20"/>
    <mergeCell ref="B19:T19"/>
    <mergeCell ref="B17:T17"/>
    <mergeCell ref="B14:T14"/>
    <mergeCell ref="B13:T13"/>
    <mergeCell ref="B10:T10"/>
    <mergeCell ref="C11:D11"/>
    <mergeCell ref="V21:Y34"/>
    <mergeCell ref="V5:V6"/>
    <mergeCell ref="F7:F8"/>
    <mergeCell ref="Q2:S2"/>
    <mergeCell ref="M2:O2"/>
    <mergeCell ref="I2:K2"/>
    <mergeCell ref="V9:Y19"/>
    <mergeCell ref="F18:G18"/>
    <mergeCell ref="F16:G16"/>
    <mergeCell ref="F15:G15"/>
    <mergeCell ref="F12:G12"/>
    <mergeCell ref="F11:G11"/>
    <mergeCell ref="F9:G9"/>
    <mergeCell ref="B4:T4"/>
    <mergeCell ref="F25:G26"/>
    <mergeCell ref="F27:G28"/>
  </mergeCells>
  <phoneticPr fontId="19" type="noConversion"/>
  <conditionalFormatting sqref="C20">
    <cfRule type="cellIs" dxfId="16" priority="11" operator="between">
      <formula>0.8</formula>
      <formula>0.9</formula>
    </cfRule>
    <cfRule type="cellIs" dxfId="15" priority="30" operator="greaterThan">
      <formula>0.9</formula>
    </cfRule>
  </conditionalFormatting>
  <conditionalFormatting sqref="Q30 I30:K30 M30:O30">
    <cfRule type="cellIs" dxfId="14" priority="46" operator="greaterThan">
      <formula>$M$5*(1+#REF!)</formula>
    </cfRule>
  </conditionalFormatting>
  <conditionalFormatting sqref="S30 K30">
    <cfRule type="cellIs" dxfId="13" priority="50" operator="greaterThan">
      <formula>$O$5*(1+#REF!)</formula>
    </cfRule>
  </conditionalFormatting>
  <conditionalFormatting sqref="Q31 I31:K31 M31:O31">
    <cfRule type="cellIs" dxfId="12" priority="52" operator="lessThan">
      <formula>$M$5*(1-#REF!)</formula>
    </cfRule>
  </conditionalFormatting>
  <conditionalFormatting sqref="R31:S31 J31:K31">
    <cfRule type="cellIs" dxfId="11" priority="18" operator="lessThan">
      <formula>$M$5*(1-#REF!)</formula>
    </cfRule>
  </conditionalFormatting>
  <conditionalFormatting sqref="M6:O6">
    <cfRule type="expression" dxfId="10" priority="58">
      <formula>AND(M$9="Yes",M$6&gt;(M$22*1000))</formula>
    </cfRule>
  </conditionalFormatting>
  <conditionalFormatting sqref="M5">
    <cfRule type="expression" dxfId="9" priority="59">
      <formula>AND($M$12="Buck",($C$5-$M$5)&lt;0.7)</formula>
    </cfRule>
  </conditionalFormatting>
  <conditionalFormatting sqref="N5">
    <cfRule type="expression" dxfId="8" priority="60">
      <formula>AND($N$12="Buck",($C$5-$N$5)&lt;0.7)</formula>
    </cfRule>
  </conditionalFormatting>
  <conditionalFormatting sqref="O5">
    <cfRule type="expression" dxfId="7" priority="61">
      <formula>AND($O$12="Buck",($C$5-$O$5)&lt;0.7)</formula>
    </cfRule>
  </conditionalFormatting>
  <dataValidations count="27">
    <dataValidation allowBlank="1" showInputMessage="1" showErrorMessage="1" prompt="Input/Supply Voltage" sqref="B5:C5" xr:uid="{F8501762-A10D-4D46-A675-D4CF18AFC2E6}"/>
    <dataValidation allowBlank="1" showInputMessage="1" showErrorMessage="1" prompt="Inductor DC resistance (DCR)." sqref="B7:C8" xr:uid="{DC460FD6-DFDE-4BEB-A7EE-C0CE7150776A}"/>
    <dataValidation allowBlank="1" showInputMessage="1" showErrorMessage="1" prompt="Inductance._x000a_Smaller values reduce output voltage ripple. However, efficiency is reduced." sqref="B6:C6" xr:uid="{C7033E70-2971-41F6-8EC2-10A71D0F75FC}"/>
    <dataValidation allowBlank="1" showInputMessage="1" showErrorMessage="1" prompt="Programmed voltage._x000a__x000a_Highlighted red if Operating Mode = Buck and Vin-Vout &lt; 0.7V. If operating in Buck mode, ensure a minimum of 700mV headroom." sqref="F5 M5:O5" xr:uid="{BC4209FE-16CB-444C-A82D-04047058BF99}"/>
    <dataValidation allowBlank="1" showInputMessage="1" showErrorMessage="1" prompt="Expected DC load current. Any load persisting longer than 10μs should be considered DC._x000a__x000a_Highlighted red if it exceeds the maximum supported output current. See IOUT_MAX in the Calculation Results section." sqref="F6 M6:O6" xr:uid="{9C93D988-E9A3-4881-A541-EDAB106EB7D1}"/>
    <dataValidation type="list" allowBlank="1" showInputMessage="1" showErrorMessage="1" prompt="Whether or not the channel is used." sqref="M9:O9" xr:uid="{82538527-46F3-4044-A701-88A8994A3F0E}">
      <formula1>"Yes,No"</formula1>
    </dataValidation>
    <dataValidation allowBlank="1" showInputMessage="1" showErrorMessage="1" prompt="Total inductor time occupied._x000a__x000a_Keep this at or below 80% to allow margin for transients._x000a_Highlighted yellow if the value is between 80-90%. Consider larger Cout if transients push total utilization &gt;90%._x000a_Above 90%, this cell is highlighted red." sqref="B20:C20" xr:uid="{9C310201-48B1-4B88-B5F8-92E9F3164B25}"/>
    <dataValidation allowBlank="1" showInputMessage="1" showErrorMessage="1" prompt="The percentage of the inductor's time occupied by the respective channel with specified load current." sqref="M20:O20 F20 F18 M18:O18" xr:uid="{27725CF8-0623-4A06-A0F6-CC916D7944B3}"/>
    <dataValidation allowBlank="1" showInputMessage="1" showErrorMessage="1" prompt="Maximum current an output channel can support if there is no load on other channels." sqref="F22 M22:O22" xr:uid="{F672DA56-73E3-47D0-A53D-5CC510D33936}"/>
    <dataValidation allowBlank="1" showInputMessage="1" showErrorMessage="1" prompt="Maximum power an output channel can deliver if there is no load current on other channels." sqref="F23 M23:O23" xr:uid="{F7BEB910-9040-4008-A268-49F915B86007}"/>
    <dataValidation allowBlank="1" showInputMessage="1" showErrorMessage="1" prompt="Output voltage ripple when loaded with the specified IOUT." sqref="M27:O28 F27" xr:uid="{F5EBAFDE-2E4E-4398-805D-DB1091F7BF81}"/>
    <dataValidation allowBlank="1" showInputMessage="1" showErrorMessage="1" prompt="Output voltage ripple frequency._x000a_This also represents the frequency at which each channel is serviced._x000a_Assumes no load on other channels." sqref="F29 M29:O29" xr:uid="{7A310D90-9195-404B-9C3B-B690EB025C30}"/>
    <dataValidation allowBlank="1" showInputMessage="1" showErrorMessage="1" prompt="Peak output voltage due to ripple." sqref="F30 M30:O30" xr:uid="{8690C25D-6539-4113-8D5A-AC0096655FCC}"/>
    <dataValidation allowBlank="1" showInputMessage="1" showErrorMessage="1" prompt="Valley output voltage due to ripple." sqref="F31 M31:O31" xr:uid="{6ED07A0B-AB06-4C4C-8EAE-A6B24AEFA550}"/>
    <dataValidation allowBlank="1" showInputMessage="1" showErrorMessage="1" prompt="Soft-start time." sqref="F35 M35:O35" xr:uid="{914A8141-EBEC-40CF-992B-1A7215E7C5AD}"/>
    <dataValidation allowBlank="1" showInputMessage="1" showErrorMessage="1" prompt="If the output capacitance is larger than this value, the slew rate may be lower than expected._x000a_Staying below this value is recommended but not required." sqref="F37 M37:O37" xr:uid="{491F5502-47D7-4278-9264-A4A1B82B57B6}"/>
    <dataValidation allowBlank="1" showInputMessage="1" showErrorMessage="1" prompt="Typical ambient temperature. Affects min/max calculations." sqref="B9" xr:uid="{CC100315-F01F-4FB2-8785-E0656F422B6C}"/>
    <dataValidation allowBlank="1" showInputMessage="1" showErrorMessage="1" prompt="Maxim Integrated product with a peak current controlled, SIMO regulator._x000a__x000a_After selecting the device, remember to update the IL_PEAK and Operating mode values._x000a__x000a_The MAX77650/1 selection also applies for MAX77640/641/680/681/278." sqref="B11" xr:uid="{1E4C9C4C-F4F9-4B97-8BE9-9B332152F15B}"/>
    <dataValidation allowBlank="1" showInputMessage="1" showErrorMessage="1" prompt="Whether or not the channel is used." sqref="F9" xr:uid="{CCFDB121-DBA9-4BFC-AF0E-FFBF29C0B8DD}"/>
    <dataValidation allowBlank="1" showInputMessage="1" showErrorMessage="1" prompt="Peak inductor current limit." sqref="F11" xr:uid="{AE4F7C81-F165-4A73-A10E-03CC74A04071}"/>
    <dataValidation allowBlank="1" showInputMessage="1" showErrorMessage="1" prompt="The topology the channel operates in._x000a_Examples include Buck and Buck-Boost modes." sqref="F12" xr:uid="{D999B228-D0BB-4EBF-88E8-DF5A14C9AB78}"/>
    <dataValidation allowBlank="1" showInputMessage="1" showErrorMessage="1" prompt="Output voltage ripple with no load._x000a__x000a_For the MAX1727x, an additional VOUT*2.5% is added due to ULPM. Refer to the MAX1727x datasheet for more details." sqref="F25 M25:O26" xr:uid="{D77BB525-E8B2-487E-A540-7F38E33BC566}"/>
    <dataValidation allowBlank="1" showInputMessage="1" showErrorMessage="1" prompt="Programmable Output Voltage Range" sqref="M15:O15 I15:K15 F15" xr:uid="{84D8B6F7-1D91-4B19-B677-34CC9AC0902F}"/>
    <dataValidation allowBlank="1" showInputMessage="1" showErrorMessage="1" prompt="Output Capacitance._x000a_To use the default derating model, enter value in &quot;Nominal&quot; row and leave &quot;Effective&quot; row blank._x000a_Otherwise, enter value in &quot;Effective&quot; row._x000a__x000a_Highlighted yellow if larger than the recommended maximum. Refer to COUT_max_tss below." sqref="M7:O8 I7:K8 G7:G8 F7" xr:uid="{D2325075-3B62-4F7E-B752-E083B2700418}"/>
    <dataValidation allowBlank="1" showInputMessage="1" showErrorMessage="1" prompt="Channel operating mode. If &quot;Automatic&quot; is selected in the &quot;Other Inputs&quot; section, this shows what the operating mode is for the given input/output voltage conditions." sqref="M16:O16 I16:K16 F16" xr:uid="{CD4A34A5-CDD1-4189-AAED-B5C9082515B1}"/>
    <dataValidation allowBlank="1" showInputMessage="1" showErrorMessage="1" prompt="Output capacitor current during soft-start. Based on the effective COUT." sqref="M36:O36 I36:K36 F36" xr:uid="{193BDACD-4802-49EE-854E-17484B717E52}"/>
    <dataValidation allowBlank="1" showInputMessage="1" showErrorMessage="1" prompt="Worst case output voltage droop due to load reg. and other channels being serviced before this channel." sqref="F33:O33" xr:uid="{19BFE443-67F5-4E71-B11D-A2852F914D9B}"/>
  </dataValidations>
  <pageMargins left="0.7" right="0.7" top="0.75" bottom="0.75" header="0.3" footer="0.3"/>
  <pageSetup orientation="portrait" r:id="rId1"/>
  <ignoredErrors>
    <ignoredError sqref="M27:O27 I27:K27 Q27:S27" formula="1"/>
  </ignoredErrors>
  <extLst>
    <ext xmlns:x14="http://schemas.microsoft.com/office/spreadsheetml/2009/9/main" uri="{78C0D931-6437-407d-A8EE-F0AAD7539E65}">
      <x14:conditionalFormattings>
        <x14:conditionalFormatting xmlns:xm="http://schemas.microsoft.com/office/excel/2006/main">
          <x14:cfRule type="expression" priority="87" id="{00000000-000E-0000-0000-00001F000000}">
            <xm:f>AND((cd!X$23*1000000)&gt;R$37,R$9="Yes")</xm:f>
            <x14:dxf>
              <font>
                <color theme="7" tint="-0.499984740745262"/>
              </font>
              <fill>
                <patternFill>
                  <bgColor theme="7" tint="0.79998168889431442"/>
                </patternFill>
              </fill>
            </x14:dxf>
          </x14:cfRule>
          <xm:sqref>R7:R8</xm:sqref>
        </x14:conditionalFormatting>
        <x14:conditionalFormatting xmlns:xm="http://schemas.microsoft.com/office/excel/2006/main">
          <x14:cfRule type="expression" priority="88" id="{00000000-000E-0000-0000-00001F000000}">
            <xm:f>AND((cd!#REF!*1000000)&gt;I$37,I$9="Yes")</xm:f>
            <x14:dxf>
              <font>
                <color theme="7" tint="-0.499984740745262"/>
              </font>
              <fill>
                <patternFill>
                  <bgColor theme="7" tint="0.79998168889431442"/>
                </patternFill>
              </fill>
            </x14:dxf>
          </x14:cfRule>
          <xm:sqref>I7:I8</xm:sqref>
        </x14:conditionalFormatting>
        <x14:conditionalFormatting xmlns:xm="http://schemas.microsoft.com/office/excel/2006/main">
          <x14:cfRule type="expression" priority="89" id="{00000000-000E-0000-0000-00001F000000}">
            <xm:f>AND((cd!AA$23*1000000)&gt;S$37,S$9="Yes")</xm:f>
            <x14:dxf>
              <font>
                <color theme="7" tint="-0.499984740745262"/>
              </font>
              <fill>
                <patternFill>
                  <bgColor theme="7" tint="0.79998168889431442"/>
                </patternFill>
              </fill>
            </x14:dxf>
          </x14:cfRule>
          <xm:sqref>S7:S8</xm:sqref>
        </x14:conditionalFormatting>
        <x14:conditionalFormatting xmlns:xm="http://schemas.microsoft.com/office/excel/2006/main">
          <x14:cfRule type="expression" priority="90" id="{00000000-000E-0000-0000-00001F000000}">
            <xm:f>AND((cd!F$23*1000000)&gt;H$37,H$9="Yes")</xm:f>
            <x14:dxf>
              <font>
                <color theme="7" tint="-0.499984740745262"/>
              </font>
              <fill>
                <patternFill>
                  <bgColor theme="7" tint="0.79998168889431442"/>
                </patternFill>
              </fill>
            </x14:dxf>
          </x14:cfRule>
          <xm:sqref>P7:Q8 H7:H8 L7:L8</xm:sqref>
        </x14:conditionalFormatting>
        <x14:conditionalFormatting xmlns:xm="http://schemas.microsoft.com/office/excel/2006/main">
          <x14:cfRule type="expression" priority="93" id="{00000000-000E-0000-0000-00001F000000}">
            <xm:f>AND((cd!U$23*1000000)&gt;J$37,J$9="Yes")</xm:f>
            <x14:dxf>
              <font>
                <color theme="7" tint="-0.499984740745262"/>
              </font>
              <fill>
                <patternFill>
                  <bgColor theme="7" tint="0.79998168889431442"/>
                </patternFill>
              </fill>
            </x14:dxf>
          </x14:cfRule>
          <xm:sqref>J7:J8</xm:sqref>
        </x14:conditionalFormatting>
        <x14:conditionalFormatting xmlns:xm="http://schemas.microsoft.com/office/excel/2006/main">
          <x14:cfRule type="expression" priority="94" id="{00000000-000E-0000-0000-00001F000000}">
            <xm:f>AND((cd!X$23*1000000)&gt;K$37,K$9="Yes")</xm:f>
            <x14:dxf>
              <font>
                <color theme="7" tint="-0.499984740745262"/>
              </font>
              <fill>
                <patternFill>
                  <bgColor theme="7" tint="0.79998168889431442"/>
                </patternFill>
              </fill>
            </x14:dxf>
          </x14:cfRule>
          <xm:sqref>K7:K8</xm:sqref>
        </x14:conditionalFormatting>
        <x14:conditionalFormatting xmlns:xm="http://schemas.microsoft.com/office/excel/2006/main">
          <x14:cfRule type="expression" priority="95" id="{45550959-62D0-461F-A6FD-A27705357206}">
            <xm:f>AND((cd!B$23*1000000)&gt;E$37,E$9="Yes")</xm:f>
            <x14:dxf>
              <font>
                <color theme="7" tint="-0.499984740745262"/>
              </font>
              <fill>
                <patternFill>
                  <bgColor theme="7" tint="0.79998168889431442"/>
                </patternFill>
              </fill>
            </x14:dxf>
          </x14:cfRule>
          <xm:sqref>E7:E8</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prompt="Peak inductor current limit." xr:uid="{DD3FEF8E-1018-470B-8954-EE9B73F6C3C9}">
          <x14:formula1>
            <xm:f>uc!$E$6:$E$9</xm:f>
          </x14:formula1>
          <xm:sqref>M11:O11</xm:sqref>
        </x14:dataValidation>
        <x14:dataValidation type="list" allowBlank="1" showInputMessage="1" showErrorMessage="1" prompt="The topology the channel operates in._x000a_Examples include Buck and Buck-Boost modes." xr:uid="{8593F01B-EC47-48CB-B2B7-D7BB8DA31803}">
          <x14:formula1>
            <xm:f>OFFSET(uc!$C$25,0,0,COUNTA(uc!$C$25:$C$28),1)</xm:f>
          </x14:formula1>
          <xm:sqref>M12:O12</xm:sqref>
        </x14:dataValidation>
        <x14:dataValidation type="list" allowBlank="1" showInputMessage="1" showErrorMessage="1" prompt="Typical ambient temperature. Affects min/max calculations." xr:uid="{BEADBF9A-A164-4EA9-9154-5B3FF806293F}">
          <x14:formula1>
            <xm:f>uc!$D$31:$D$32</xm:f>
          </x14:formula1>
          <xm:sqref>C9</xm:sqref>
        </x14:dataValidation>
        <x14:dataValidation type="list" allowBlank="1" showInputMessage="1" showErrorMessage="1" prompt="Maxim Integrated product with a peak current controlled, SIMO regulator._x000a__x000a_After selecting the device, remember to update the IL_PEAK and Operating mode values." xr:uid="{F266E8E8-7479-4815-9766-0C22EC1EA6D6}">
          <x14:formula1>
            <xm:f>uc!$B$4:$B$10</xm:f>
          </x14:formula1>
          <xm:sqref>C11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D8EB5-FBA0-4FE4-BB27-D9AD4DB4FA7D}">
  <dimension ref="A1"/>
  <sheetViews>
    <sheetView zoomScaleNormal="100" workbookViewId="0">
      <selection activeCell="G33" sqref="G33"/>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9DD1-0589-4370-A746-05532A32AD88}">
  <dimension ref="A1"/>
  <sheetViews>
    <sheetView workbookViewId="0">
      <selection activeCell="F39" sqref="F39"/>
    </sheetView>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3AC22-5C50-45C8-9861-528A71A9C344}">
  <dimension ref="A1"/>
  <sheetViews>
    <sheetView workbookViewId="0">
      <selection activeCell="AG27" sqref="AG27"/>
    </sheetView>
  </sheetViews>
  <sheetFormatPr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7A61-4643-4CF0-BC19-03F2044FD8AE}">
  <dimension ref="A1"/>
  <sheetViews>
    <sheetView zoomScaleNormal="100" workbookViewId="0">
      <selection activeCell="E36" sqref="E36"/>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A3ED4-B004-487B-8F5B-B946DE0CF08D}">
  <sheetPr>
    <outlinePr summaryBelow="0"/>
  </sheetPr>
  <dimension ref="B1:AO137"/>
  <sheetViews>
    <sheetView topLeftCell="A2" workbookViewId="0">
      <pane ySplit="2" topLeftCell="A40" activePane="bottomLeft" state="frozen"/>
      <selection activeCell="B2" sqref="B2"/>
      <selection pane="bottomLeft" activeCell="Z48" sqref="Z48"/>
    </sheetView>
  </sheetViews>
  <sheetFormatPr defaultRowHeight="14.5" outlineLevelRow="3" outlineLevelCol="1" x14ac:dyDescent="0.35"/>
  <cols>
    <col min="2" max="2" width="12.1796875" hidden="1" customWidth="1"/>
    <col min="3" max="3" width="10.453125" hidden="1" customWidth="1"/>
    <col min="4" max="4" width="6" hidden="1" customWidth="1"/>
    <col min="5" max="5" width="0.81640625" hidden="1" customWidth="1"/>
    <col min="6" max="6" width="24.54296875" hidden="1" customWidth="1"/>
    <col min="7" max="7" width="0.81640625" hidden="1" customWidth="1" collapsed="1"/>
    <col min="8" max="10" width="10.36328125" hidden="1" customWidth="1" outlineLevel="1"/>
    <col min="11" max="11" width="0.81640625" hidden="1" customWidth="1" outlineLevel="1" collapsed="1"/>
    <col min="12" max="12" width="10.453125" hidden="1" customWidth="1" collapsed="1"/>
    <col min="13" max="14" width="10.453125" hidden="1" customWidth="1"/>
    <col min="15" max="15" width="0.81640625" hidden="1" customWidth="1" outlineLevel="1" collapsed="1"/>
    <col min="16" max="18" width="10" hidden="1" customWidth="1" outlineLevel="1"/>
    <col min="19" max="19" width="6" hidden="1" customWidth="1" collapsed="1"/>
    <col min="20" max="22" width="11.81640625" hidden="1" customWidth="1"/>
    <col min="23" max="23" width="8.81640625" hidden="1" customWidth="1"/>
    <col min="24" max="36" width="8.81640625" customWidth="1"/>
  </cols>
  <sheetData>
    <row r="1" spans="2:41" ht="15" thickBot="1" x14ac:dyDescent="0.4"/>
    <row r="2" spans="2:41" ht="19.5" outlineLevel="1" x14ac:dyDescent="0.45">
      <c r="B2" s="201" t="s">
        <v>0</v>
      </c>
      <c r="C2" s="137" t="s">
        <v>1</v>
      </c>
      <c r="D2" s="137" t="s">
        <v>2</v>
      </c>
      <c r="E2" s="23"/>
      <c r="F2" s="137" t="s">
        <v>3</v>
      </c>
      <c r="G2" s="208"/>
      <c r="H2" s="231" t="s">
        <v>199</v>
      </c>
      <c r="I2" s="231"/>
      <c r="J2" s="231"/>
      <c r="K2" s="208"/>
      <c r="L2" s="232" t="s">
        <v>4</v>
      </c>
      <c r="M2" s="232"/>
      <c r="N2" s="232"/>
      <c r="O2" s="208"/>
      <c r="P2" s="231" t="s">
        <v>200</v>
      </c>
      <c r="Q2" s="231"/>
      <c r="R2" s="231"/>
      <c r="S2" s="199" t="s">
        <v>2</v>
      </c>
      <c r="AJ2" s="1"/>
      <c r="AK2" s="1"/>
      <c r="AL2" s="1"/>
      <c r="AM2" s="1"/>
      <c r="AN2" s="1"/>
      <c r="AO2" s="1"/>
    </row>
    <row r="3" spans="2:41" ht="20" outlineLevel="1" thickBot="1" x14ac:dyDescent="0.5">
      <c r="B3" s="202"/>
      <c r="C3" s="184"/>
      <c r="D3" s="184"/>
      <c r="E3" s="155"/>
      <c r="F3" s="184"/>
      <c r="G3" s="156"/>
      <c r="H3" s="205" t="s">
        <v>5</v>
      </c>
      <c r="I3" s="205" t="s">
        <v>6</v>
      </c>
      <c r="J3" s="205" t="s">
        <v>7</v>
      </c>
      <c r="K3" s="205"/>
      <c r="L3" s="205" t="s">
        <v>5</v>
      </c>
      <c r="M3" s="205" t="s">
        <v>6</v>
      </c>
      <c r="N3" s="205" t="s">
        <v>7</v>
      </c>
      <c r="O3" s="205"/>
      <c r="P3" s="205" t="s">
        <v>5</v>
      </c>
      <c r="Q3" s="205" t="s">
        <v>6</v>
      </c>
      <c r="R3" s="205" t="s">
        <v>7</v>
      </c>
      <c r="S3" s="200"/>
    </row>
    <row r="4" spans="2:41" s="1" customFormat="1" ht="18" outlineLevel="1" thickTop="1" thickBot="1" x14ac:dyDescent="0.45">
      <c r="B4" s="265" t="s">
        <v>51</v>
      </c>
      <c r="C4" s="266"/>
      <c r="D4" s="266"/>
      <c r="E4" s="266"/>
      <c r="F4" s="266"/>
      <c r="G4" s="266"/>
      <c r="H4" s="266"/>
      <c r="I4" s="266"/>
      <c r="J4" s="266"/>
      <c r="K4" s="266"/>
      <c r="L4" s="266"/>
      <c r="M4" s="266"/>
      <c r="N4" s="266"/>
      <c r="O4" s="266"/>
      <c r="P4" s="266"/>
      <c r="Q4" s="266"/>
      <c r="R4" s="266"/>
      <c r="S4" s="267"/>
      <c r="AJ4"/>
      <c r="AK4"/>
      <c r="AL4"/>
      <c r="AM4"/>
      <c r="AN4"/>
      <c r="AO4"/>
    </row>
    <row r="5" spans="2:41" s="1" customFormat="1" ht="17.149999999999999" customHeight="1" outlineLevel="2" thickTop="1" x14ac:dyDescent="0.45">
      <c r="B5" s="29" t="s">
        <v>52</v>
      </c>
      <c r="C5" s="44">
        <f>uc!E12</f>
        <v>8.5000000000000001E-7</v>
      </c>
      <c r="D5" s="157" t="s">
        <v>53</v>
      </c>
      <c r="E5" s="158"/>
      <c r="F5" s="190" t="s">
        <v>54</v>
      </c>
      <c r="G5" s="158"/>
      <c r="H5" s="157"/>
      <c r="I5" s="157"/>
      <c r="J5" s="157"/>
      <c r="K5" s="158"/>
      <c r="L5" s="182" t="b">
        <f>Summary!M9="Yes"</f>
        <v>1</v>
      </c>
      <c r="M5" s="157" t="b">
        <f>Summary!N9="Yes"</f>
        <v>1</v>
      </c>
      <c r="N5" s="157" t="b">
        <f>Summary!O9="Yes"</f>
        <v>1</v>
      </c>
      <c r="O5" s="158"/>
      <c r="P5" s="157"/>
      <c r="Q5" s="157"/>
      <c r="R5" s="157"/>
      <c r="S5" s="31"/>
      <c r="AJ5"/>
      <c r="AK5"/>
      <c r="AL5"/>
      <c r="AM5"/>
      <c r="AN5"/>
      <c r="AO5"/>
    </row>
    <row r="6" spans="2:41" s="131" customFormat="1" ht="16.5" customHeight="1" outlineLevel="2" x14ac:dyDescent="0.45">
      <c r="B6" s="59" t="s">
        <v>151</v>
      </c>
      <c r="C6" s="146">
        <f>uc!E13</f>
        <v>4.9999999999999998E-8</v>
      </c>
      <c r="D6" s="159" t="s">
        <v>53</v>
      </c>
      <c r="E6" s="158"/>
      <c r="F6" s="147"/>
      <c r="G6" s="158"/>
      <c r="H6" s="159"/>
      <c r="I6" s="159"/>
      <c r="J6" s="159"/>
      <c r="K6" s="158"/>
      <c r="L6" s="159"/>
      <c r="M6" s="159"/>
      <c r="N6" s="159"/>
      <c r="O6" s="158"/>
      <c r="P6" s="159"/>
      <c r="Q6" s="159"/>
      <c r="R6" s="159"/>
      <c r="S6" s="149"/>
      <c r="AJ6"/>
      <c r="AK6"/>
      <c r="AL6"/>
      <c r="AM6"/>
      <c r="AN6"/>
      <c r="AO6"/>
    </row>
    <row r="7" spans="2:41" s="1" customFormat="1" ht="16.5" customHeight="1" outlineLevel="2" x14ac:dyDescent="0.45">
      <c r="B7" s="140" t="s">
        <v>55</v>
      </c>
      <c r="C7" s="150">
        <f>uc!E14</f>
        <v>6.5184000000000006E-2</v>
      </c>
      <c r="D7" s="160" t="s">
        <v>56</v>
      </c>
      <c r="E7" s="158"/>
      <c r="F7" s="192"/>
      <c r="G7" s="158"/>
      <c r="H7" s="162"/>
      <c r="I7" s="162"/>
      <c r="J7" s="162"/>
      <c r="K7" s="158"/>
      <c r="L7" s="193"/>
      <c r="M7" s="162"/>
      <c r="N7" s="162"/>
      <c r="O7" s="158"/>
      <c r="P7" s="162"/>
      <c r="Q7" s="162"/>
      <c r="R7" s="162"/>
      <c r="S7" s="141"/>
      <c r="AJ7"/>
      <c r="AK7"/>
      <c r="AL7"/>
      <c r="AM7"/>
      <c r="AN7"/>
      <c r="AO7"/>
    </row>
    <row r="8" spans="2:41" s="1" customFormat="1" ht="16.5" customHeight="1" outlineLevel="2" x14ac:dyDescent="0.45">
      <c r="B8" s="59" t="s">
        <v>57</v>
      </c>
      <c r="C8" s="146">
        <f>uc!E15</f>
        <v>4.2430160000000001E-2</v>
      </c>
      <c r="D8" s="163" t="s">
        <v>56</v>
      </c>
      <c r="E8" s="158"/>
      <c r="F8" s="178"/>
      <c r="G8" s="158"/>
      <c r="H8" s="159"/>
      <c r="I8" s="159"/>
      <c r="J8" s="159"/>
      <c r="K8" s="158"/>
      <c r="L8" s="185"/>
      <c r="M8" s="159"/>
      <c r="N8" s="159"/>
      <c r="O8" s="158"/>
      <c r="P8" s="159"/>
      <c r="Q8" s="159"/>
      <c r="R8" s="159"/>
      <c r="S8" s="149"/>
      <c r="AJ8"/>
      <c r="AK8"/>
      <c r="AL8"/>
      <c r="AM8"/>
      <c r="AN8"/>
      <c r="AO8"/>
    </row>
    <row r="9" spans="2:41" s="1" customFormat="1" ht="16.5" customHeight="1" outlineLevel="2" x14ac:dyDescent="0.35">
      <c r="B9" s="140"/>
      <c r="C9" s="164"/>
      <c r="D9" s="160"/>
      <c r="E9" s="158"/>
      <c r="F9" s="192" t="s">
        <v>58</v>
      </c>
      <c r="G9" s="158"/>
      <c r="H9" s="162"/>
      <c r="I9" s="162"/>
      <c r="J9" s="162"/>
      <c r="K9" s="158"/>
      <c r="L9" s="194">
        <f>uc!E16</f>
        <v>8.1923999999999997E-2</v>
      </c>
      <c r="M9" s="151">
        <f>uc!E17</f>
        <v>8.5202799999999995E-2</v>
      </c>
      <c r="N9" s="151">
        <f>uc!E18</f>
        <v>8.5887000000000005E-2</v>
      </c>
      <c r="O9" s="158"/>
      <c r="P9" s="162"/>
      <c r="Q9" s="162"/>
      <c r="R9" s="162"/>
      <c r="S9" s="61" t="s">
        <v>56</v>
      </c>
      <c r="AJ9"/>
      <c r="AK9"/>
      <c r="AL9"/>
      <c r="AM9"/>
      <c r="AN9"/>
      <c r="AO9"/>
    </row>
    <row r="10" spans="2:41" s="1" customFormat="1" ht="16.5" customHeight="1" outlineLevel="2" x14ac:dyDescent="0.45">
      <c r="B10" s="59" t="s">
        <v>59</v>
      </c>
      <c r="C10" s="146">
        <f>uc!E19</f>
        <v>6.9445560000000003E-2</v>
      </c>
      <c r="D10" s="163" t="s">
        <v>56</v>
      </c>
      <c r="E10" s="158"/>
      <c r="F10" s="178"/>
      <c r="G10" s="158"/>
      <c r="H10" s="159"/>
      <c r="I10" s="159"/>
      <c r="J10" s="159"/>
      <c r="K10" s="158"/>
      <c r="L10" s="185"/>
      <c r="M10" s="159"/>
      <c r="N10" s="159"/>
      <c r="O10" s="158"/>
      <c r="P10" s="159"/>
      <c r="Q10" s="159"/>
      <c r="R10" s="159"/>
      <c r="S10" s="149"/>
      <c r="AJ10"/>
      <c r="AK10"/>
      <c r="AL10"/>
      <c r="AM10"/>
      <c r="AN10"/>
      <c r="AO10"/>
    </row>
    <row r="11" spans="2:41" s="1" customFormat="1" ht="16.5" customHeight="1" outlineLevel="2" x14ac:dyDescent="0.45">
      <c r="B11" s="140" t="s">
        <v>60</v>
      </c>
      <c r="C11" s="150">
        <f>uc!E20</f>
        <v>5000</v>
      </c>
      <c r="D11" s="162" t="s">
        <v>61</v>
      </c>
      <c r="E11" s="158"/>
      <c r="F11" s="192"/>
      <c r="G11" s="158"/>
      <c r="H11" s="162"/>
      <c r="I11" s="162"/>
      <c r="J11" s="162"/>
      <c r="K11" s="158"/>
      <c r="L11" s="193"/>
      <c r="M11" s="162"/>
      <c r="N11" s="162"/>
      <c r="O11" s="158"/>
      <c r="P11" s="162"/>
      <c r="Q11" s="162"/>
      <c r="R11" s="162"/>
      <c r="S11" s="141"/>
      <c r="AJ11"/>
      <c r="AK11"/>
      <c r="AL11"/>
      <c r="AM11"/>
      <c r="AN11"/>
      <c r="AO11"/>
    </row>
    <row r="12" spans="2:41" s="1" customFormat="1" ht="14.5" customHeight="1" outlineLevel="2" x14ac:dyDescent="0.35">
      <c r="B12" s="145"/>
      <c r="C12" s="159"/>
      <c r="D12" s="159"/>
      <c r="E12" s="158"/>
      <c r="F12" s="189"/>
      <c r="G12" s="158"/>
      <c r="H12" s="159"/>
      <c r="I12" s="159"/>
      <c r="J12" s="159"/>
      <c r="K12" s="158"/>
      <c r="L12" s="204"/>
      <c r="M12" s="148"/>
      <c r="N12" s="148"/>
      <c r="O12" s="158"/>
      <c r="P12" s="159"/>
      <c r="Q12" s="159"/>
      <c r="R12" s="159"/>
      <c r="S12" s="149"/>
      <c r="AJ12"/>
      <c r="AK12"/>
      <c r="AL12"/>
      <c r="AM12"/>
      <c r="AN12"/>
      <c r="AO12"/>
    </row>
    <row r="13" spans="2:41" s="1" customFormat="1" ht="17.5" outlineLevel="1" thickBot="1" x14ac:dyDescent="0.45">
      <c r="B13" s="265" t="s">
        <v>62</v>
      </c>
      <c r="C13" s="266"/>
      <c r="D13" s="266"/>
      <c r="E13" s="266"/>
      <c r="F13" s="266"/>
      <c r="G13" s="266"/>
      <c r="H13" s="266"/>
      <c r="I13" s="266"/>
      <c r="J13" s="266"/>
      <c r="K13" s="266"/>
      <c r="L13" s="266"/>
      <c r="M13" s="266"/>
      <c r="N13" s="266"/>
      <c r="O13" s="266"/>
      <c r="P13" s="266"/>
      <c r="Q13" s="266"/>
      <c r="R13" s="266"/>
      <c r="S13" s="267"/>
      <c r="AJ13"/>
      <c r="AK13"/>
      <c r="AL13"/>
      <c r="AM13"/>
      <c r="AN13"/>
      <c r="AO13"/>
    </row>
    <row r="14" spans="2:41" s="1" customFormat="1" ht="15.5" outlineLevel="2" thickTop="1" thickBot="1" x14ac:dyDescent="0.4">
      <c r="B14" s="262" t="s">
        <v>63</v>
      </c>
      <c r="C14" s="263"/>
      <c r="D14" s="263"/>
      <c r="E14" s="263"/>
      <c r="F14" s="263"/>
      <c r="G14" s="263"/>
      <c r="H14" s="263"/>
      <c r="I14" s="263"/>
      <c r="J14" s="263"/>
      <c r="K14" s="263"/>
      <c r="L14" s="263"/>
      <c r="M14" s="263"/>
      <c r="N14" s="263"/>
      <c r="O14" s="263"/>
      <c r="P14" s="263"/>
      <c r="Q14" s="263"/>
      <c r="R14" s="263"/>
      <c r="S14" s="264"/>
      <c r="AJ14"/>
      <c r="AK14"/>
      <c r="AL14"/>
      <c r="AM14"/>
      <c r="AN14"/>
      <c r="AO14"/>
    </row>
    <row r="15" spans="2:41" s="1" customFormat="1" ht="16.5" outlineLevel="3" x14ac:dyDescent="0.35">
      <c r="B15" s="29" t="s">
        <v>12</v>
      </c>
      <c r="C15" s="165">
        <f>Summary!$C$6/1000000</f>
        <v>1.5E-6</v>
      </c>
      <c r="D15" s="157" t="s">
        <v>64</v>
      </c>
      <c r="E15" s="158"/>
      <c r="F15" s="152" t="s">
        <v>14</v>
      </c>
      <c r="G15" s="158"/>
      <c r="H15" s="157"/>
      <c r="I15" s="157"/>
      <c r="J15" s="157"/>
      <c r="K15" s="158"/>
      <c r="L15" s="203">
        <f>Summary!M6/1000</f>
        <v>0.05</v>
      </c>
      <c r="M15" s="166">
        <f>Summary!N6/1000</f>
        <v>0.09</v>
      </c>
      <c r="N15" s="166">
        <f>Summary!O6/1000</f>
        <v>0.05</v>
      </c>
      <c r="O15" s="158"/>
      <c r="P15" s="157"/>
      <c r="Q15" s="157"/>
      <c r="R15" s="157"/>
      <c r="S15" s="31" t="s">
        <v>24</v>
      </c>
      <c r="AJ15"/>
      <c r="AK15"/>
      <c r="AL15"/>
      <c r="AM15"/>
      <c r="AN15"/>
      <c r="AO15"/>
    </row>
    <row r="16" spans="2:41" s="1" customFormat="1" ht="16.5" outlineLevel="3" x14ac:dyDescent="0.45">
      <c r="B16" s="25" t="s">
        <v>65</v>
      </c>
      <c r="C16" s="167">
        <f>Summary!$C$7/1000</f>
        <v>0.11600000000000001</v>
      </c>
      <c r="D16" s="168" t="s">
        <v>56</v>
      </c>
      <c r="E16" s="158"/>
      <c r="F16" s="180" t="s">
        <v>144</v>
      </c>
      <c r="G16" s="158"/>
      <c r="H16" s="169"/>
      <c r="I16" s="169"/>
      <c r="J16" s="169"/>
      <c r="K16" s="158"/>
      <c r="L16" s="191">
        <f>Summary!M7/1000000</f>
        <v>2.1999999999999999E-5</v>
      </c>
      <c r="M16" s="165">
        <f>Summary!N7/1000000</f>
        <v>2.1999999999999999E-5</v>
      </c>
      <c r="N16" s="165">
        <f>Summary!O7/1000000</f>
        <v>2.1999999999999999E-5</v>
      </c>
      <c r="O16" s="158"/>
      <c r="P16" s="169"/>
      <c r="Q16" s="169"/>
      <c r="R16" s="169"/>
      <c r="S16" s="27" t="s">
        <v>66</v>
      </c>
      <c r="AJ16"/>
      <c r="AK16"/>
      <c r="AL16"/>
      <c r="AM16"/>
      <c r="AN16"/>
      <c r="AO16"/>
    </row>
    <row r="17" spans="2:41" s="131" customFormat="1" ht="16.5" outlineLevel="3" x14ac:dyDescent="0.35">
      <c r="B17" s="140"/>
      <c r="C17" s="162"/>
      <c r="D17" s="160"/>
      <c r="E17" s="158"/>
      <c r="F17" s="192" t="s">
        <v>143</v>
      </c>
      <c r="G17" s="158"/>
      <c r="H17" s="162"/>
      <c r="I17" s="162"/>
      <c r="J17" s="162"/>
      <c r="K17" s="158"/>
      <c r="L17" s="191">
        <f>Summary!M8/1000000</f>
        <v>0</v>
      </c>
      <c r="M17" s="165">
        <f>Summary!N8/1000000</f>
        <v>0</v>
      </c>
      <c r="N17" s="165">
        <f>Summary!O8/1000000</f>
        <v>0</v>
      </c>
      <c r="O17" s="158"/>
      <c r="P17" s="162"/>
      <c r="Q17" s="162"/>
      <c r="R17" s="162"/>
      <c r="S17" s="141" t="s">
        <v>66</v>
      </c>
      <c r="AJ17"/>
      <c r="AK17"/>
      <c r="AL17"/>
      <c r="AM17"/>
      <c r="AN17"/>
      <c r="AO17"/>
    </row>
    <row r="18" spans="2:41" s="1" customFormat="1" ht="15" outlineLevel="2" thickBot="1" x14ac:dyDescent="0.4">
      <c r="B18" s="252" t="s">
        <v>67</v>
      </c>
      <c r="C18" s="253"/>
      <c r="D18" s="253"/>
      <c r="E18" s="253"/>
      <c r="F18" s="253"/>
      <c r="G18" s="253"/>
      <c r="H18" s="253"/>
      <c r="I18" s="253"/>
      <c r="J18" s="253"/>
      <c r="K18" s="253"/>
      <c r="L18" s="253"/>
      <c r="M18" s="253"/>
      <c r="N18" s="253"/>
      <c r="O18" s="253"/>
      <c r="P18" s="253"/>
      <c r="Q18" s="253"/>
      <c r="R18" s="253"/>
      <c r="S18" s="254"/>
      <c r="AJ18"/>
      <c r="AK18"/>
      <c r="AL18"/>
      <c r="AM18"/>
      <c r="AN18"/>
      <c r="AO18"/>
    </row>
    <row r="19" spans="2:41" s="1" customFormat="1" ht="16.5" customHeight="1" outlineLevel="3" x14ac:dyDescent="0.35">
      <c r="B19" s="43" t="s">
        <v>68</v>
      </c>
      <c r="C19" s="170">
        <f>IF(Summary!$C$9=uc!$D$31,uc!E31,IF(Summary!$C$9=uc!$D$32,uc!E32,"ERR"))</f>
        <v>0.02</v>
      </c>
      <c r="D19" s="157" t="s">
        <v>31</v>
      </c>
      <c r="E19" s="158"/>
      <c r="F19" s="152" t="s">
        <v>69</v>
      </c>
      <c r="G19" s="158"/>
      <c r="H19" s="157"/>
      <c r="I19" s="157"/>
      <c r="J19" s="157"/>
      <c r="K19" s="158"/>
      <c r="L19" s="186">
        <f>VOUT_SBB0*VOUT_Accuracy</f>
        <v>6.6000000000000003E-2</v>
      </c>
      <c r="M19" s="171">
        <f>VOUT_SBB1*VOUT_Accuracy</f>
        <v>3.6000000000000004E-2</v>
      </c>
      <c r="N19" s="171">
        <f>VOUT_SBB2*VOUT_Accuracy</f>
        <v>0.1</v>
      </c>
      <c r="O19" s="158"/>
      <c r="P19" s="157"/>
      <c r="Q19" s="157"/>
      <c r="R19" s="157"/>
      <c r="S19" s="32" t="s">
        <v>10</v>
      </c>
      <c r="AJ19"/>
      <c r="AK19"/>
      <c r="AL19"/>
      <c r="AM19"/>
      <c r="AN19"/>
      <c r="AO19"/>
    </row>
    <row r="20" spans="2:41" s="1" customFormat="1" ht="15" outlineLevel="2" thickBot="1" x14ac:dyDescent="0.4">
      <c r="B20" s="252" t="s">
        <v>70</v>
      </c>
      <c r="C20" s="253"/>
      <c r="D20" s="253"/>
      <c r="E20" s="253"/>
      <c r="F20" s="253"/>
      <c r="G20" s="253"/>
      <c r="H20" s="253"/>
      <c r="I20" s="253"/>
      <c r="J20" s="253"/>
      <c r="K20" s="253"/>
      <c r="L20" s="253"/>
      <c r="M20" s="253"/>
      <c r="N20" s="253"/>
      <c r="O20" s="253"/>
      <c r="P20" s="253"/>
      <c r="Q20" s="253"/>
      <c r="R20" s="253"/>
      <c r="S20" s="254"/>
      <c r="AJ20"/>
      <c r="AK20"/>
      <c r="AL20"/>
      <c r="AM20"/>
      <c r="AN20"/>
      <c r="AO20"/>
    </row>
    <row r="21" spans="2:41" s="1" customFormat="1" outlineLevel="3" x14ac:dyDescent="0.35">
      <c r="B21" s="29"/>
      <c r="C21" s="157"/>
      <c r="D21" s="157"/>
      <c r="E21" s="158"/>
      <c r="F21" s="188" t="s">
        <v>25</v>
      </c>
      <c r="G21" s="158"/>
      <c r="H21" s="82"/>
      <c r="I21" s="83"/>
      <c r="J21" s="83"/>
      <c r="K21" s="158"/>
      <c r="L21" s="186" t="str">
        <f>IF(Summary!M12=uc!$M$25,IF(VIN-VOUT_SBB0&gt;1,uc!$M$26,IF(VOUT_SBB0-VIN&gt;1,uc!$M$28,uc!$M$27)),Summary!M12)</f>
        <v>Buck-Boost</v>
      </c>
      <c r="M21" s="171" t="str">
        <f>IF(Summary!N12=uc!$M$25,IF(VIN-VOUT_SBB1&gt;1,uc!$M$26,IF(VOUT_SBB1-VIN&gt;1,uc!$M$28,uc!$M$27)),Summary!N12)</f>
        <v>Buck</v>
      </c>
      <c r="N21" s="171" t="str">
        <f>IF(Summary!O12=uc!$M$25,IF(VIN-VOUT_SBB2&gt;1,uc!$M$26,IF(VOUT_SBB2-VIN&gt;1,uc!$M$28,uc!$M$27)),Summary!O12)</f>
        <v>Boost</v>
      </c>
      <c r="O21" s="158"/>
      <c r="P21" s="84"/>
      <c r="Q21" s="83"/>
      <c r="R21" s="83"/>
      <c r="S21" s="81"/>
      <c r="AJ21"/>
      <c r="AK21"/>
      <c r="AL21"/>
      <c r="AM21"/>
      <c r="AN21"/>
      <c r="AO21"/>
    </row>
    <row r="22" spans="2:41" s="1" customFormat="1" ht="15" outlineLevel="2" thickBot="1" x14ac:dyDescent="0.4">
      <c r="B22" s="252" t="s">
        <v>71</v>
      </c>
      <c r="C22" s="253"/>
      <c r="D22" s="253"/>
      <c r="E22" s="253"/>
      <c r="F22" s="253"/>
      <c r="G22" s="253"/>
      <c r="H22" s="253"/>
      <c r="I22" s="253"/>
      <c r="J22" s="253"/>
      <c r="K22" s="253"/>
      <c r="L22" s="253"/>
      <c r="M22" s="253"/>
      <c r="N22" s="253"/>
      <c r="O22" s="253"/>
      <c r="P22" s="253"/>
      <c r="Q22" s="253"/>
      <c r="R22" s="253"/>
      <c r="S22" s="254"/>
      <c r="AJ22"/>
      <c r="AK22"/>
      <c r="AL22"/>
      <c r="AM22"/>
      <c r="AN22"/>
      <c r="AO22"/>
    </row>
    <row r="23" spans="2:41" s="1" customFormat="1" ht="16.5" outlineLevel="3" x14ac:dyDescent="0.35">
      <c r="B23" s="29"/>
      <c r="C23" s="157"/>
      <c r="D23" s="157"/>
      <c r="E23" s="158"/>
      <c r="F23" s="152" t="s">
        <v>72</v>
      </c>
      <c r="G23" s="158"/>
      <c r="H23" s="157"/>
      <c r="I23" s="157"/>
      <c r="J23" s="157"/>
      <c r="K23" s="158"/>
      <c r="L23" s="191">
        <f>IF(ISNUMBER(Summary!M8),L17,COUT_SBB0*(-0.000007*POWER(VOUT_SBB0,6)+0.0003*POWER(VOUT_SBB0,5)-0.0044*POWER(VOUT_SBB0,4)+0.0307*POWER(VOUT_SBB0,3)-0.0801*POWER(VOUT_SBB0,2)-0.1365*VOUT_SBB0+1.0597))</f>
        <v>9.3893263907740012E-6</v>
      </c>
      <c r="M23" s="165">
        <f>IF(ISNUMBER(Summary!N8),M17,COUT_SBB1*(-0.000007*POWER(VOUT_SBB1,6)+0.0003*POWER(VOUT_SBB1,5)-0.0044*POWER(VOUT_SBB1,4)+0.0307*POWER(VOUT_SBB1,3)-0.0801*POWER(VOUT_SBB1,2)-0.1365*VOUT_SBB1+1.0597))</f>
        <v>1.5240710725503999E-5</v>
      </c>
      <c r="N23" s="165">
        <f>IF(ISNUMBER(Summary!O8),N17,COUT_SBB2*(-0.000007*POWER(VOUT_SBB2,6)+0.0003*POWER(VOUT_SBB2,5)-0.0044*POWER(VOUT_SBB2,4)+0.0307*POWER(VOUT_SBB2,3)-0.0801*POWER(VOUT_SBB2,2)-0.1365*VOUT_SBB2+1.0597))</f>
        <v>6.387150000000008E-6</v>
      </c>
      <c r="O23" s="158"/>
      <c r="P23" s="157"/>
      <c r="Q23" s="157"/>
      <c r="R23" s="157"/>
      <c r="S23" s="32" t="s">
        <v>66</v>
      </c>
      <c r="AJ23"/>
      <c r="AK23"/>
      <c r="AL23"/>
      <c r="AM23"/>
      <c r="AN23"/>
      <c r="AO23"/>
    </row>
    <row r="24" spans="2:41" s="1" customFormat="1" ht="15" outlineLevel="2" thickBot="1" x14ac:dyDescent="0.4">
      <c r="B24" s="252" t="s">
        <v>73</v>
      </c>
      <c r="C24" s="253"/>
      <c r="D24" s="253"/>
      <c r="E24" s="253"/>
      <c r="F24" s="253"/>
      <c r="G24" s="253"/>
      <c r="H24" s="253"/>
      <c r="I24" s="253"/>
      <c r="J24" s="253"/>
      <c r="K24" s="253"/>
      <c r="L24" s="253"/>
      <c r="M24" s="253"/>
      <c r="N24" s="253"/>
      <c r="O24" s="253"/>
      <c r="P24" s="253"/>
      <c r="Q24" s="253"/>
      <c r="R24" s="253"/>
      <c r="S24" s="254"/>
      <c r="AJ24"/>
      <c r="AK24"/>
      <c r="AL24"/>
      <c r="AM24"/>
      <c r="AN24"/>
      <c r="AO24"/>
    </row>
    <row r="25" spans="2:41" s="1" customFormat="1" ht="16.5" outlineLevel="3" x14ac:dyDescent="0.45">
      <c r="B25" s="276" t="s">
        <v>27</v>
      </c>
      <c r="C25" s="277"/>
      <c r="D25" s="277"/>
      <c r="E25" s="172"/>
      <c r="F25" s="182" t="s">
        <v>74</v>
      </c>
      <c r="G25" s="172"/>
      <c r="H25" s="153"/>
      <c r="I25" s="153"/>
      <c r="J25" s="153"/>
      <c r="K25" s="172"/>
      <c r="L25" s="173">
        <f>SUM(rL_DCR,rMinH_,rMoutH_SBB0)</f>
        <v>0.26310800000000001</v>
      </c>
      <c r="M25" s="173">
        <f>SUM(rL_DCR,rMinH_,rMoutH_SBB1)</f>
        <v>0.26638680000000003</v>
      </c>
      <c r="N25" s="173">
        <f>SUM(rL_DCR,rMinH_,rMoutH_SBB2)</f>
        <v>0.267071</v>
      </c>
      <c r="O25" s="172"/>
      <c r="P25" s="153"/>
      <c r="Q25" s="153"/>
      <c r="R25" s="153"/>
      <c r="S25" s="32" t="s">
        <v>56</v>
      </c>
      <c r="AJ25"/>
      <c r="AK25"/>
      <c r="AL25"/>
      <c r="AM25"/>
      <c r="AN25"/>
      <c r="AO25"/>
    </row>
    <row r="26" spans="2:41" s="1" customFormat="1" ht="16.5" outlineLevel="3" x14ac:dyDescent="0.35">
      <c r="B26" s="278"/>
      <c r="C26" s="279"/>
      <c r="D26" s="279"/>
      <c r="E26" s="158"/>
      <c r="F26" s="180" t="s">
        <v>75</v>
      </c>
      <c r="G26" s="158"/>
      <c r="H26" s="169"/>
      <c r="I26" s="169"/>
      <c r="J26" s="169"/>
      <c r="K26" s="158"/>
      <c r="L26" s="171">
        <f>SUM(rL_DCR,rMinL_,rMoutH_SBB0)</f>
        <v>0.24035416000000001</v>
      </c>
      <c r="M26" s="171">
        <f>SUM(rL_DCR,rMinL_,rMoutH_SBB1)</f>
        <v>0.24363296000000001</v>
      </c>
      <c r="N26" s="171">
        <f>SUM(rL_DCR,rMinL_,rMoutH_SBB2)</f>
        <v>0.24431716000000003</v>
      </c>
      <c r="O26" s="158"/>
      <c r="P26" s="169"/>
      <c r="Q26" s="169"/>
      <c r="R26" s="169"/>
      <c r="S26" s="28" t="s">
        <v>56</v>
      </c>
      <c r="AJ26"/>
      <c r="AK26"/>
      <c r="AL26"/>
      <c r="AM26"/>
      <c r="AN26"/>
      <c r="AO26"/>
    </row>
    <row r="27" spans="2:41" s="1" customFormat="1" ht="16.5" outlineLevel="3" x14ac:dyDescent="0.45">
      <c r="B27" s="29" t="s">
        <v>76</v>
      </c>
      <c r="C27" s="171">
        <f>SUM(rL_DCR,rMinH_,rMoutL_)</f>
        <v>0.25062956000000003</v>
      </c>
      <c r="D27" s="174" t="s">
        <v>56</v>
      </c>
      <c r="E27" s="158"/>
      <c r="F27" s="209" t="s">
        <v>77</v>
      </c>
      <c r="G27" s="158"/>
      <c r="H27" s="157"/>
      <c r="I27" s="157"/>
      <c r="J27" s="157"/>
      <c r="K27" s="158"/>
      <c r="L27" s="171">
        <f>SUM(rL_DCR,rMinL_,rMoutH_SBB0)</f>
        <v>0.24035416000000001</v>
      </c>
      <c r="M27" s="171">
        <f>SUM(rL_DCR,rMinL_,rMoutH_SBB1)</f>
        <v>0.24363296000000001</v>
      </c>
      <c r="N27" s="171">
        <f>SUM(rL_DCR,rMinL_,rMoutH_SBB2)</f>
        <v>0.24431716000000003</v>
      </c>
      <c r="O27" s="158"/>
      <c r="P27" s="157"/>
      <c r="Q27" s="157"/>
      <c r="R27" s="157"/>
      <c r="S27" s="32" t="s">
        <v>56</v>
      </c>
      <c r="AJ27"/>
      <c r="AK27"/>
      <c r="AL27"/>
      <c r="AM27"/>
      <c r="AN27"/>
      <c r="AO27"/>
    </row>
    <row r="28" spans="2:41" s="1" customFormat="1" ht="16.5" outlineLevel="3" x14ac:dyDescent="0.45">
      <c r="B28" s="25" t="s">
        <v>135</v>
      </c>
      <c r="C28" s="171">
        <f>SUM(rL_DCR,rMinH_,rMoutL_)</f>
        <v>0.25062956000000003</v>
      </c>
      <c r="D28" s="168" t="s">
        <v>56</v>
      </c>
      <c r="E28" s="158"/>
      <c r="F28" s="210" t="s">
        <v>136</v>
      </c>
      <c r="G28" s="158"/>
      <c r="H28" s="169"/>
      <c r="I28" s="169"/>
      <c r="J28" s="169"/>
      <c r="K28" s="158"/>
      <c r="L28" s="171">
        <f>SUM(rL_DCR,rMinH_,rMoutH_SBB0)</f>
        <v>0.26310800000000001</v>
      </c>
      <c r="M28" s="171">
        <f>SUM(rL_DCR,rMinH_,rMoutH_SBB1)</f>
        <v>0.26638680000000003</v>
      </c>
      <c r="N28" s="171">
        <f>SUM(rL_DCR,rMinH_,rMoutH_SBB2)</f>
        <v>0.267071</v>
      </c>
      <c r="O28" s="158"/>
      <c r="P28" s="169"/>
      <c r="Q28" s="169"/>
      <c r="R28" s="169"/>
      <c r="S28" s="28" t="s">
        <v>56</v>
      </c>
      <c r="AJ28"/>
      <c r="AK28"/>
      <c r="AL28"/>
      <c r="AM28"/>
      <c r="AN28"/>
      <c r="AO28"/>
    </row>
    <row r="29" spans="2:41" s="1" customFormat="1" ht="16.5" outlineLevel="3" x14ac:dyDescent="0.45">
      <c r="B29" s="29"/>
      <c r="C29" s="157"/>
      <c r="D29" s="157"/>
      <c r="E29" s="158"/>
      <c r="F29" s="182" t="s">
        <v>78</v>
      </c>
      <c r="G29" s="158"/>
      <c r="H29" s="157"/>
      <c r="I29" s="157"/>
      <c r="J29" s="157"/>
      <c r="K29" s="158"/>
      <c r="L29" s="171">
        <f>IF(L$21=uc!$M$26,L25,IF(L$21=uc!$M$27,$C$27,IF(L$21=uc!$M$28,$C$28,"ERR")))</f>
        <v>0.25062956000000003</v>
      </c>
      <c r="M29" s="171">
        <f>IF(M$21=uc!$M$26,M25,IF(M$21=uc!$M$27,$C$27,IF(M$21=uc!$M$28,$C$28,"ERR")))</f>
        <v>0.26638680000000003</v>
      </c>
      <c r="N29" s="171">
        <f>IF(N$21=uc!$M$26,N25,IF(N$21=uc!$M$27,$C$27,IF(N$21=uc!$M$28,$C$28,"ERR")))</f>
        <v>0.25062956000000003</v>
      </c>
      <c r="O29" s="158"/>
      <c r="P29" s="157"/>
      <c r="Q29" s="157"/>
      <c r="R29" s="157"/>
      <c r="S29" s="32" t="s">
        <v>56</v>
      </c>
      <c r="AJ29"/>
      <c r="AK29"/>
      <c r="AL29"/>
      <c r="AM29"/>
      <c r="AN29"/>
      <c r="AO29"/>
    </row>
    <row r="30" spans="2:41" s="1" customFormat="1" ht="16.5" outlineLevel="3" x14ac:dyDescent="0.35">
      <c r="B30" s="25"/>
      <c r="C30" s="169"/>
      <c r="D30" s="168"/>
      <c r="E30" s="158"/>
      <c r="F30" s="180" t="s">
        <v>79</v>
      </c>
      <c r="G30" s="158"/>
      <c r="H30" s="169"/>
      <c r="I30" s="169"/>
      <c r="J30" s="169"/>
      <c r="K30" s="158"/>
      <c r="L30" s="171">
        <f>IF(L$21=uc!$M$26,L26,IF(L$21=uc!$M$27,L27,IF(L$21=uc!$M$28,L28,"ERR")))</f>
        <v>0.24035416000000001</v>
      </c>
      <c r="M30" s="171">
        <f>IF(M$21=uc!$M$26,M26,IF(M$21=uc!$M$27,M27,IF(M$21=uc!$M$28,M28,"ERR")))</f>
        <v>0.24363296000000001</v>
      </c>
      <c r="N30" s="171">
        <f>IF(N$21=uc!$M$26,N26,IF(N$21=uc!$M$27,N27,IF(N$21=uc!$M$28,N28,"ERR")))</f>
        <v>0.267071</v>
      </c>
      <c r="O30" s="158"/>
      <c r="P30" s="169"/>
      <c r="Q30" s="169"/>
      <c r="R30" s="169"/>
      <c r="S30" s="28" t="s">
        <v>56</v>
      </c>
      <c r="AJ30"/>
      <c r="AK30"/>
      <c r="AL30"/>
      <c r="AM30"/>
      <c r="AN30"/>
      <c r="AO30"/>
    </row>
    <row r="31" spans="2:41" s="131" customFormat="1" ht="15" outlineLevel="2" thickBot="1" x14ac:dyDescent="0.4">
      <c r="B31" s="252" t="s">
        <v>82</v>
      </c>
      <c r="C31" s="253"/>
      <c r="D31" s="253"/>
      <c r="E31" s="253"/>
      <c r="F31" s="253"/>
      <c r="G31" s="253"/>
      <c r="H31" s="253"/>
      <c r="I31" s="253"/>
      <c r="J31" s="253"/>
      <c r="K31" s="253"/>
      <c r="L31" s="253"/>
      <c r="M31" s="253"/>
      <c r="N31" s="253"/>
      <c r="O31" s="253"/>
      <c r="P31" s="253"/>
      <c r="Q31" s="253"/>
      <c r="R31" s="253"/>
      <c r="S31" s="254"/>
      <c r="AJ31"/>
      <c r="AK31"/>
      <c r="AL31"/>
      <c r="AM31"/>
      <c r="AN31"/>
      <c r="AO31"/>
    </row>
    <row r="32" spans="2:41" s="131" customFormat="1" ht="16.5" outlineLevel="3" x14ac:dyDescent="0.35">
      <c r="B32" s="29"/>
      <c r="C32" s="157"/>
      <c r="D32" s="157"/>
      <c r="E32" s="158"/>
      <c r="F32" s="152" t="s">
        <v>169</v>
      </c>
      <c r="G32" s="158"/>
      <c r="H32" s="157"/>
      <c r="I32" s="157"/>
      <c r="J32" s="157"/>
      <c r="K32" s="158"/>
      <c r="L32" s="186">
        <f>IPeak_SBB0/SQRT(3)</f>
        <v>0.57735026918962584</v>
      </c>
      <c r="M32" s="171">
        <f>IPeak_SBB1/SQRT(3)</f>
        <v>0.28867513459481292</v>
      </c>
      <c r="N32" s="171">
        <f>IPeak_SBB2/SQRT(3)</f>
        <v>0.43301270189221935</v>
      </c>
      <c r="O32" s="158"/>
      <c r="P32" s="157"/>
      <c r="Q32" s="157"/>
      <c r="R32" s="157"/>
      <c r="S32" s="32" t="s">
        <v>24</v>
      </c>
      <c r="AJ32"/>
      <c r="AK32"/>
      <c r="AL32"/>
      <c r="AM32"/>
      <c r="AN32"/>
      <c r="AO32"/>
    </row>
    <row r="33" spans="2:41" s="131" customFormat="1" ht="16.5" outlineLevel="3" x14ac:dyDescent="0.45">
      <c r="B33" s="59"/>
      <c r="C33" s="159"/>
      <c r="D33" s="159"/>
      <c r="E33" s="158"/>
      <c r="F33" s="185" t="s">
        <v>168</v>
      </c>
      <c r="G33" s="158"/>
      <c r="H33" s="159"/>
      <c r="I33" s="159"/>
      <c r="J33" s="159"/>
      <c r="K33" s="158"/>
      <c r="L33" s="186">
        <f>IPeak_SBB0</f>
        <v>1</v>
      </c>
      <c r="M33" s="171">
        <f>IPeak_SBB1</f>
        <v>0.5</v>
      </c>
      <c r="N33" s="171">
        <f>IPeak_SBB2</f>
        <v>0.75</v>
      </c>
      <c r="O33" s="158"/>
      <c r="P33" s="159"/>
      <c r="Q33" s="159"/>
      <c r="R33" s="159"/>
      <c r="S33" s="60" t="s">
        <v>24</v>
      </c>
      <c r="AJ33"/>
      <c r="AK33"/>
      <c r="AL33"/>
      <c r="AM33"/>
      <c r="AN33"/>
      <c r="AO33"/>
    </row>
    <row r="34" spans="2:41" s="131" customFormat="1" ht="15" outlineLevel="2" thickBot="1" x14ac:dyDescent="0.4">
      <c r="B34" s="252" t="s">
        <v>201</v>
      </c>
      <c r="C34" s="253"/>
      <c r="D34" s="253"/>
      <c r="E34" s="253"/>
      <c r="F34" s="253"/>
      <c r="G34" s="253"/>
      <c r="H34" s="253"/>
      <c r="I34" s="253"/>
      <c r="J34" s="253"/>
      <c r="K34" s="253"/>
      <c r="L34" s="253"/>
      <c r="M34" s="253"/>
      <c r="N34" s="253"/>
      <c r="O34" s="253"/>
      <c r="P34" s="253"/>
      <c r="Q34" s="253"/>
      <c r="R34" s="253"/>
      <c r="S34" s="254"/>
      <c r="AJ34"/>
      <c r="AK34"/>
      <c r="AL34"/>
      <c r="AM34"/>
      <c r="AN34"/>
      <c r="AO34"/>
    </row>
    <row r="35" spans="2:41" s="131" customFormat="1" ht="16.5" outlineLevel="3" x14ac:dyDescent="0.45">
      <c r="B35" s="42"/>
      <c r="C35" s="153"/>
      <c r="D35" s="153"/>
      <c r="E35" s="172"/>
      <c r="F35" s="188" t="s">
        <v>146</v>
      </c>
      <c r="G35" s="172"/>
      <c r="H35" s="153"/>
      <c r="I35" s="153"/>
      <c r="J35" s="153"/>
      <c r="K35" s="172"/>
      <c r="L35" s="187">
        <f>VIN-Irms_SBB0*rMinH_</f>
        <v>3.6623660000531437</v>
      </c>
      <c r="M35" s="175">
        <f>VIN-Irms_SBB1*rMinH_</f>
        <v>3.6811830000265719</v>
      </c>
      <c r="N35" s="175">
        <f>VIN-Irms_SBB2*rMinH_</f>
        <v>3.6717745000398576</v>
      </c>
      <c r="O35" s="172"/>
      <c r="P35" s="153"/>
      <c r="Q35" s="153"/>
      <c r="R35" s="153"/>
      <c r="S35" s="32" t="s">
        <v>10</v>
      </c>
      <c r="AJ35"/>
      <c r="AK35"/>
      <c r="AL35"/>
      <c r="AM35"/>
      <c r="AN35"/>
      <c r="AO35"/>
    </row>
    <row r="36" spans="2:41" s="131" customFormat="1" ht="16.5" outlineLevel="3" x14ac:dyDescent="0.35">
      <c r="B36" s="25"/>
      <c r="C36" s="169"/>
      <c r="D36" s="168"/>
      <c r="E36" s="158"/>
      <c r="F36" s="180" t="s">
        <v>147</v>
      </c>
      <c r="G36" s="158"/>
      <c r="H36" s="219">
        <f>VOUT_SBB0_MIN+Irms_SBB0*rMoutH_SBB0</f>
        <v>3.281298843453091</v>
      </c>
      <c r="I36" s="219">
        <f>VOUT_SBB1_MIN+Irms_SBB1*rMoutH_SBB1</f>
        <v>1.7885959297578549</v>
      </c>
      <c r="J36" s="219">
        <f>VOUT_SBB2_MIN+Irms_SBB2*rMoutH_SBB2</f>
        <v>4.9371901619274174</v>
      </c>
      <c r="K36" s="158"/>
      <c r="L36" s="187">
        <f>VOUT_SBB0+Irms_SBB0*rMoutH_SBB0</f>
        <v>3.3472988434530908</v>
      </c>
      <c r="M36" s="176">
        <f>VOUT_SBB1+Irms_SBB1*rMoutH_SBB1</f>
        <v>1.8245959297578549</v>
      </c>
      <c r="N36" s="176">
        <f>VOUT_SBB2+Irms_SBB2*rMoutH_SBB2</f>
        <v>5.0371901619274171</v>
      </c>
      <c r="O36" s="158"/>
      <c r="P36" s="219">
        <f>VOUT_SBB0_MAX+Irms_SBB0*rMoutH_SBB0</f>
        <v>3.4132988434530906</v>
      </c>
      <c r="Q36" s="219">
        <f>VOUT_SBB1_MAX+Irms_SBB1*rMoutH_SBB1</f>
        <v>1.8605959297578549</v>
      </c>
      <c r="R36" s="219">
        <f>VOUT_SBB2_MAX+Irms_SBB2*rMoutH_SBB2</f>
        <v>5.1371901619274167</v>
      </c>
      <c r="S36" s="28" t="s">
        <v>10</v>
      </c>
      <c r="AJ36"/>
      <c r="AK36"/>
      <c r="AL36"/>
      <c r="AM36"/>
      <c r="AN36"/>
      <c r="AO36"/>
    </row>
    <row r="37" spans="2:41" s="131" customFormat="1" ht="16.5" outlineLevel="3" x14ac:dyDescent="0.35">
      <c r="B37" s="140"/>
      <c r="C37" s="162"/>
      <c r="D37" s="160"/>
      <c r="E37" s="158"/>
      <c r="F37" s="179" t="s">
        <v>150</v>
      </c>
      <c r="G37" s="158"/>
      <c r="H37" s="157"/>
      <c r="I37" s="157"/>
      <c r="J37" s="157"/>
      <c r="K37" s="158"/>
      <c r="L37" s="187">
        <f>-Irms_SBB0*rMinL_</f>
        <v>-2.4497064297758896E-2</v>
      </c>
      <c r="M37" s="176">
        <f>-Irms_SBB1*rMinL_</f>
        <v>-1.2248532148879448E-2</v>
      </c>
      <c r="N37" s="176">
        <f>-Irms_SBB2*rMinL_</f>
        <v>-1.8372798223319171E-2</v>
      </c>
      <c r="O37" s="158"/>
      <c r="P37" s="157"/>
      <c r="Q37" s="157"/>
      <c r="R37" s="157"/>
      <c r="S37" s="32" t="s">
        <v>10</v>
      </c>
      <c r="AJ37"/>
      <c r="AK37"/>
      <c r="AL37"/>
      <c r="AM37"/>
      <c r="AN37"/>
      <c r="AO37"/>
    </row>
    <row r="38" spans="2:41" s="131" customFormat="1" ht="16.5" outlineLevel="3" x14ac:dyDescent="0.35">
      <c r="B38" s="59"/>
      <c r="C38" s="159"/>
      <c r="D38" s="163"/>
      <c r="E38" s="158"/>
      <c r="F38" s="180" t="s">
        <v>148</v>
      </c>
      <c r="G38" s="158"/>
      <c r="H38" s="169"/>
      <c r="I38" s="169"/>
      <c r="J38" s="169"/>
      <c r="K38" s="158"/>
      <c r="L38" s="187">
        <f>Irms_SBB0*rMoutL_</f>
        <v>4.0094412760024317E-2</v>
      </c>
      <c r="M38" s="176">
        <f>Irms_SBB1*rMoutL_</f>
        <v>2.0047206380012159E-2</v>
      </c>
      <c r="N38" s="176">
        <f>Irms_SBB2*rMoutL_</f>
        <v>3.0070809570018234E-2</v>
      </c>
      <c r="O38" s="158"/>
      <c r="P38" s="169"/>
      <c r="Q38" s="169"/>
      <c r="R38" s="169"/>
      <c r="S38" s="28" t="s">
        <v>10</v>
      </c>
      <c r="AJ38"/>
      <c r="AK38"/>
      <c r="AL38"/>
      <c r="AM38"/>
      <c r="AN38"/>
      <c r="AO38"/>
    </row>
    <row r="39" spans="2:41" s="131" customFormat="1" ht="16.5" outlineLevel="3" x14ac:dyDescent="0.35">
      <c r="B39" s="272" t="s">
        <v>27</v>
      </c>
      <c r="C39" s="273"/>
      <c r="D39" s="273"/>
      <c r="E39" s="158"/>
      <c r="F39" s="161" t="s">
        <v>162</v>
      </c>
      <c r="G39" s="158"/>
      <c r="H39" s="219">
        <f>VLXA_H_SBB0-VLXB_H_SBB0_MAX</f>
        <v>0.24906715660005307</v>
      </c>
      <c r="I39" s="219">
        <f>VLXA_H_SBB1-VLXB_H_SBB1_MAX</f>
        <v>1.820587070268717</v>
      </c>
      <c r="J39" s="219">
        <f>VLXA_H_SBB2-VLXB_H_SBB2_MAX</f>
        <v>-1.4654156618875591</v>
      </c>
      <c r="K39" s="158"/>
      <c r="L39" s="176">
        <f>VLXA_H_SBB0-VLXB_H_SBB0</f>
        <v>0.31506715660005291</v>
      </c>
      <c r="M39" s="176">
        <f>VLXA_H_SBB1-VLXB_H_SBB1</f>
        <v>1.8565870702687171</v>
      </c>
      <c r="N39" s="176">
        <f>VLXA_H_SBB2-VLXB_H_SBB2</f>
        <v>-1.3654156618875595</v>
      </c>
      <c r="O39" s="158"/>
      <c r="P39" s="219">
        <f>VLXA_H_SBB0-VLXB_H_SBB0_MIN</f>
        <v>0.38106715660005275</v>
      </c>
      <c r="Q39" s="219">
        <f>VLXA_H_SBB1-VLXB_H_SBB1_MIN</f>
        <v>1.8925870702687171</v>
      </c>
      <c r="R39" s="219">
        <f>VLXA_H_SBB2-VLXB_H_SBB2_MIN</f>
        <v>-1.2654156618875598</v>
      </c>
      <c r="S39" s="61" t="s">
        <v>10</v>
      </c>
      <c r="AJ39"/>
      <c r="AK39"/>
      <c r="AL39"/>
      <c r="AM39"/>
      <c r="AN39"/>
      <c r="AO39"/>
    </row>
    <row r="40" spans="2:41" s="131" customFormat="1" ht="16.5" outlineLevel="3" x14ac:dyDescent="0.35">
      <c r="B40" s="272"/>
      <c r="C40" s="273"/>
      <c r="D40" s="273"/>
      <c r="E40" s="158"/>
      <c r="F40" s="180" t="s">
        <v>165</v>
      </c>
      <c r="G40" s="158"/>
      <c r="H40" s="219">
        <f>H42</f>
        <v>-3.3057959077508499</v>
      </c>
      <c r="I40" s="219">
        <f t="shared" ref="I40:J40" si="0">I42</f>
        <v>-1.8008444619067343</v>
      </c>
      <c r="J40" s="219">
        <f t="shared" si="0"/>
        <v>-4.9555629601507363</v>
      </c>
      <c r="K40" s="158"/>
      <c r="L40" s="187">
        <f>L42</f>
        <v>-3.3717959077508497</v>
      </c>
      <c r="M40" s="176">
        <f t="shared" ref="M40:N40" si="1">M42</f>
        <v>-1.8368444619067343</v>
      </c>
      <c r="N40" s="176">
        <f t="shared" si="1"/>
        <v>-5.0555629601507359</v>
      </c>
      <c r="O40" s="158"/>
      <c r="P40" s="219">
        <f>P42</f>
        <v>-3.4377959077508495</v>
      </c>
      <c r="Q40" s="219">
        <f t="shared" ref="Q40:R40" si="2">Q42</f>
        <v>-1.8728444619067344</v>
      </c>
      <c r="R40" s="219">
        <f t="shared" si="2"/>
        <v>-5.1555629601507356</v>
      </c>
      <c r="S40" s="28" t="s">
        <v>10</v>
      </c>
      <c r="AJ40"/>
      <c r="AK40"/>
      <c r="AL40"/>
      <c r="AM40"/>
      <c r="AN40"/>
      <c r="AO40"/>
    </row>
    <row r="41" spans="2:41" s="131" customFormat="1" ht="16.5" outlineLevel="3" x14ac:dyDescent="0.35">
      <c r="B41" s="274" t="s">
        <v>137</v>
      </c>
      <c r="C41" s="275"/>
      <c r="D41" s="275"/>
      <c r="E41" s="158"/>
      <c r="F41" s="161" t="s">
        <v>164</v>
      </c>
      <c r="G41" s="158"/>
      <c r="H41" s="164"/>
      <c r="I41" s="164"/>
      <c r="J41" s="164"/>
      <c r="K41" s="158"/>
      <c r="L41" s="176">
        <f>VLXA_H_SBB0-VLXB_L_SBB0</f>
        <v>3.6222715872931195</v>
      </c>
      <c r="M41" s="176">
        <f>VLXA_H_SBB1-VLXB_L_SBB1</f>
        <v>3.6611357936465598</v>
      </c>
      <c r="N41" s="176">
        <f>VLXA_H_SBB2-VLXB_L_SBB2</f>
        <v>3.6417036904698392</v>
      </c>
      <c r="O41" s="158"/>
      <c r="P41" s="164"/>
      <c r="Q41" s="164"/>
      <c r="R41" s="164"/>
      <c r="S41" s="61" t="s">
        <v>10</v>
      </c>
      <c r="AJ41"/>
      <c r="AK41"/>
      <c r="AL41"/>
      <c r="AM41"/>
      <c r="AN41"/>
      <c r="AO41"/>
    </row>
    <row r="42" spans="2:41" s="131" customFormat="1" ht="16.5" outlineLevel="3" x14ac:dyDescent="0.35">
      <c r="B42" s="274"/>
      <c r="C42" s="275"/>
      <c r="D42" s="275"/>
      <c r="E42" s="158"/>
      <c r="F42" s="210" t="s">
        <v>166</v>
      </c>
      <c r="G42" s="158"/>
      <c r="H42" s="219">
        <f>VLXA_L_SBB0-VLXB_H_SBB0_MIN</f>
        <v>-3.3057959077508499</v>
      </c>
      <c r="I42" s="219">
        <f>VLXA_L_SBB1-VLXB_H_SBB1_MIN</f>
        <v>-1.8008444619067343</v>
      </c>
      <c r="J42" s="219">
        <f>VLXA_L_SBB2-VLXB_H_SBB2_MIN</f>
        <v>-4.9555629601507363</v>
      </c>
      <c r="K42" s="158"/>
      <c r="L42" s="176">
        <f>VLXA_L_SBB0-VLXB_H_SBB0</f>
        <v>-3.3717959077508497</v>
      </c>
      <c r="M42" s="176">
        <f>VLXA_L_SBB1-VLXB_H_SBB1</f>
        <v>-1.8368444619067343</v>
      </c>
      <c r="N42" s="176">
        <f>VLXA_L_SBB2-VLXB_H_SBB2</f>
        <v>-5.0555629601507359</v>
      </c>
      <c r="O42" s="158"/>
      <c r="P42" s="219">
        <f>VLXA_L_SBB0-VLXB_H_SBB0_MAX</f>
        <v>-3.4377959077508495</v>
      </c>
      <c r="Q42" s="219">
        <f>VLXA_L_SBB1-VLXB_H_SBB1_MAX</f>
        <v>-1.8728444619067344</v>
      </c>
      <c r="R42" s="219">
        <f>VLXA_L_SBB2-VLXB_H_SBB2_MAX</f>
        <v>-5.1555629601507356</v>
      </c>
      <c r="S42" s="28" t="s">
        <v>10</v>
      </c>
      <c r="AJ42"/>
      <c r="AK42"/>
      <c r="AL42"/>
      <c r="AM42"/>
      <c r="AN42"/>
      <c r="AO42"/>
    </row>
    <row r="43" spans="2:41" s="131" customFormat="1" ht="16.5" outlineLevel="3" x14ac:dyDescent="0.35">
      <c r="B43" s="272" t="s">
        <v>93</v>
      </c>
      <c r="C43" s="273"/>
      <c r="D43" s="273"/>
      <c r="E43" s="158"/>
      <c r="F43" s="161" t="s">
        <v>163</v>
      </c>
      <c r="G43" s="158"/>
      <c r="H43" s="164"/>
      <c r="I43" s="164"/>
      <c r="J43" s="164"/>
      <c r="K43" s="158"/>
      <c r="L43" s="176">
        <f>L41</f>
        <v>3.6222715872931195</v>
      </c>
      <c r="M43" s="176">
        <f t="shared" ref="M43:N43" si="3">M41</f>
        <v>3.6611357936465598</v>
      </c>
      <c r="N43" s="176">
        <f t="shared" si="3"/>
        <v>3.6417036904698392</v>
      </c>
      <c r="O43" s="158"/>
      <c r="P43" s="164"/>
      <c r="Q43" s="164"/>
      <c r="R43" s="164"/>
      <c r="S43" s="61" t="s">
        <v>10</v>
      </c>
      <c r="AJ43"/>
      <c r="AK43"/>
      <c r="AL43"/>
      <c r="AM43"/>
      <c r="AN43"/>
      <c r="AO43"/>
    </row>
    <row r="44" spans="2:41" s="131" customFormat="1" ht="16.5" outlineLevel="3" x14ac:dyDescent="0.35">
      <c r="B44" s="272"/>
      <c r="C44" s="273"/>
      <c r="D44" s="273"/>
      <c r="E44" s="158"/>
      <c r="F44" s="210" t="s">
        <v>167</v>
      </c>
      <c r="G44" s="158"/>
      <c r="H44" s="219">
        <f>VLXA_H_SBB0-VLXB_H_SBB0_MIN</f>
        <v>0.38106715660005275</v>
      </c>
      <c r="I44" s="219">
        <f>VLXA_H_SBB1-VLXB_H_SBB1_MIN</f>
        <v>1.8925870702687171</v>
      </c>
      <c r="J44" s="219">
        <f>VLXA_H_SBB2-VLXB_H_SBB2_MIN</f>
        <v>-1.2654156618875598</v>
      </c>
      <c r="K44" s="158"/>
      <c r="L44" s="176">
        <f>VLXA_H_SBB0-VLXB_H_SBB0</f>
        <v>0.31506715660005291</v>
      </c>
      <c r="M44" s="176">
        <f>VLXA_H_SBB1-VLXB_H_SBB1</f>
        <v>1.8565870702687171</v>
      </c>
      <c r="N44" s="176">
        <f>VLXA_H_SBB2-VLXB_H_SBB2</f>
        <v>-1.3654156618875595</v>
      </c>
      <c r="O44" s="158"/>
      <c r="P44" s="219">
        <f>VLXA_H_SBB0-VLXB_H_SBB0_MAX</f>
        <v>0.24906715660005307</v>
      </c>
      <c r="Q44" s="219">
        <f>VLXA_H_SBB1-VLXB_H_SBB1_MAX</f>
        <v>1.820587070268717</v>
      </c>
      <c r="R44" s="219">
        <f>VLXA_H_SBB2-VLXB_H_SBB2_MAX</f>
        <v>-1.4654156618875591</v>
      </c>
      <c r="S44" s="28" t="s">
        <v>10</v>
      </c>
      <c r="AJ44"/>
      <c r="AK44"/>
      <c r="AL44"/>
      <c r="AM44"/>
      <c r="AN44"/>
      <c r="AO44"/>
    </row>
    <row r="45" spans="2:41" s="131" customFormat="1" ht="15" outlineLevel="2" thickBot="1" x14ac:dyDescent="0.4">
      <c r="B45" s="252" t="s">
        <v>191</v>
      </c>
      <c r="C45" s="253"/>
      <c r="D45" s="253"/>
      <c r="E45" s="253"/>
      <c r="F45" s="253"/>
      <c r="G45" s="253"/>
      <c r="H45" s="253"/>
      <c r="I45" s="253"/>
      <c r="J45" s="253"/>
      <c r="K45" s="253"/>
      <c r="L45" s="253"/>
      <c r="M45" s="253"/>
      <c r="N45" s="253"/>
      <c r="O45" s="253"/>
      <c r="P45" s="253"/>
      <c r="Q45" s="253"/>
      <c r="R45" s="253"/>
      <c r="S45" s="254"/>
      <c r="AJ45"/>
      <c r="AK45"/>
      <c r="AL45"/>
      <c r="AM45"/>
      <c r="AN45"/>
      <c r="AO45"/>
    </row>
    <row r="46" spans="2:41" s="131" customFormat="1" ht="16.5" outlineLevel="3" x14ac:dyDescent="0.35">
      <c r="B46" s="276" t="s">
        <v>27</v>
      </c>
      <c r="C46" s="277"/>
      <c r="D46" s="277"/>
      <c r="E46" s="158"/>
      <c r="F46" s="209" t="s">
        <v>145</v>
      </c>
      <c r="G46" s="158"/>
      <c r="H46" s="177">
        <f>VL_Buck_CHG_SBB0_MIN/L</f>
        <v>166044.77106670206</v>
      </c>
      <c r="I46" s="177">
        <f>VL_Buck_CHG_SBB1_MIN/L</f>
        <v>1213724.7135124779</v>
      </c>
      <c r="J46" s="177">
        <f>VL_Buck_CHG_SBB2_MIN/L</f>
        <v>-976943.77459170611</v>
      </c>
      <c r="K46" s="158"/>
      <c r="L46" s="177">
        <f>VL_Buck_CHG_SBB0/L</f>
        <v>210044.77106670194</v>
      </c>
      <c r="M46" s="177">
        <f>VL_Buck_CHG_SBB1/L</f>
        <v>1237724.7135124779</v>
      </c>
      <c r="N46" s="177">
        <f>VL_Buck_CHG_SBB2/L</f>
        <v>-910277.1079250396</v>
      </c>
      <c r="O46" s="158"/>
      <c r="P46" s="177">
        <f>VL_Buck_CHG_SBB0_MAX/L</f>
        <v>254044.77106670183</v>
      </c>
      <c r="Q46" s="177">
        <f>VL_Buck_CHG_SBB1_MAX/L</f>
        <v>1261724.7135124779</v>
      </c>
      <c r="R46" s="177">
        <f>VL_Buck_CHG_SBB2_MAX/L</f>
        <v>-843610.4412583732</v>
      </c>
      <c r="S46" s="32" t="s">
        <v>149</v>
      </c>
      <c r="AJ46"/>
      <c r="AK46"/>
      <c r="AL46"/>
      <c r="AM46"/>
      <c r="AN46"/>
      <c r="AO46"/>
    </row>
    <row r="47" spans="2:41" s="131" customFormat="1" ht="16.5" outlineLevel="3" x14ac:dyDescent="0.35">
      <c r="B47" s="278"/>
      <c r="C47" s="279"/>
      <c r="D47" s="279"/>
      <c r="E47" s="158"/>
      <c r="F47" s="147" t="s">
        <v>190</v>
      </c>
      <c r="G47" s="158"/>
      <c r="H47" s="177">
        <f>H49</f>
        <v>2203863.9385005664</v>
      </c>
      <c r="I47" s="177">
        <f t="shared" ref="I47:J47" si="4">I49</f>
        <v>1200562.9746044895</v>
      </c>
      <c r="J47" s="177">
        <f t="shared" si="4"/>
        <v>3303708.6401004908</v>
      </c>
      <c r="K47" s="158"/>
      <c r="L47" s="177">
        <f>L49</f>
        <v>2247863.9385005664</v>
      </c>
      <c r="M47" s="177">
        <f t="shared" ref="M47:N47" si="5">M49</f>
        <v>1224562.9746044895</v>
      </c>
      <c r="N47" s="177">
        <f t="shared" si="5"/>
        <v>3370375.3067671573</v>
      </c>
      <c r="O47" s="158"/>
      <c r="P47" s="177">
        <f>P49</f>
        <v>2291863.9385005664</v>
      </c>
      <c r="Q47" s="177">
        <f t="shared" ref="Q47:R47" si="6">Q49</f>
        <v>1248562.9746044895</v>
      </c>
      <c r="R47" s="177">
        <f t="shared" si="6"/>
        <v>3437041.9734338238</v>
      </c>
      <c r="S47" s="28" t="s">
        <v>149</v>
      </c>
      <c r="AJ47"/>
      <c r="AK47"/>
      <c r="AL47"/>
      <c r="AM47"/>
      <c r="AN47"/>
      <c r="AO47"/>
    </row>
    <row r="48" spans="2:41" s="131" customFormat="1" ht="16.5" outlineLevel="3" x14ac:dyDescent="0.35">
      <c r="B48" s="280" t="s">
        <v>26</v>
      </c>
      <c r="C48" s="281"/>
      <c r="D48" s="281"/>
      <c r="E48" s="158"/>
      <c r="F48" s="209" t="s">
        <v>145</v>
      </c>
      <c r="G48" s="158"/>
      <c r="H48" s="177">
        <f>VL_BB_CHG_SBB0/L</f>
        <v>2414847.7248620796</v>
      </c>
      <c r="I48" s="177">
        <f>VL_BB_CHG_SBB1/L</f>
        <v>2440757.1957643731</v>
      </c>
      <c r="J48" s="177">
        <f>VL_BB_CHG_SBB2/L</f>
        <v>2427802.4603132261</v>
      </c>
      <c r="K48" s="158"/>
      <c r="L48" s="177">
        <f>VL_BB_CHG_SBB0/L</f>
        <v>2414847.7248620796</v>
      </c>
      <c r="M48" s="177">
        <f>VL_BB_CHG_SBB1/L</f>
        <v>2440757.1957643731</v>
      </c>
      <c r="N48" s="177">
        <f>VL_BB_CHG_SBB2/L</f>
        <v>2427802.4603132261</v>
      </c>
      <c r="O48" s="158"/>
      <c r="P48" s="177">
        <f>VL_BB_CHG_SBB0/L</f>
        <v>2414847.7248620796</v>
      </c>
      <c r="Q48" s="177">
        <f>VL_BB_CHG_SBB1/L</f>
        <v>2440757.1957643731</v>
      </c>
      <c r="R48" s="177">
        <f>VL_BB_CHG_SBB2/L</f>
        <v>2427802.4603132261</v>
      </c>
      <c r="S48" s="32" t="s">
        <v>149</v>
      </c>
      <c r="AJ48"/>
      <c r="AK48"/>
      <c r="AL48"/>
      <c r="AM48"/>
      <c r="AN48"/>
      <c r="AO48"/>
    </row>
    <row r="49" spans="2:41" s="131" customFormat="1" ht="16.5" outlineLevel="3" x14ac:dyDescent="0.35">
      <c r="B49" s="280"/>
      <c r="C49" s="281"/>
      <c r="D49" s="281"/>
      <c r="E49" s="158"/>
      <c r="F49" s="147" t="s">
        <v>190</v>
      </c>
      <c r="G49" s="158"/>
      <c r="H49" s="177">
        <f>-VL_BB_DIS_SBB0_MIN/L</f>
        <v>2203863.9385005664</v>
      </c>
      <c r="I49" s="177">
        <f>-VL_BB_DIS_SBB1_MIN/L</f>
        <v>1200562.9746044895</v>
      </c>
      <c r="J49" s="177">
        <f>-VL_BB_DIS_SBB2_MIN/L</f>
        <v>3303708.6401004908</v>
      </c>
      <c r="K49" s="158"/>
      <c r="L49" s="177">
        <f>-VL_BB_DIS_SBB0/L</f>
        <v>2247863.9385005664</v>
      </c>
      <c r="M49" s="177">
        <f>-VL_BB_DIS_SBB1/L</f>
        <v>1224562.9746044895</v>
      </c>
      <c r="N49" s="177">
        <f>-VL_BB_DIS_SBB2/L</f>
        <v>3370375.3067671573</v>
      </c>
      <c r="O49" s="158"/>
      <c r="P49" s="177">
        <f>-VL_BB_DIS_SBB0_MAX/L</f>
        <v>2291863.9385005664</v>
      </c>
      <c r="Q49" s="177">
        <f>-VL_BB_DIS_SBB1_MAX/L</f>
        <v>1248562.9746044895</v>
      </c>
      <c r="R49" s="177">
        <f>-VL_BB_DIS_SBB2_MAX/L</f>
        <v>3437041.9734338238</v>
      </c>
      <c r="S49" s="28" t="s">
        <v>149</v>
      </c>
      <c r="AJ49"/>
      <c r="AK49"/>
      <c r="AL49"/>
      <c r="AM49"/>
      <c r="AN49"/>
      <c r="AO49"/>
    </row>
    <row r="50" spans="2:41" s="131" customFormat="1" ht="16.5" outlineLevel="3" x14ac:dyDescent="0.35">
      <c r="B50" s="278" t="s">
        <v>93</v>
      </c>
      <c r="C50" s="279"/>
      <c r="D50" s="279"/>
      <c r="E50" s="158"/>
      <c r="F50" s="209" t="s">
        <v>145</v>
      </c>
      <c r="G50" s="158"/>
      <c r="H50" s="177">
        <f>H48</f>
        <v>2414847.7248620796</v>
      </c>
      <c r="I50" s="177">
        <f t="shared" ref="I50:J50" si="7">I48</f>
        <v>2440757.1957643731</v>
      </c>
      <c r="J50" s="177">
        <f t="shared" si="7"/>
        <v>2427802.4603132261</v>
      </c>
      <c r="K50" s="158"/>
      <c r="L50" s="177">
        <f>L48</f>
        <v>2414847.7248620796</v>
      </c>
      <c r="M50" s="177">
        <f t="shared" ref="M50:N50" si="8">M48</f>
        <v>2440757.1957643731</v>
      </c>
      <c r="N50" s="177">
        <f t="shared" si="8"/>
        <v>2427802.4603132261</v>
      </c>
      <c r="O50" s="158"/>
      <c r="P50" s="177">
        <f>P48</f>
        <v>2414847.7248620796</v>
      </c>
      <c r="Q50" s="177">
        <f t="shared" ref="Q50:R50" si="9">Q48</f>
        <v>2440757.1957643731</v>
      </c>
      <c r="R50" s="177">
        <f t="shared" si="9"/>
        <v>2427802.4603132261</v>
      </c>
      <c r="S50" s="32" t="s">
        <v>149</v>
      </c>
      <c r="AJ50"/>
      <c r="AK50"/>
      <c r="AL50"/>
      <c r="AM50"/>
      <c r="AN50"/>
      <c r="AO50"/>
    </row>
    <row r="51" spans="2:41" s="131" customFormat="1" ht="16.5" outlineLevel="3" x14ac:dyDescent="0.35">
      <c r="B51" s="278"/>
      <c r="C51" s="279"/>
      <c r="D51" s="279"/>
      <c r="E51" s="158"/>
      <c r="F51" s="147" t="s">
        <v>190</v>
      </c>
      <c r="G51" s="158"/>
      <c r="H51" s="177">
        <f>-VL_Boost_DIS_SBB0_MIN/L</f>
        <v>-254044.77106670183</v>
      </c>
      <c r="I51" s="177">
        <f>-VL_Boost_DIS_SBB1_MIN/L</f>
        <v>-1261724.7135124779</v>
      </c>
      <c r="J51" s="177">
        <f>-VL_Boost_DIS_SBB2_MIN/L</f>
        <v>843610.4412583732</v>
      </c>
      <c r="K51" s="158"/>
      <c r="L51" s="177">
        <f>-VL_Boost_DIS_SBB0/L</f>
        <v>-210044.77106670194</v>
      </c>
      <c r="M51" s="177">
        <f>-VL_Boost_DIS_SBB1/L</f>
        <v>-1237724.7135124779</v>
      </c>
      <c r="N51" s="177">
        <f>-VL_Boost_DIS_SBB2/L</f>
        <v>910277.1079250396</v>
      </c>
      <c r="O51" s="158"/>
      <c r="P51" s="177">
        <f>-VL_Boost_DIS_SBB0_MAX/L</f>
        <v>-166044.77106670206</v>
      </c>
      <c r="Q51" s="177">
        <f>-VL_Boost_DIS_SBB1_MAX/L</f>
        <v>-1213724.7135124779</v>
      </c>
      <c r="R51" s="177">
        <f>-VL_Boost_DIS_SBB2_MAX/L</f>
        <v>976943.77459170611</v>
      </c>
      <c r="S51" s="28" t="s">
        <v>149</v>
      </c>
      <c r="AJ51"/>
      <c r="AK51"/>
      <c r="AL51"/>
      <c r="AM51"/>
      <c r="AN51"/>
      <c r="AO51"/>
    </row>
    <row r="52" spans="2:41" s="131" customFormat="1" ht="16.5" outlineLevel="3" x14ac:dyDescent="0.35">
      <c r="B52" s="282" t="s">
        <v>194</v>
      </c>
      <c r="C52" s="283"/>
      <c r="D52" s="283"/>
      <c r="E52" s="158"/>
      <c r="F52" s="209" t="s">
        <v>145</v>
      </c>
      <c r="G52" s="158"/>
      <c r="H52" s="177">
        <f>IF(EN_SBB0,IF(L$21=uc!$M$26,H46,IF(L$21=uc!$M$27,H48,IF(L$21=uc!$M$28,H50,"ERR"))), 0)</f>
        <v>2414847.7248620796</v>
      </c>
      <c r="I52" s="177">
        <f>IF(EN_SBB1,IF(M$21=uc!$M$26,I46,IF(M$21=uc!$M$27,I48,IF(M$21=uc!$M$28,I50,"ERR"))), 0)</f>
        <v>1213724.7135124779</v>
      </c>
      <c r="J52" s="177">
        <f>IF(EN_SBB2,IF(N$21=uc!$M$26,J46,IF(N$21=uc!$M$27,J48,IF(N$21=uc!$M$28,J50,"ERR"))), 0)</f>
        <v>2427802.4603132261</v>
      </c>
      <c r="K52" s="158"/>
      <c r="L52" s="177">
        <f>IF(EN_SBB0,IF(L$21=uc!$M$26,L46,IF(L$21=uc!$M$27,L48,IF(L$21=uc!$M$28,L50,"ERR"))), 0)</f>
        <v>2414847.7248620796</v>
      </c>
      <c r="M52" s="177">
        <f>IF(EN_SBB1,IF(M$21=uc!$M$26,M46,IF(M$21=uc!$M$27,M48,IF(M$21=uc!$M$28,M50,"ERR"))), 0)</f>
        <v>1237724.7135124779</v>
      </c>
      <c r="N52" s="177">
        <f>IF(EN_SBB2,IF(N$21=uc!$M$26,N46,IF(N$21=uc!$M$27,N48,IF(N$21=uc!$M$28,N50,"ERR"))), 0)</f>
        <v>2427802.4603132261</v>
      </c>
      <c r="O52" s="158"/>
      <c r="P52" s="177">
        <f>IF(EN_SBB0,IF(L$21=uc!$M$26,P46,IF(L$21=uc!$M$27,P48,IF(L$21=uc!$M$28,P50,"ERR"))), 0)</f>
        <v>2414847.7248620796</v>
      </c>
      <c r="Q52" s="177">
        <f>IF(EN_SBB1,IF(M$21=uc!$M$26,Q46,IF(M$21=uc!$M$27,Q48,IF(M$21=uc!$M$28,Q50,"ERR"))), 0)</f>
        <v>1261724.7135124779</v>
      </c>
      <c r="R52" s="177">
        <f>IF(EN_SBB2,IF(N$21=uc!$M$26,R46,IF(N$21=uc!$M$27,R48,IF(N$21=uc!$M$28,R50,"ERR"))), 0)</f>
        <v>2427802.4603132261</v>
      </c>
      <c r="S52" s="32" t="s">
        <v>149</v>
      </c>
      <c r="AJ52"/>
      <c r="AK52"/>
      <c r="AL52"/>
      <c r="AM52"/>
      <c r="AN52"/>
      <c r="AO52"/>
    </row>
    <row r="53" spans="2:41" s="1" customFormat="1" ht="15" outlineLevel="2" thickBot="1" x14ac:dyDescent="0.4">
      <c r="B53" s="252" t="s">
        <v>192</v>
      </c>
      <c r="C53" s="253"/>
      <c r="D53" s="253"/>
      <c r="E53" s="253"/>
      <c r="F53" s="253"/>
      <c r="G53" s="253"/>
      <c r="H53" s="253"/>
      <c r="I53" s="253"/>
      <c r="J53" s="253"/>
      <c r="K53" s="253"/>
      <c r="L53" s="253"/>
      <c r="M53" s="253"/>
      <c r="N53" s="253"/>
      <c r="O53" s="253"/>
      <c r="P53" s="253"/>
      <c r="Q53" s="253"/>
      <c r="R53" s="253"/>
      <c r="S53" s="254"/>
      <c r="AJ53"/>
      <c r="AK53"/>
      <c r="AL53"/>
      <c r="AM53"/>
      <c r="AN53"/>
      <c r="AO53"/>
    </row>
    <row r="54" spans="2:41" s="1" customFormat="1" ht="16.5" outlineLevel="3" x14ac:dyDescent="0.35">
      <c r="B54" s="276" t="s">
        <v>27</v>
      </c>
      <c r="C54" s="277"/>
      <c r="D54" s="277"/>
      <c r="E54" s="158"/>
      <c r="F54" s="209" t="s">
        <v>153</v>
      </c>
      <c r="G54" s="158"/>
      <c r="H54" s="177">
        <f>LN(VL_Buck_CHG_SBB0_MAX/(VL_Buck_CHG_SBB0_MAX-IPeak_SBB0*rCHG_Buck_SBB0))*L/rCHG_Buck_SBB0</f>
        <v>6.6852995134821443E-6</v>
      </c>
      <c r="I54" s="177">
        <f>LN(VL_Buck_CHG_SBB1_MAX/(VL_Buck_CHG_SBB1_MAX-IPeak_SBB1*rCHG_Buck_SBB1))*L/rCHG_Buck_SBB1</f>
        <v>4.1091827283042333E-7</v>
      </c>
      <c r="J54" s="177">
        <f>LN(VL_Buck_CHG_SBB2_MAX/(VL_Buck_CHG_SBB2_MAX-IPeak_SBB2*rCHG_Buck_SBB2))*L/rCHG_Buck_SBB2</f>
        <v>-8.253153221151725E-7</v>
      </c>
      <c r="K54" s="158"/>
      <c r="L54" s="177">
        <f>LN(VL_Buck_CHG_SBB0/(VL_Buck_CHG_SBB0-IPeak_SBB0*rCHG_Buck_SBB0))*L/rCHG_Buck_SBB0</f>
        <v>1.027521693584063E-5</v>
      </c>
      <c r="M54" s="177">
        <f>LN(VL_Buck_CHG_SBB1/(VL_Buck_CHG_SBB1-IPeak_SBB1*rCHG_Buck_SBB1))*L/rCHG_Buck_SBB1</f>
        <v>4.1919015559375915E-7</v>
      </c>
      <c r="N54" s="177">
        <f>LN(VL_Buck_CHG_SBB2/(VL_Buck_CHG_SBB2-IPeak_SBB2*rCHG_Buck_SBB2))*L/rCHG_Buck_SBB2</f>
        <v>-7.6881910043216308E-7</v>
      </c>
      <c r="O54" s="158"/>
      <c r="P54" s="177" t="e">
        <f>LN(VL_Buck_CHG_SBB0_MIN/(VL_Buck_CHG_SBB0_MIN-IPeak_SBB0*rCHG_Buck_SBB0))*L/rCHG_Buck_SBB0</f>
        <v>#NUM!</v>
      </c>
      <c r="Q54" s="177">
        <f>LN(VL_Buck_CHG_SBB1_MIN/(VL_Buck_CHG_SBB1_MIN-IPeak_SBB1*rCHG_Buck_SBB1))*L/rCHG_Buck_SBB1</f>
        <v>4.278020734640702E-7</v>
      </c>
      <c r="R54" s="177">
        <f>LN(VL_Buck_CHG_SBB2_MIN/(VL_Buck_CHG_SBB2_MIN-IPeak_SBB2*rCHG_Buck_SBB2))*L/rCHG_Buck_SBB2</f>
        <v>-7.1957201649086437E-7</v>
      </c>
      <c r="S54" s="32" t="s">
        <v>53</v>
      </c>
      <c r="AJ54"/>
      <c r="AK54"/>
      <c r="AL54"/>
      <c r="AM54"/>
      <c r="AN54"/>
      <c r="AO54"/>
    </row>
    <row r="55" spans="2:41" s="1" customFormat="1" ht="16.5" outlineLevel="3" x14ac:dyDescent="0.35">
      <c r="B55" s="278"/>
      <c r="C55" s="279"/>
      <c r="D55" s="279"/>
      <c r="E55" s="158"/>
      <c r="F55" s="210" t="s">
        <v>154</v>
      </c>
      <c r="G55" s="158"/>
      <c r="H55" s="177">
        <f>H57</f>
        <v>4.2174879724557841E-7</v>
      </c>
      <c r="I55" s="177">
        <f>I57</f>
        <v>3.8797524058889415E-7</v>
      </c>
      <c r="J55" s="177">
        <f>J57</f>
        <v>2.144225930383038E-7</v>
      </c>
      <c r="K55" s="158"/>
      <c r="L55" s="177">
        <f>L57</f>
        <v>4.2972629821482888E-7</v>
      </c>
      <c r="M55" s="177">
        <f>M57</f>
        <v>3.9534006704687234E-7</v>
      </c>
      <c r="N55" s="177">
        <f>N57</f>
        <v>2.1858928986171318E-7</v>
      </c>
      <c r="O55" s="158"/>
      <c r="P55" s="177">
        <f>P57</f>
        <v>4.380115375163046E-7</v>
      </c>
      <c r="Q55" s="177">
        <f>Q57</f>
        <v>4.0299001462008384E-7</v>
      </c>
      <c r="R55" s="177">
        <f>R57</f>
        <v>2.2292114989860513E-7</v>
      </c>
      <c r="S55" s="28" t="s">
        <v>53</v>
      </c>
      <c r="AJ55"/>
      <c r="AK55"/>
      <c r="AL55"/>
      <c r="AM55"/>
      <c r="AN55"/>
      <c r="AO55"/>
    </row>
    <row r="56" spans="2:41" s="1" customFormat="1" ht="16.5" outlineLevel="3" x14ac:dyDescent="0.35">
      <c r="B56" s="280" t="s">
        <v>26</v>
      </c>
      <c r="C56" s="281"/>
      <c r="D56" s="281"/>
      <c r="E56" s="158"/>
      <c r="F56" s="209" t="s">
        <v>155</v>
      </c>
      <c r="G56" s="158"/>
      <c r="H56" s="177">
        <f>LN(VL_BB_CHG_SBB0/(VL_BB_CHG_SBB0-IPeak_SBB0*rCHG_BB))*L/rCHG_BB</f>
        <v>4.2912814345500992E-7</v>
      </c>
      <c r="I56" s="177">
        <f>LN(VL_BB_CHG_SBB1/(VL_BB_CHG_SBB1-IPeak_SBB0*rCHG_BB))*L/rCHG_BB</f>
        <v>4.2440737744509325E-7</v>
      </c>
      <c r="J56" s="177">
        <f>LN(VL_BB_CHG_SBB2/(VL_BB_CHG_SBB2-IPeak_SBB0*rCHG_BB))*L/rCHG_BB</f>
        <v>4.2675470002504606E-7</v>
      </c>
      <c r="K56" s="158"/>
      <c r="L56" s="177">
        <f>LN(VL_BB_CHG_SBB0/(VL_BB_CHG_SBB0-IPeak_SBB0*rCHG_BB))*L/rCHG_BB</f>
        <v>4.2912814345500992E-7</v>
      </c>
      <c r="M56" s="177">
        <f>LN(VL_BB_CHG_SBB1/(VL_BB_CHG_SBB1-IPeak_SBB0*rCHG_BB))*L/rCHG_BB</f>
        <v>4.2440737744509325E-7</v>
      </c>
      <c r="N56" s="177">
        <f>LN(VL_BB_CHG_SBB2/(VL_BB_CHG_SBB2-IPeak_SBB0*rCHG_BB))*L/rCHG_BB</f>
        <v>4.2675470002504606E-7</v>
      </c>
      <c r="O56" s="158"/>
      <c r="P56" s="177">
        <f>LN(VL_BB_CHG_SBB0/(VL_BB_CHG_SBB0-IPeak_SBB0*rCHG_BB))*L/rCHG_BB</f>
        <v>4.2912814345500992E-7</v>
      </c>
      <c r="Q56" s="177">
        <f>LN(VL_BB_CHG_SBB1/(VL_BB_CHG_SBB1-IPeak_SBB0*rCHG_BB))*L/rCHG_BB</f>
        <v>4.2440737744509325E-7</v>
      </c>
      <c r="R56" s="177">
        <f>LN(VL_BB_CHG_SBB2/(VL_BB_CHG_SBB2-IPeak_SBB0*rCHG_BB))*L/rCHG_BB</f>
        <v>4.2675470002504606E-7</v>
      </c>
      <c r="S56" s="32" t="s">
        <v>53</v>
      </c>
      <c r="AJ56"/>
      <c r="AK56"/>
      <c r="AL56"/>
      <c r="AM56"/>
      <c r="AN56"/>
      <c r="AO56"/>
    </row>
    <row r="57" spans="2:41" s="1" customFormat="1" ht="16.5" outlineLevel="3" x14ac:dyDescent="0.35">
      <c r="B57" s="280"/>
      <c r="C57" s="281"/>
      <c r="D57" s="281"/>
      <c r="E57" s="158"/>
      <c r="F57" s="210" t="s">
        <v>156</v>
      </c>
      <c r="G57" s="158"/>
      <c r="H57" s="177">
        <f>LN((VL_BB_DIS_SBB0_MAX-IPeak_SBB0*rDIS_BB_SBB0)/VL_BB_DIS_SBB0_MAX)*L/rDIS_BB_SBB0</f>
        <v>4.2174879724557841E-7</v>
      </c>
      <c r="I57" s="177">
        <f>LN((VL_BB_DIS_SBB1_MAX-IPeak_SBB1*rDIS_BB_SBB1)/VL_BB_DIS_SBB1_MAX)*L/rDIS_BB_SBB1</f>
        <v>3.8797524058889415E-7</v>
      </c>
      <c r="J57" s="177">
        <f>LN((VL_BB_DIS_SBB2_MAX-IPeak_SBB2*rDIS_BB_SBB2)/VL_BB_DIS_SBB2_MAX)*L/rDIS_BB_SBB2</f>
        <v>2.144225930383038E-7</v>
      </c>
      <c r="K57" s="158"/>
      <c r="L57" s="177">
        <f>LN((VL_BB_DIS_SBB0-IPeak_SBB0*rDIS_BB_SBB0)/VL_BB_DIS_SBB0)*L/rDIS_BB_SBB0</f>
        <v>4.2972629821482888E-7</v>
      </c>
      <c r="M57" s="177">
        <f>LN((VL_BB_DIS_SBB1-IPeak_SBB1*rDIS_BB_SBB1)/VL_BB_DIS_SBB1)*L/rDIS_BB_SBB1</f>
        <v>3.9534006704687234E-7</v>
      </c>
      <c r="N57" s="177">
        <f>LN((VL_BB_DIS_SBB2-IPeak_SBB2*rDIS_BB_SBB2)/VL_BB_DIS_SBB2)*L/rDIS_BB_SBB2</f>
        <v>2.1858928986171318E-7</v>
      </c>
      <c r="O57" s="158"/>
      <c r="P57" s="177">
        <f>LN((VL_BB_DIS_SBB0_MIN-IPeak_SBB0*rDIS_BB_SBB0)/VL_BB_DIS_SBB0_MIN)*L/rDIS_BB_SBB0</f>
        <v>4.380115375163046E-7</v>
      </c>
      <c r="Q57" s="177">
        <f>LN((VL_BB_DIS_SBB1_MIN-IPeak_SBB1*rDIS_BB_SBB1)/VL_BB_DIS_SBB1_MIN)*L/rDIS_BB_SBB1</f>
        <v>4.0299001462008384E-7</v>
      </c>
      <c r="R57" s="177">
        <f>LN((VL_BB_DIS_SBB2_MIN-IPeak_SBB2*rDIS_BB_SBB2)/VL_BB_DIS_SBB2_MIN)*L/rDIS_BB_SBB2</f>
        <v>2.2292114989860513E-7</v>
      </c>
      <c r="S57" s="28" t="s">
        <v>53</v>
      </c>
      <c r="AJ57"/>
      <c r="AK57"/>
      <c r="AL57"/>
      <c r="AM57"/>
      <c r="AN57"/>
      <c r="AO57"/>
    </row>
    <row r="58" spans="2:41" s="1" customFormat="1" ht="16.5" outlineLevel="3" x14ac:dyDescent="0.35">
      <c r="B58" s="278" t="s">
        <v>93</v>
      </c>
      <c r="C58" s="279"/>
      <c r="D58" s="279"/>
      <c r="E58" s="158"/>
      <c r="F58" s="209" t="s">
        <v>157</v>
      </c>
      <c r="G58" s="158"/>
      <c r="H58" s="177">
        <f>H56</f>
        <v>4.2912814345500992E-7</v>
      </c>
      <c r="I58" s="177">
        <f t="shared" ref="I58:J58" si="10">I56</f>
        <v>4.2440737744509325E-7</v>
      </c>
      <c r="J58" s="177">
        <f t="shared" si="10"/>
        <v>4.2675470002504606E-7</v>
      </c>
      <c r="K58" s="158"/>
      <c r="L58" s="177">
        <f>L56</f>
        <v>4.2912814345500992E-7</v>
      </c>
      <c r="M58" s="177">
        <f t="shared" ref="M58:N58" si="11">M56</f>
        <v>4.2440737744509325E-7</v>
      </c>
      <c r="N58" s="177">
        <f t="shared" si="11"/>
        <v>4.2675470002504606E-7</v>
      </c>
      <c r="O58" s="158"/>
      <c r="P58" s="177">
        <f>P56</f>
        <v>4.2912814345500992E-7</v>
      </c>
      <c r="Q58" s="177">
        <f t="shared" ref="Q58:R58" si="12">Q56</f>
        <v>4.2440737744509325E-7</v>
      </c>
      <c r="R58" s="177">
        <f t="shared" si="12"/>
        <v>4.2675470002504606E-7</v>
      </c>
      <c r="S58" s="32" t="s">
        <v>53</v>
      </c>
      <c r="AJ58"/>
      <c r="AK58"/>
      <c r="AL58"/>
      <c r="AM58"/>
      <c r="AN58"/>
      <c r="AO58"/>
    </row>
    <row r="59" spans="2:41" s="1" customFormat="1" ht="16.5" outlineLevel="3" x14ac:dyDescent="0.35">
      <c r="B59" s="278"/>
      <c r="C59" s="279"/>
      <c r="D59" s="279"/>
      <c r="E59" s="158"/>
      <c r="F59" s="210" t="s">
        <v>158</v>
      </c>
      <c r="G59" s="158"/>
      <c r="H59" s="177" t="e">
        <f>LN((VL_Boost_DIS_SBB0_MAX-IPeak_SBB0*rDIS_Boost_SBB0)/VL_Boost_DIS_SBB0_MAX)*L/rDIS_Boost_SBB0</f>
        <v>#NUM!</v>
      </c>
      <c r="I59" s="177">
        <f>LN((VL_Boost_DIS_SBB1_MAX-IPeak_SBB1*rDIS_Boost_SBB1)/VL_Boost_DIS_SBB1_MAX)*L/rDIS_Boost_SBB1</f>
        <v>-4.2780207346407073E-7</v>
      </c>
      <c r="J59" s="177">
        <f>LN((VL_Boost_DIS_SBB2_MAX-IPeak_SBB2*rDIS_Boost_SBB2)/VL_Boost_DIS_SBB2_MAX)*L/rDIS_Boost_SBB2</f>
        <v>7.1957201649086511E-7</v>
      </c>
      <c r="K59" s="158"/>
      <c r="L59" s="177">
        <f>LN((VL_Boost_DIS_SBB0-IPeak_SBB0*rDIS_Boost_SBB0)/VL_Boost_DIS_SBB0)*L/rDIS_Boost_SBB0</f>
        <v>-1.027521693584063E-5</v>
      </c>
      <c r="M59" s="177">
        <f>LN((VL_Boost_DIS_SBB1-IPeak_SBB1*rDIS_Boost_SBB1)/VL_Boost_DIS_SBB1)*L/rDIS_Boost_SBB1</f>
        <v>-4.1919015559375937E-7</v>
      </c>
      <c r="N59" s="177">
        <f>LN((VL_Boost_DIS_SBB2-IPeak_SBB2*rDIS_Boost_SBB2)/VL_Boost_DIS_SBB2)*L/rDIS_Boost_SBB2</f>
        <v>7.6881910043216329E-7</v>
      </c>
      <c r="O59" s="158"/>
      <c r="P59" s="177">
        <f>LN((VL_Boost_DIS_SBB0_MIN-IPeak_SBB0*rDIS_Boost_SBB0)/VL_Boost_DIS_SBB0_MIN)*L/rDIS_Boost_SBB0</f>
        <v>-6.6852995134821443E-6</v>
      </c>
      <c r="Q59" s="177">
        <f>LN((VL_Boost_DIS_SBB1_MIN-IPeak_SBB1*rDIS_Boost_SBB1)/VL_Boost_DIS_SBB1_MIN)*L/rDIS_Boost_SBB1</f>
        <v>-4.1091827283042375E-7</v>
      </c>
      <c r="R59" s="177">
        <f>LN((VL_Boost_DIS_SBB2_MIN-IPeak_SBB2*rDIS_Boost_SBB2)/VL_Boost_DIS_SBB2_MIN)*L/rDIS_Boost_SBB2</f>
        <v>8.2531532211517208E-7</v>
      </c>
      <c r="S59" s="28" t="s">
        <v>53</v>
      </c>
      <c r="AJ59"/>
      <c r="AK59"/>
      <c r="AL59"/>
      <c r="AM59"/>
      <c r="AN59"/>
      <c r="AO59"/>
    </row>
    <row r="60" spans="2:41" s="1" customFormat="1" ht="16.5" outlineLevel="3" x14ac:dyDescent="0.35">
      <c r="B60" s="282" t="s">
        <v>194</v>
      </c>
      <c r="C60" s="283"/>
      <c r="D60" s="283"/>
      <c r="E60" s="158"/>
      <c r="F60" s="209" t="s">
        <v>159</v>
      </c>
      <c r="G60" s="158"/>
      <c r="H60" s="177">
        <f>IF(EN_SBB0,IF(L$21=uc!$M$26,H54,IF(L$21=uc!$M$27,H56,IF(L$21=uc!$M$28,H58,"ERR"))), 0)</f>
        <v>4.2912814345500992E-7</v>
      </c>
      <c r="I60" s="177">
        <f>IF(EN_SBB1,IF(M$21=uc!$M$26,I54,IF(M$21=uc!$M$27,I56,IF(M$21=uc!$M$28,I58,"ERR"))), 0)</f>
        <v>4.1091827283042333E-7</v>
      </c>
      <c r="J60" s="177">
        <f>IF(EN_SBB2,IF(N$21=uc!$M$26,J54,IF(N$21=uc!$M$27,J56,IF(N$21=uc!$M$28,J58,"ERR"))), 0)</f>
        <v>4.2675470002504606E-7</v>
      </c>
      <c r="K60" s="158"/>
      <c r="L60" s="177">
        <f>IF(EN_SBB0,IF(L$21=uc!$M$26,L54,IF(L$21=uc!$M$27,L56,IF(L$21=uc!$M$28,L58,"ERR"))), 0)</f>
        <v>4.2912814345500992E-7</v>
      </c>
      <c r="M60" s="177">
        <f>IF(EN_SBB1,IF(M$21=uc!$M$26,M54,IF(M$21=uc!$M$27,M56,IF(M$21=uc!$M$28,M58,"ERR"))), 0)</f>
        <v>4.1919015559375915E-7</v>
      </c>
      <c r="N60" s="177">
        <f>IF(EN_SBB2,IF(N$21=uc!$M$26,N54,IF(N$21=uc!$M$27,N56,IF(N$21=uc!$M$28,N58,"ERR"))), 0)</f>
        <v>4.2675470002504606E-7</v>
      </c>
      <c r="O60" s="158"/>
      <c r="P60" s="177">
        <f>IF(EN_SBB0,IF(L$21=uc!$M$26,P54,IF(L$21=uc!$M$27,P56,IF(L$21=uc!$M$28,P58,"ERR"))), 0)</f>
        <v>4.2912814345500992E-7</v>
      </c>
      <c r="Q60" s="177">
        <f>IF(EN_SBB1,IF(M$21=uc!$M$26,Q54,IF(M$21=uc!$M$27,Q56,IF(M$21=uc!$M$28,Q58,"ERR"))), 0)</f>
        <v>4.278020734640702E-7</v>
      </c>
      <c r="R60" s="177">
        <f>IF(EN_SBB2,IF(N$21=uc!$M$26,R54,IF(N$21=uc!$M$27,R56,IF(N$21=uc!$M$28,R58,"ERR"))), 0)</f>
        <v>4.2675470002504606E-7</v>
      </c>
      <c r="S60" s="32" t="s">
        <v>53</v>
      </c>
      <c r="AJ60"/>
      <c r="AK60"/>
      <c r="AL60"/>
      <c r="AM60"/>
      <c r="AN60"/>
      <c r="AO60"/>
    </row>
    <row r="61" spans="2:41" s="1" customFormat="1" ht="16.5" outlineLevel="3" x14ac:dyDescent="0.35">
      <c r="B61" s="282"/>
      <c r="C61" s="283"/>
      <c r="D61" s="283"/>
      <c r="E61" s="181"/>
      <c r="F61" s="180" t="s">
        <v>160</v>
      </c>
      <c r="G61" s="158"/>
      <c r="H61" s="177">
        <f>IF(EN_SBB0,IF(L$21=uc!$M$26,H55,IF(L$21=uc!$M$27,H57,IF(L$21=uc!$M$28,H59,"ERR"))), 0)</f>
        <v>4.2174879724557841E-7</v>
      </c>
      <c r="I61" s="177">
        <f>IF(EN_SBB1,IF(M$21=uc!$M$26,I55,IF(M$21=uc!$M$27,I57,IF(M$21=uc!$M$28,I59,"ERR"))), 0)</f>
        <v>3.8797524058889415E-7</v>
      </c>
      <c r="J61" s="177">
        <f>IF(EN_SBB2,IF(N$21=uc!$M$26,J55,IF(N$21=uc!$M$27,J57,IF(N$21=uc!$M$28,J59,"ERR"))), 0)</f>
        <v>7.1957201649086511E-7</v>
      </c>
      <c r="K61" s="158"/>
      <c r="L61" s="177">
        <f>IF(EN_SBB0,IF(L$21=uc!$M$26,L55,IF(L$21=uc!$M$27,L57,IF(L$21=uc!$M$28,L59,"ERR"))), 0)</f>
        <v>4.2972629821482888E-7</v>
      </c>
      <c r="M61" s="177">
        <f>IF(EN_SBB1,IF(M$21=uc!$M$26,M55,IF(M$21=uc!$M$27,M57,IF(M$21=uc!$M$28,M59,"ERR"))), 0)</f>
        <v>3.9534006704687234E-7</v>
      </c>
      <c r="N61" s="177">
        <f>IF(EN_SBB2,IF(N$21=uc!$M$26,N55,IF(N$21=uc!$M$27,N57,IF(N$21=uc!$M$28,N59,"ERR"))), 0)</f>
        <v>7.6881910043216329E-7</v>
      </c>
      <c r="O61" s="158"/>
      <c r="P61" s="177">
        <f>IF(EN_SBB0,IF(L$21=uc!$M$26,P55,IF(L$21=uc!$M$27,P57,IF(L$21=uc!$M$28,P59,"ERR"))), 0)</f>
        <v>4.380115375163046E-7</v>
      </c>
      <c r="Q61" s="177">
        <f>IF(EN_SBB1,IF(M$21=uc!$M$26,Q55,IF(M$21=uc!$M$27,Q57,IF(M$21=uc!$M$28,Q59,"ERR"))), 0)</f>
        <v>4.0299001462008384E-7</v>
      </c>
      <c r="R61" s="177">
        <f>IF(EN_SBB2,IF(N$21=uc!$M$26,R55,IF(N$21=uc!$M$27,R57,IF(N$21=uc!$M$28,R59,"ERR"))), 0)</f>
        <v>8.2531532211517208E-7</v>
      </c>
      <c r="S61" s="28" t="s">
        <v>53</v>
      </c>
      <c r="AJ61"/>
      <c r="AK61"/>
      <c r="AL61"/>
      <c r="AM61"/>
      <c r="AN61"/>
      <c r="AO61"/>
    </row>
    <row r="62" spans="2:41" s="1" customFormat="1" ht="16.5" outlineLevel="3" x14ac:dyDescent="0.35">
      <c r="B62" s="29"/>
      <c r="C62" s="157"/>
      <c r="D62" s="182"/>
      <c r="E62" s="181"/>
      <c r="F62" s="179" t="s">
        <v>80</v>
      </c>
      <c r="G62" s="158"/>
      <c r="H62" s="177">
        <f>tDIS_SBB0_MIN+tCHG_SBB0_MIN</f>
        <v>8.5087694070058833E-7</v>
      </c>
      <c r="I62" s="177">
        <f>tDIS_SBB1_MIN+tCHG_SBB1_MIN</f>
        <v>7.9889351341931748E-7</v>
      </c>
      <c r="J62" s="177">
        <f>tDIS_SBB2_MIN+tCHG_SBB2_MIN</f>
        <v>1.1463267165159111E-6</v>
      </c>
      <c r="K62" s="158"/>
      <c r="L62" s="177">
        <f>tDIS_SBB0+tCHG_SBB0</f>
        <v>8.588544416698388E-7</v>
      </c>
      <c r="M62" s="177">
        <f>tDIS_SBB1+tCHG_SBB1</f>
        <v>8.1453022264063149E-7</v>
      </c>
      <c r="N62" s="177">
        <f>tDIS_SBB2+tCHG_SBB2</f>
        <v>1.1955738004572094E-6</v>
      </c>
      <c r="O62" s="158"/>
      <c r="P62" s="177">
        <f>tDIS_SBB0_MAX+tCHG_SBB0_MAX</f>
        <v>8.6713968097131457E-7</v>
      </c>
      <c r="Q62" s="177">
        <f>tDIS_SBB1_MAX+tCHG_SBB1_MAX</f>
        <v>8.3079208808415404E-7</v>
      </c>
      <c r="R62" s="177">
        <f>tDIS_SBB2_MAX+tCHG_SBB2_MAX</f>
        <v>1.2520700221402182E-6</v>
      </c>
      <c r="S62" s="32" t="s">
        <v>53</v>
      </c>
      <c r="AJ62"/>
      <c r="AK62"/>
      <c r="AL62"/>
      <c r="AM62"/>
      <c r="AN62"/>
      <c r="AO62"/>
    </row>
    <row r="63" spans="2:41" s="1" customFormat="1" ht="16.5" outlineLevel="3" x14ac:dyDescent="0.35">
      <c r="B63" s="25"/>
      <c r="C63" s="169"/>
      <c r="D63" s="169"/>
      <c r="E63" s="158"/>
      <c r="F63" s="210" t="s">
        <v>81</v>
      </c>
      <c r="G63" s="158"/>
      <c r="H63" s="177">
        <f>IF(EN_SBB0,IF(L$21=uc!$M$26,0,tCHG_SBB0_MIN+tilim_dly), 0)+terror_comp</f>
        <v>1.3291281434550098E-6</v>
      </c>
      <c r="I63" s="177">
        <f>IF(EN_SBB1,IF(M$21=uc!$M$26,0,tCHG_SBB1_MIN+tilim_dly), 0)+terror_comp</f>
        <v>8.5000000000000001E-7</v>
      </c>
      <c r="J63" s="177">
        <f>IF(EN_SBB2,IF(N$21=uc!$M$26,0,tCHG_SBB2_MIN+tilim_dly), 0)+terror_comp</f>
        <v>1.3267547000250461E-6</v>
      </c>
      <c r="K63" s="158"/>
      <c r="L63" s="177">
        <f>IF(EN_SBB0,IF(L$21=uc!$M$26,0,tCHG_SBB0+tilim_dly), 0)+terror_comp</f>
        <v>1.3291281434550098E-6</v>
      </c>
      <c r="M63" s="177">
        <f>IF(EN_SBB1,IF(M$21=uc!$M$26,0,tCHG_SBB1+tilim_dly), 0)+terror_comp</f>
        <v>8.5000000000000001E-7</v>
      </c>
      <c r="N63" s="177">
        <f>IF(EN_SBB2,IF(N$21=uc!$M$26,0,tCHG_SBB2+tilim_dly), 0)+terror_comp</f>
        <v>1.3267547000250461E-6</v>
      </c>
      <c r="O63" s="158"/>
      <c r="P63" s="177">
        <f>IF(EN_SBB0,IF(L$21=uc!$M$26,0,tCHG_SBB0_MAX+tilim_dly), 0)+terror_comp</f>
        <v>1.3291281434550098E-6</v>
      </c>
      <c r="Q63" s="177">
        <f>IF(EN_SBB1,IF(M$21=uc!$M$26,0,tCHG_SBB1_MAX+tilim_dly), 0)+terror_comp</f>
        <v>8.5000000000000001E-7</v>
      </c>
      <c r="R63" s="177">
        <f>IF(EN_SBB2,IF(N$21=uc!$M$26,0,tCHG_SBB2_MAX+tilim_dly), 0)+terror_comp</f>
        <v>1.3267547000250461E-6</v>
      </c>
      <c r="S63" s="28" t="s">
        <v>53</v>
      </c>
      <c r="AJ63"/>
      <c r="AK63"/>
      <c r="AL63"/>
      <c r="AM63"/>
      <c r="AN63"/>
      <c r="AO63"/>
    </row>
    <row r="64" spans="2:41" s="131" customFormat="1" ht="15" outlineLevel="2" thickBot="1" x14ac:dyDescent="0.4">
      <c r="B64" s="252" t="s">
        <v>152</v>
      </c>
      <c r="C64" s="253"/>
      <c r="D64" s="253"/>
      <c r="E64" s="253"/>
      <c r="F64" s="253"/>
      <c r="G64" s="253"/>
      <c r="H64" s="253"/>
      <c r="I64" s="253"/>
      <c r="J64" s="253"/>
      <c r="K64" s="253"/>
      <c r="L64" s="253"/>
      <c r="M64" s="253"/>
      <c r="N64" s="253"/>
      <c r="O64" s="253"/>
      <c r="P64" s="253"/>
      <c r="Q64" s="253"/>
      <c r="R64" s="253"/>
      <c r="S64" s="254"/>
      <c r="AJ64"/>
      <c r="AK64"/>
      <c r="AL64"/>
      <c r="AM64"/>
      <c r="AN64"/>
      <c r="AO64"/>
    </row>
    <row r="65" spans="2:41" s="131" customFormat="1" ht="16.5" outlineLevel="3" x14ac:dyDescent="0.35">
      <c r="B65" s="276" t="s">
        <v>27</v>
      </c>
      <c r="C65" s="277"/>
      <c r="D65" s="277"/>
      <c r="E65" s="158"/>
      <c r="F65" s="209" t="s">
        <v>181</v>
      </c>
      <c r="G65" s="158"/>
      <c r="H65" s="177">
        <f>H46*POWER(H54,2)/2</f>
        <v>3.7105385373335008E-6</v>
      </c>
      <c r="I65" s="177">
        <f>I46*POWER(I54,2)/2</f>
        <v>1.024710313677222E-7</v>
      </c>
      <c r="J65" s="177">
        <f>J46*POWER(J54,2)/2</f>
        <v>-3.3272036973990286E-7</v>
      </c>
      <c r="K65" s="158"/>
      <c r="L65" s="177">
        <f>L46*POWER(L54,2)/2</f>
        <v>1.1088272189722495E-5</v>
      </c>
      <c r="M65" s="177">
        <f>M46*POWER(M54,2)/2</f>
        <v>1.0874673254842045E-7</v>
      </c>
      <c r="N65" s="177">
        <f>N46*POWER(N54,2)/2</f>
        <v>-2.6902457504653131E-7</v>
      </c>
      <c r="O65" s="158"/>
      <c r="P65" s="177" t="e">
        <f>P46*POWER(P54,2)/2</f>
        <v>#NUM!</v>
      </c>
      <c r="Q65" s="177">
        <f>Q46*POWER(Q54,2)/2</f>
        <v>1.154570307468246E-7</v>
      </c>
      <c r="R65" s="177">
        <f>R46*POWER(R54,2)/2</f>
        <v>-2.1840394665914859E-7</v>
      </c>
      <c r="S65" s="32" t="s">
        <v>161</v>
      </c>
      <c r="AJ65"/>
      <c r="AK65"/>
      <c r="AL65"/>
      <c r="AM65"/>
      <c r="AN65"/>
      <c r="AO65"/>
    </row>
    <row r="66" spans="2:41" s="131" customFormat="1" ht="16.5" outlineLevel="3" x14ac:dyDescent="0.35">
      <c r="B66" s="278"/>
      <c r="C66" s="279"/>
      <c r="D66" s="279"/>
      <c r="E66" s="158"/>
      <c r="F66" s="210" t="s">
        <v>182</v>
      </c>
      <c r="G66" s="158"/>
      <c r="H66" s="177">
        <f>H68</f>
        <v>2.1791953103146256E-7</v>
      </c>
      <c r="I66" s="177">
        <f t="shared" ref="I66:J66" si="13">I68</f>
        <v>1.000177821966998E-7</v>
      </c>
      <c r="J66" s="177">
        <f t="shared" si="13"/>
        <v>8.180442218697194E-8</v>
      </c>
      <c r="K66" s="158"/>
      <c r="L66" s="177">
        <f>L68</f>
        <v>2.2217574798400937E-7</v>
      </c>
      <c r="M66" s="177">
        <f t="shared" ref="M66:N66" si="14">M68</f>
        <v>1.0197425242122493E-7</v>
      </c>
      <c r="N66" s="177">
        <f t="shared" si="14"/>
        <v>8.3421548250675608E-8</v>
      </c>
      <c r="O66" s="158"/>
      <c r="P66" s="177">
        <f>P68</f>
        <v>2.2660136358390825E-7</v>
      </c>
      <c r="Q66" s="177">
        <f t="shared" ref="Q66:R66" si="15">Q68</f>
        <v>1.0400872237411702E-7</v>
      </c>
      <c r="R66" s="177">
        <f t="shared" si="15"/>
        <v>8.5103879672796725E-8</v>
      </c>
      <c r="S66" s="28" t="s">
        <v>161</v>
      </c>
      <c r="AJ66"/>
      <c r="AK66"/>
      <c r="AL66"/>
      <c r="AM66"/>
      <c r="AN66"/>
      <c r="AO66"/>
    </row>
    <row r="67" spans="2:41" s="131" customFormat="1" ht="16.5" outlineLevel="3" x14ac:dyDescent="0.35">
      <c r="B67" s="280" t="s">
        <v>26</v>
      </c>
      <c r="C67" s="281"/>
      <c r="D67" s="281"/>
      <c r="E67" s="158"/>
      <c r="F67" s="209" t="s">
        <v>183</v>
      </c>
      <c r="G67" s="158"/>
      <c r="H67" s="216"/>
      <c r="I67" s="216"/>
      <c r="J67" s="216"/>
      <c r="K67" s="158"/>
      <c r="L67" s="216"/>
      <c r="M67" s="216"/>
      <c r="N67" s="216"/>
      <c r="O67" s="158"/>
      <c r="P67" s="216"/>
      <c r="Q67" s="216"/>
      <c r="R67" s="216"/>
      <c r="S67" s="32" t="s">
        <v>161</v>
      </c>
      <c r="AJ67"/>
      <c r="AK67"/>
      <c r="AL67"/>
      <c r="AM67"/>
      <c r="AN67"/>
      <c r="AO67"/>
    </row>
    <row r="68" spans="2:41" s="131" customFormat="1" ht="16.5" outlineLevel="3" x14ac:dyDescent="0.35">
      <c r="B68" s="280"/>
      <c r="C68" s="281"/>
      <c r="D68" s="281"/>
      <c r="E68" s="158"/>
      <c r="F68" s="210" t="s">
        <v>184</v>
      </c>
      <c r="G68" s="158"/>
      <c r="H68" s="177">
        <f>IPeak_Adjust_SBB0*H57-P49*POWER(H57,2)/2</f>
        <v>2.1791953103146256E-7</v>
      </c>
      <c r="I68" s="177">
        <f>IPeak_Adjust_SBB1*I57-Q49*POWER(I57,2)/2</f>
        <v>1.000177821966998E-7</v>
      </c>
      <c r="J68" s="177">
        <f>IPeak_Adjust_SBB2*J57-R49*POWER(J57,2)/2</f>
        <v>8.180442218697194E-8</v>
      </c>
      <c r="K68" s="158"/>
      <c r="L68" s="177">
        <f>IPeak_Adjust_SBB0*L57-L49*POWER(L57,2)/2</f>
        <v>2.2217574798400937E-7</v>
      </c>
      <c r="M68" s="177">
        <f>IPeak_Adjust_SBB1*M57-M49*POWER(M57,2)/2</f>
        <v>1.0197425242122493E-7</v>
      </c>
      <c r="N68" s="177">
        <f>IPeak_Adjust_SBB2*N57-N49*POWER(N57,2)/2</f>
        <v>8.3421548250675608E-8</v>
      </c>
      <c r="O68" s="158"/>
      <c r="P68" s="177">
        <f>IPeak_Adjust_SBB0*P57-H49*POWER(P57,2)/2</f>
        <v>2.2660136358390825E-7</v>
      </c>
      <c r="Q68" s="177">
        <f>IPeak_Adjust_SBB1*Q57-I49*POWER(Q57,2)/2</f>
        <v>1.0400872237411702E-7</v>
      </c>
      <c r="R68" s="177">
        <f>IPeak_Adjust_SBB2*R57-J49*POWER(R57,2)/2</f>
        <v>8.5103879672796725E-8</v>
      </c>
      <c r="S68" s="28" t="s">
        <v>161</v>
      </c>
      <c r="AJ68"/>
      <c r="AK68"/>
      <c r="AL68"/>
      <c r="AM68"/>
      <c r="AN68"/>
      <c r="AO68"/>
    </row>
    <row r="69" spans="2:41" s="131" customFormat="1" ht="16.5" outlineLevel="3" x14ac:dyDescent="0.35">
      <c r="B69" s="278" t="s">
        <v>93</v>
      </c>
      <c r="C69" s="279"/>
      <c r="D69" s="279"/>
      <c r="E69" s="158"/>
      <c r="F69" s="209" t="s">
        <v>185</v>
      </c>
      <c r="G69" s="158"/>
      <c r="H69" s="216"/>
      <c r="I69" s="216"/>
      <c r="J69" s="216"/>
      <c r="K69" s="158"/>
      <c r="L69" s="216"/>
      <c r="M69" s="216"/>
      <c r="N69" s="216"/>
      <c r="O69" s="158"/>
      <c r="P69" s="216"/>
      <c r="Q69" s="216"/>
      <c r="R69" s="216"/>
      <c r="S69" s="32" t="s">
        <v>161</v>
      </c>
      <c r="AJ69"/>
      <c r="AK69"/>
      <c r="AL69"/>
      <c r="AM69"/>
      <c r="AN69"/>
      <c r="AO69"/>
    </row>
    <row r="70" spans="2:41" s="131" customFormat="1" ht="16.5" outlineLevel="3" x14ac:dyDescent="0.35">
      <c r="B70" s="278"/>
      <c r="C70" s="279"/>
      <c r="D70" s="279"/>
      <c r="E70" s="158"/>
      <c r="F70" s="210" t="s">
        <v>186</v>
      </c>
      <c r="G70" s="158"/>
      <c r="H70" s="177" t="e">
        <f>IPeak_Adjust_SBB0*H59-P51*POWER(H59,2)/2</f>
        <v>#NUM!</v>
      </c>
      <c r="I70" s="177">
        <f>IPeak_Adjust_SBB1*I59-Q51*POWER(I59,2)/2</f>
        <v>-1.0283635672265427E-7</v>
      </c>
      <c r="J70" s="177">
        <f>IPeak_Adjust_SBB2*J59-R51*POWER(J59,2)/2</f>
        <v>2.867561399145513E-7</v>
      </c>
      <c r="K70" s="158"/>
      <c r="L70" s="177">
        <f>IPeak_Adjust_SBB0*L59-L51*POWER(L59,2)/2</f>
        <v>8.1305525388186558E-7</v>
      </c>
      <c r="M70" s="177">
        <f>IPeak_Adjust_SBB1*M59-M51*POWER(M59,2)/2</f>
        <v>-1.0084834524845911E-7</v>
      </c>
      <c r="N70" s="177">
        <f>IPeak_Adjust_SBB2*N59-N51*POWER(N59,2)/2</f>
        <v>3.0758975027759097E-7</v>
      </c>
      <c r="O70" s="158"/>
      <c r="P70" s="177">
        <f>IPeak_Adjust_SBB0*P59-H51*POWER(P59,2)/2</f>
        <v>-1.008258874410206E-6</v>
      </c>
      <c r="Q70" s="177">
        <f>IPeak_Adjust_SBB1*Q59-I51*POWER(Q59,2)/2</f>
        <v>-9.8935613200786942E-8</v>
      </c>
      <c r="R70" s="177">
        <f>IPeak_Adjust_SBB2*R59-J51*POWER(R59,2)/2</f>
        <v>3.3167581390768106E-7</v>
      </c>
      <c r="S70" s="28" t="s">
        <v>161</v>
      </c>
      <c r="AJ70"/>
      <c r="AK70"/>
      <c r="AL70"/>
      <c r="AM70"/>
      <c r="AN70"/>
      <c r="AO70"/>
    </row>
    <row r="71" spans="2:41" s="131" customFormat="1" ht="16.5" outlineLevel="3" x14ac:dyDescent="0.35">
      <c r="B71" s="282" t="s">
        <v>194</v>
      </c>
      <c r="C71" s="283"/>
      <c r="D71" s="283"/>
      <c r="E71" s="158"/>
      <c r="F71" s="209" t="s">
        <v>187</v>
      </c>
      <c r="G71" s="158"/>
      <c r="H71" s="177">
        <f>IF(EN_SBB0,IF(L$21=uc!$M$26,H65,IF(L$21=uc!$M$27,H67,IF(L$21=uc!$M$28,H69,"ERR"))), 0)</f>
        <v>0</v>
      </c>
      <c r="I71" s="177">
        <f>IF(EN_SBB1,IF(M$21=uc!$M$26,I65,IF(M$21=uc!$M$27,I67,IF(M$21=uc!$M$28,I69,"ERR"))), 0)</f>
        <v>1.024710313677222E-7</v>
      </c>
      <c r="J71" s="177">
        <f>IF(EN_SBB2,IF(N$21=uc!$M$26,J65,IF(N$21=uc!$M$27,J67,IF(N$21=uc!$M$28,J69,"ERR"))), 0)</f>
        <v>0</v>
      </c>
      <c r="K71" s="158"/>
      <c r="L71" s="177">
        <f>IF(EN_SBB0,IF(L$21=uc!$M$26,L65,IF(L$21=uc!$M$27,L67,IF(L$21=uc!$M$28,L69,"ERR"))), 0)</f>
        <v>0</v>
      </c>
      <c r="M71" s="177">
        <f>IF(EN_SBB1,IF(M$21=uc!$M$26,M65,IF(M$21=uc!$M$27,M67,IF(M$21=uc!$M$28,M69,"ERR"))), 0)</f>
        <v>1.0874673254842045E-7</v>
      </c>
      <c r="N71" s="177">
        <f>IF(EN_SBB2,IF(N$21=uc!$M$26,N65,IF(N$21=uc!$M$27,N67,IF(N$21=uc!$M$28,N69,"ERR"))), 0)</f>
        <v>0</v>
      </c>
      <c r="O71" s="158"/>
      <c r="P71" s="177">
        <f>IF(EN_SBB0,IF(L$21=uc!$M$26,P65,IF(L$21=uc!$M$27,P67,IF(L$21=uc!$M$28,P69,"ERR"))), 0)</f>
        <v>0</v>
      </c>
      <c r="Q71" s="177">
        <f>IF(EN_SBB1,IF(M$21=uc!$M$26,Q65,IF(M$21=uc!$M$27,Q67,IF(M$21=uc!$M$28,Q69,"ERR"))), 0)</f>
        <v>1.154570307468246E-7</v>
      </c>
      <c r="R71" s="177">
        <f>IF(EN_SBB2,IF(N$21=uc!$M$26,R65,IF(N$21=uc!$M$27,R67,IF(N$21=uc!$M$28,R69,"ERR"))), 0)</f>
        <v>0</v>
      </c>
      <c r="S71" s="32" t="s">
        <v>161</v>
      </c>
      <c r="AJ71"/>
      <c r="AK71"/>
      <c r="AL71"/>
      <c r="AM71"/>
      <c r="AN71"/>
      <c r="AO71"/>
    </row>
    <row r="72" spans="2:41" s="131" customFormat="1" ht="16.5" outlineLevel="3" x14ac:dyDescent="0.35">
      <c r="B72" s="282"/>
      <c r="C72" s="283"/>
      <c r="D72" s="283"/>
      <c r="E72" s="158"/>
      <c r="F72" s="210" t="s">
        <v>188</v>
      </c>
      <c r="G72" s="158"/>
      <c r="H72" s="177">
        <f>IF(EN_SBB0,IF(L$21=uc!$M$26,H66,IF(L$21=uc!$M$27,H68,IF(L$21=uc!$M$28,H70,"ERR"))), 0)</f>
        <v>2.1791953103146256E-7</v>
      </c>
      <c r="I72" s="177">
        <f>IF(EN_SBB1,IF(M$21=uc!$M$26,I66,IF(M$21=uc!$M$27,I68,IF(M$21=uc!$M$28,I70,"ERR"))), 0)</f>
        <v>1.000177821966998E-7</v>
      </c>
      <c r="J72" s="177">
        <f>IF(EN_SBB2,IF(N$21=uc!$M$26,J66,IF(N$21=uc!$M$27,J68,IF(N$21=uc!$M$28,J70,"ERR"))), 0)</f>
        <v>2.867561399145513E-7</v>
      </c>
      <c r="K72" s="158"/>
      <c r="L72" s="177">
        <f>IF(EN_SBB0,IF(L$21=uc!$M$26,L66,IF(L$21=uc!$M$27,L68,IF(L$21=uc!$M$28,L70,"ERR"))), 0)</f>
        <v>2.2217574798400937E-7</v>
      </c>
      <c r="M72" s="177">
        <f>IF(EN_SBB1,IF(M$21=uc!$M$26,M66,IF(M$21=uc!$M$27,M68,IF(M$21=uc!$M$28,M70,"ERR"))), 0)</f>
        <v>1.0197425242122493E-7</v>
      </c>
      <c r="N72" s="177">
        <f>IF(EN_SBB2,IF(N$21=uc!$M$26,N66,IF(N$21=uc!$M$27,N68,IF(N$21=uc!$M$28,N70,"ERR"))), 0)</f>
        <v>3.0758975027759097E-7</v>
      </c>
      <c r="O72" s="158"/>
      <c r="P72" s="177">
        <f>IF(EN_SBB0,IF(L$21=uc!$M$26,P66,IF(L$21=uc!$M$27,P68,IF(L$21=uc!$M$28,P70,"ERR"))), 0)</f>
        <v>2.2660136358390825E-7</v>
      </c>
      <c r="Q72" s="177">
        <f>IF(EN_SBB1,IF(M$21=uc!$M$26,Q66,IF(M$21=uc!$M$27,Q68,IF(M$21=uc!$M$28,Q70,"ERR"))), 0)</f>
        <v>1.0400872237411702E-7</v>
      </c>
      <c r="R72" s="177">
        <f>IF(EN_SBB2,IF(N$21=uc!$M$26,R66,IF(N$21=uc!$M$27,R68,IF(N$21=uc!$M$28,R70,"ERR"))), 0)</f>
        <v>3.3167581390768106E-7</v>
      </c>
      <c r="S72" s="28" t="s">
        <v>161</v>
      </c>
      <c r="AJ72"/>
      <c r="AK72"/>
      <c r="AL72"/>
      <c r="AM72"/>
      <c r="AN72"/>
      <c r="AO72"/>
    </row>
    <row r="73" spans="2:41" s="131" customFormat="1" ht="15" outlineLevel="2" thickBot="1" x14ac:dyDescent="0.4">
      <c r="B73" s="252" t="s">
        <v>193</v>
      </c>
      <c r="C73" s="253"/>
      <c r="D73" s="253"/>
      <c r="E73" s="253"/>
      <c r="F73" s="253"/>
      <c r="G73" s="253"/>
      <c r="H73" s="253"/>
      <c r="I73" s="253"/>
      <c r="J73" s="253"/>
      <c r="K73" s="253"/>
      <c r="L73" s="253"/>
      <c r="M73" s="253"/>
      <c r="N73" s="253"/>
      <c r="O73" s="253"/>
      <c r="P73" s="253"/>
      <c r="Q73" s="253"/>
      <c r="R73" s="253"/>
      <c r="S73" s="254"/>
      <c r="AJ73"/>
      <c r="AK73"/>
      <c r="AL73"/>
      <c r="AM73"/>
      <c r="AN73"/>
      <c r="AO73"/>
    </row>
    <row r="74" spans="2:41" s="131" customFormat="1" ht="16.5" outlineLevel="3" x14ac:dyDescent="0.35">
      <c r="B74" s="276" t="s">
        <v>27</v>
      </c>
      <c r="C74" s="277"/>
      <c r="D74" s="277"/>
      <c r="E74" s="158"/>
      <c r="F74" s="179" t="s">
        <v>170</v>
      </c>
      <c r="G74" s="158"/>
      <c r="H74" s="177">
        <f>VOUT_SBB0_MIN+H46*POWER(tCHG_SBB0_MIN,2)/2/COUT_EFF_SBB0</f>
        <v>3.2356283012915052</v>
      </c>
      <c r="I74" s="177">
        <f>VOUT_SBB1_MIN+I46*POWER(tCHG_SBB1_MIN,2)/2/COUT_EFF_SBB1</f>
        <v>1.7707235074015444</v>
      </c>
      <c r="J74" s="177">
        <f>VOUT_SBB2_MIN+J46*POWER(tCHG_SBB2_MIN,2)/2/COUT_EFF_SBB2</f>
        <v>4.8860719895380411</v>
      </c>
      <c r="K74" s="158"/>
      <c r="L74" s="183">
        <f>VOUT_SBB0+L46*POWER(tCHG_SBB0,2)/2/COUT_EFF_SBB0</f>
        <v>3.3020597828513636</v>
      </c>
      <c r="M74" s="177">
        <f>VOUT_SBB1+M46*POWER(tCHG_SBB1,2)/2/COUT_EFF_SBB1</f>
        <v>1.8071352796143845</v>
      </c>
      <c r="N74" s="177">
        <f>VOUT_SBB2+N46*POWER(tCHG_SBB2,2)/2/COUT_EFF_SBB2</f>
        <v>4.9870224373068339</v>
      </c>
      <c r="O74" s="158"/>
      <c r="P74" s="177">
        <f>VOUT_SBB0_MAX+P46*POWER(tCHG_SBB0_MAX,2)/2/COUT_EFF_SBB0</f>
        <v>3.3684912644112224</v>
      </c>
      <c r="Q74" s="177">
        <f>VOUT_SBB1_MAX+Q46*POWER(tCHG_SBB1_MAX,2)/2/COUT_EFF_SBB1</f>
        <v>1.8435755673620666</v>
      </c>
      <c r="R74" s="177">
        <f>VOUT_SBB2_MAX+R46*POWER(tCHG_SBB2_MAX,2)/2/COUT_EFF_SBB2</f>
        <v>5.0879728850756267</v>
      </c>
      <c r="S74" s="32" t="s">
        <v>10</v>
      </c>
      <c r="AJ74"/>
      <c r="AK74"/>
      <c r="AL74"/>
      <c r="AM74"/>
      <c r="AN74"/>
      <c r="AO74"/>
    </row>
    <row r="75" spans="2:41" s="131" customFormat="1" ht="16.5" outlineLevel="3" x14ac:dyDescent="0.35">
      <c r="B75" s="278"/>
      <c r="C75" s="279"/>
      <c r="D75" s="279"/>
      <c r="E75" s="158"/>
      <c r="F75" s="180" t="s">
        <v>171</v>
      </c>
      <c r="G75" s="158"/>
      <c r="H75" s="177">
        <f>H74+IPeak_Adjust_SBB0*tDIS_SBB0_MIN/COUT_EFF_SBB0-H47*POWER(tDIS_SBB0_MIN,2)/2/COUT_EFF_SBB0</f>
        <v>3.2596711230816089</v>
      </c>
      <c r="I75" s="177">
        <f>I74+IPeak_Adjust_SBB1*tDIS_SBB1_MIN/COUT_EFF_SBB1-I47*POWER(tDIS_SBB1_MIN,2)/2/COUT_EFF_SBB1</f>
        <v>1.7775230838096658</v>
      </c>
      <c r="J75" s="177">
        <f>J74+IPeak_Adjust_SBB2*tDIS_SBB2_MIN/COUT_EFF_SBB2-J47*POWER(tDIS_SBB2_MIN,2)/2/COUT_EFF_SBB2</f>
        <v>4.8366564383003752</v>
      </c>
      <c r="K75" s="158"/>
      <c r="L75" s="183">
        <f>L74+IPeak_Adjust_SBB0*tDIS_SBB0/COUT_EFF_SBB0-L47*POWER(tDIS_SBB0,2)/2/COUT_EFF_SBB0</f>
        <v>3.3257223693604789</v>
      </c>
      <c r="M75" s="177">
        <f>M74+IPeak_Adjust_SBB1*tDIS_SBB1/COUT_EFF_SBB1-M47*POWER(tDIS_SBB1,2)/2/COUT_EFF_SBB1</f>
        <v>1.8138261914923048</v>
      </c>
      <c r="N75" s="177">
        <f>N74+IPeak_Adjust_SBB2*tDIS_SBB2/COUT_EFF_SBB2-N47*POWER(tDIS_SBB2,2)/2/COUT_EFF_SBB2</f>
        <v>4.9213482122065937</v>
      </c>
      <c r="O75" s="158"/>
      <c r="P75" s="177">
        <f>P74+IPeak_Adjust_SBB0*tDIS_SBB0_MAX/COUT_EFF_SBB0-P47*POWER(tDIS_SBB0_MAX,2)/2/COUT_EFF_SBB0</f>
        <v>3.3917261349223153</v>
      </c>
      <c r="Q75" s="177">
        <f>Q74+IPeak_Adjust_SBB1*tDIS_SBB1_MAX/COUT_EFF_SBB1-Q47*POWER(tDIS_SBB1_MAX,2)/2/COUT_EFF_SBB1</f>
        <v>1.8501442308143154</v>
      </c>
      <c r="R75" s="177">
        <f>R74+IPeak_Adjust_SBB2*tDIS_SBB2_MAX/COUT_EFF_SBB2-R47*POWER(tDIS_SBB2_MAX,2)/2/COUT_EFF_SBB2</f>
        <v>5.0016157241311356</v>
      </c>
      <c r="S75" s="28" t="s">
        <v>10</v>
      </c>
      <c r="AJ75"/>
      <c r="AK75"/>
      <c r="AL75"/>
      <c r="AM75"/>
      <c r="AN75"/>
      <c r="AO75"/>
    </row>
    <row r="76" spans="2:41" s="131" customFormat="1" ht="16.5" outlineLevel="3" x14ac:dyDescent="0.35">
      <c r="B76" s="280" t="s">
        <v>26</v>
      </c>
      <c r="C76" s="281"/>
      <c r="D76" s="281"/>
      <c r="E76" s="158"/>
      <c r="F76" s="179" t="s">
        <v>172</v>
      </c>
      <c r="G76" s="158"/>
      <c r="H76" s="216"/>
      <c r="I76" s="216"/>
      <c r="J76" s="216"/>
      <c r="K76" s="158"/>
      <c r="L76" s="216"/>
      <c r="M76" s="216"/>
      <c r="N76" s="216"/>
      <c r="O76" s="158"/>
      <c r="P76" s="216"/>
      <c r="Q76" s="216"/>
      <c r="R76" s="216"/>
      <c r="S76" s="32" t="s">
        <v>10</v>
      </c>
      <c r="AJ76"/>
      <c r="AK76"/>
      <c r="AL76"/>
      <c r="AM76"/>
      <c r="AN76"/>
      <c r="AO76"/>
    </row>
    <row r="77" spans="2:41" s="131" customFormat="1" ht="16.5" outlineLevel="3" x14ac:dyDescent="0.35">
      <c r="B77" s="280"/>
      <c r="C77" s="281"/>
      <c r="D77" s="281"/>
      <c r="E77" s="158"/>
      <c r="F77" s="180" t="s">
        <v>173</v>
      </c>
      <c r="G77" s="158"/>
      <c r="H77" s="177">
        <f>VOUT_SBB0_MIN+IPeak_Adjust_SBB0*tDIS_SBB0_MIN/COUT_EFF_SBB0-H49*POWER(tDIS_SBB0_MIN,2)/2/COUT_EFF_SBB0</f>
        <v>3.2580428217901036</v>
      </c>
      <c r="I77" s="177">
        <f>VOUT_SBB1_MIN+IPeak_Adjust_SBB1*tDIS_SBB1_MIN/COUT_EFF_SBB1-I49*POWER(tDIS_SBB1_MIN,2)/2/COUT_EFF_SBB1</f>
        <v>1.7707995764081215</v>
      </c>
      <c r="J77" s="177">
        <f>VOUT_SBB2_MIN+IPeak_Adjust_SBB2*tDIS_SBB2_MIN/COUT_EFF_SBB2-J49*POWER(tDIS_SBB2_MIN,2)/2/COUT_EFF_SBB2</f>
        <v>4.8505844487623344</v>
      </c>
      <c r="K77" s="158"/>
      <c r="L77" s="183">
        <f>VOUT_SBB0+IPeak_Adjust_SBB0*tDIS_SBB0/COUT_EFF_SBB0-L49*POWER(tDIS_SBB0,2)/2/COUT_EFF_SBB0</f>
        <v>3.3236625865091152</v>
      </c>
      <c r="M77" s="177">
        <f>VOUT_SBB1+IPeak_Adjust_SBB1*tDIS_SBB1/COUT_EFF_SBB1-M49*POWER(tDIS_SBB1,2)/2/COUT_EFF_SBB1</f>
        <v>1.8066909118779204</v>
      </c>
      <c r="N77" s="177">
        <f>VOUT_SBB2+IPeak_Adjust_SBB2*tDIS_SBB2/COUT_EFF_SBB2-N49*POWER(tDIS_SBB2,2)/2/COUT_EFF_SBB2</f>
        <v>4.9343257748997598</v>
      </c>
      <c r="O77" s="158"/>
      <c r="P77" s="177">
        <f>VOUT_SBB0_MAX+IPeak_Adjust_SBB0*tDIS_SBB0_MAX/COUT_EFF_SBB0-P49*POWER(tDIS_SBB0_MAX,2)/2/COUT_EFF_SBB0</f>
        <v>3.3892348705110926</v>
      </c>
      <c r="Q77" s="177">
        <f>VOUT_SBB1_MAX+IPeak_Adjust_SBB1*tDIS_SBB1_MAX/COUT_EFF_SBB1-Q49*POWER(tDIS_SBB1_MAX,2)/2/COUT_EFF_SBB1</f>
        <v>1.8425686634522489</v>
      </c>
      <c r="R77" s="177">
        <f>VOUT_SBB2_MAX+IPeak_Adjust_SBB2*tDIS_SBB2_MAX/COUT_EFF_SBB2-R49*POWER(tDIS_SBB2_MAX,2)/2/COUT_EFF_SBB2</f>
        <v>5.0136428390555086</v>
      </c>
      <c r="S77" s="28" t="s">
        <v>10</v>
      </c>
      <c r="AJ77"/>
      <c r="AK77"/>
      <c r="AL77"/>
      <c r="AM77"/>
      <c r="AN77"/>
      <c r="AO77"/>
    </row>
    <row r="78" spans="2:41" s="131" customFormat="1" ht="16.5" outlineLevel="3" x14ac:dyDescent="0.35">
      <c r="B78" s="278" t="s">
        <v>93</v>
      </c>
      <c r="C78" s="279"/>
      <c r="D78" s="279"/>
      <c r="E78" s="158"/>
      <c r="F78" s="179" t="s">
        <v>174</v>
      </c>
      <c r="G78" s="158"/>
      <c r="H78" s="216"/>
      <c r="I78" s="216"/>
      <c r="J78" s="216"/>
      <c r="K78" s="158"/>
      <c r="L78" s="216"/>
      <c r="M78" s="216"/>
      <c r="N78" s="216"/>
      <c r="O78" s="158"/>
      <c r="P78" s="216"/>
      <c r="Q78" s="216"/>
      <c r="R78" s="216"/>
      <c r="S78" s="32" t="s">
        <v>10</v>
      </c>
      <c r="AJ78"/>
      <c r="AK78"/>
      <c r="AL78"/>
      <c r="AM78"/>
      <c r="AN78"/>
      <c r="AO78"/>
    </row>
    <row r="79" spans="2:41" s="131" customFormat="1" ht="16.5" outlineLevel="3" x14ac:dyDescent="0.35">
      <c r="B79" s="278"/>
      <c r="C79" s="279"/>
      <c r="D79" s="279"/>
      <c r="E79" s="158"/>
      <c r="F79" s="180" t="s">
        <v>175</v>
      </c>
      <c r="G79" s="158"/>
      <c r="H79" s="177">
        <f>VOUT_SBB0_MIN+IPeak_Adjust_SBB0*tDIS_SBB0_MIN/COUT_EFF_SBB0-H51*POWER(tDIS_SBB0_MIN,2)/2/COUT_EFF_SBB0</f>
        <v>3.2813242180116426</v>
      </c>
      <c r="I79" s="177">
        <f>VOUT_SBB1_MIN+IPeak_Adjust_SBB1*tDIS_SBB1_MIN/COUT_EFF_SBB1-I51*POWER(tDIS_SBB1_MIN,2)/2/COUT_EFF_SBB1</f>
        <v>1.7829589611384424</v>
      </c>
      <c r="J79" s="177">
        <f>VOUT_SBB2_MIN+IPeak_Adjust_SBB2*tDIS_SBB2_MIN/COUT_EFF_SBB2-J51*POWER(tDIS_SBB2_MIN,2)/2/COUT_EFF_SBB2</f>
        <v>4.9503002224323849</v>
      </c>
      <c r="K79" s="158"/>
      <c r="L79" s="183">
        <f>VOUT_SBB0+IPeak_Adjust_SBB0*tDIS_SBB0/COUT_EFF_SBB0-L51*POWER(tDIS_SBB0,2)/2/COUT_EFF_SBB0</f>
        <v>3.3478330612799203</v>
      </c>
      <c r="M79" s="177">
        <f>VOUT_SBB1+IPeak_Adjust_SBB1*tDIS_SBB1/COUT_EFF_SBB1-M51*POWER(tDIS_SBB1,2)/2/COUT_EFF_SBB1</f>
        <v>1.8193163146270284</v>
      </c>
      <c r="N79" s="177">
        <f>VOUT_SBB2+IPeak_Adjust_SBB2*tDIS_SBB2/COUT_EFF_SBB2-N51*POWER(tDIS_SBB2,2)/2/COUT_EFF_SBB2</f>
        <v>5.0481575898918285</v>
      </c>
      <c r="O79" s="158"/>
      <c r="P79" s="177">
        <f>VOUT_SBB0_MAX+IPeak_Adjust_SBB0*tDIS_SBB0_MAX/COUT_EFF_SBB0-P51*POWER(tDIS_SBB0_MAX,2)/2/COUT_EFF_SBB0</f>
        <v>3.4143463567311536</v>
      </c>
      <c r="Q79" s="177">
        <f>VOUT_SBB1_MAX+IPeak_Adjust_SBB1*tDIS_SBB1_MAX/COUT_EFF_SBB1-Q51*POWER(tDIS_SBB1_MAX,2)/2/COUT_EFF_SBB1</f>
        <v>1.8556874041580889</v>
      </c>
      <c r="R79" s="177">
        <f>VOUT_SBB2_MAX+IPeak_Adjust_SBB2*tDIS_SBB2_MAX/COUT_EFF_SBB2-R51*POWER(tDIS_SBB2_MAX,2)/2/COUT_EFF_SBB2</f>
        <v>5.1448190698271494</v>
      </c>
      <c r="S79" s="28" t="s">
        <v>10</v>
      </c>
      <c r="AJ79"/>
      <c r="AK79"/>
      <c r="AL79"/>
      <c r="AM79"/>
      <c r="AN79"/>
      <c r="AO79"/>
    </row>
    <row r="80" spans="2:41" s="131" customFormat="1" ht="16.5" outlineLevel="3" x14ac:dyDescent="0.35">
      <c r="B80" s="282" t="s">
        <v>194</v>
      </c>
      <c r="C80" s="283"/>
      <c r="D80" s="283"/>
      <c r="E80" s="158"/>
      <c r="F80" s="209" t="s">
        <v>176</v>
      </c>
      <c r="G80" s="158"/>
      <c r="H80" s="177">
        <f>IF(EN_SBB0,IF(L$21=uc!$M$26,H74,IF(L$21=uc!$M$27,H76,IF(L$21=uc!$M$28,H78,"ERR"))), 0)</f>
        <v>0</v>
      </c>
      <c r="I80" s="177">
        <f>IF(EN_SBB1,IF(M$21=uc!$M$26,I74,IF(M$21=uc!$M$27,I76,IF(M$21=uc!$M$28,I78,"ERR"))), 0)</f>
        <v>1.7707235074015444</v>
      </c>
      <c r="J80" s="177">
        <f>IF(EN_SBB2,IF(N$21=uc!$M$26,J74,IF(N$21=uc!$M$27,J76,IF(N$21=uc!$M$28,J78,"ERR"))), 0)</f>
        <v>0</v>
      </c>
      <c r="K80" s="158"/>
      <c r="L80" s="177">
        <f>IF(EN_SBB0,IF(L$21=uc!$M$26,L74,IF(L$21=uc!$M$27,L76,IF(L$21=uc!$M$28,L78,"ERR"))), 0)</f>
        <v>0</v>
      </c>
      <c r="M80" s="177">
        <f>IF(EN_SBB1,IF(M$21=uc!$M$26,M74,IF(M$21=uc!$M$27,M76,IF(M$21=uc!$M$28,M78,"ERR"))), 0)</f>
        <v>1.8071352796143845</v>
      </c>
      <c r="N80" s="177">
        <f>IF(EN_SBB2,IF(N$21=uc!$M$26,N74,IF(N$21=uc!$M$27,N76,IF(N$21=uc!$M$28,N78,"ERR"))), 0)</f>
        <v>0</v>
      </c>
      <c r="O80" s="158"/>
      <c r="P80" s="177">
        <f>IF(EN_SBB0,IF(L$21=uc!$M$26,P74,IF(L$21=uc!$M$27,P76,IF(L$21=uc!$M$28,P78,"ERR"))), 0)</f>
        <v>0</v>
      </c>
      <c r="Q80" s="177">
        <f>IF(EN_SBB1,IF(M$21=uc!$M$26,Q74,IF(M$21=uc!$M$27,Q76,IF(M$21=uc!$M$28,Q78,"ERR"))), 0)</f>
        <v>1.8435755673620666</v>
      </c>
      <c r="R80" s="177">
        <f>IF(EN_SBB2,IF(N$21=uc!$M$26,R74,IF(N$21=uc!$M$27,R76,IF(N$21=uc!$M$28,R78,"ERR"))), 0)</f>
        <v>0</v>
      </c>
      <c r="S80" s="32" t="s">
        <v>10</v>
      </c>
      <c r="AJ80"/>
      <c r="AK80"/>
      <c r="AL80"/>
      <c r="AM80"/>
      <c r="AN80"/>
      <c r="AO80"/>
    </row>
    <row r="81" spans="2:41" s="131" customFormat="1" ht="16.5" outlineLevel="3" x14ac:dyDescent="0.35">
      <c r="B81" s="282"/>
      <c r="C81" s="283"/>
      <c r="D81" s="283"/>
      <c r="E81" s="158"/>
      <c r="F81" s="210" t="s">
        <v>177</v>
      </c>
      <c r="G81" s="158"/>
      <c r="H81" s="177">
        <f>IF(EN_SBB0,IF(L$21=uc!$M$26,H75,IF(L$21=uc!$M$27,H77,IF(L$21=uc!$M$28,H79,"ERR"))), 0)</f>
        <v>3.2580428217901036</v>
      </c>
      <c r="I81" s="177">
        <f>IF(EN_SBB1,IF(M$21=uc!$M$26,I75,IF(M$21=uc!$M$27,I77,IF(M$21=uc!$M$28,I79,"ERR"))), 0)</f>
        <v>1.7775230838096658</v>
      </c>
      <c r="J81" s="177">
        <f>IF(EN_SBB2,IF(N$21=uc!$M$26,J75,IF(N$21=uc!$M$27,J77,IF(N$21=uc!$M$28,J79,"ERR"))), 0)</f>
        <v>4.9503002224323849</v>
      </c>
      <c r="K81" s="158"/>
      <c r="L81" s="177">
        <f>IF(EN_SBB0,IF(L$21=uc!$M$26,L75,IF(L$21=uc!$M$27,L77,IF(L$21=uc!$M$28,L79,"ERR"))), 0)</f>
        <v>3.3236625865091152</v>
      </c>
      <c r="M81" s="177">
        <f>IF(EN_SBB1,IF(M$21=uc!$M$26,M75,IF(M$21=uc!$M$27,M77,IF(M$21=uc!$M$28,M79,"ERR"))), 0)</f>
        <v>1.8138261914923048</v>
      </c>
      <c r="N81" s="177">
        <f>IF(EN_SBB2,IF(N$21=uc!$M$26,N75,IF(N$21=uc!$M$27,N77,IF(N$21=uc!$M$28,N79,"ERR"))), 0)</f>
        <v>5.0481575898918285</v>
      </c>
      <c r="O81" s="158"/>
      <c r="P81" s="177">
        <f>IF(EN_SBB0,IF(L$21=uc!$M$26,P75,IF(L$21=uc!$M$27,P77,IF(L$21=uc!$M$28,P79,"ERR"))), 0)</f>
        <v>3.3892348705110926</v>
      </c>
      <c r="Q81" s="177">
        <f>IF(EN_SBB1,IF(M$21=uc!$M$26,Q75,IF(M$21=uc!$M$27,Q77,IF(M$21=uc!$M$28,Q79,"ERR"))), 0)</f>
        <v>1.8501442308143154</v>
      </c>
      <c r="R81" s="177">
        <f>IF(EN_SBB2,IF(N$21=uc!$M$26,R75,IF(N$21=uc!$M$27,R77,IF(N$21=uc!$M$28,R79,"ERR"))), 0)</f>
        <v>5.1448190698271494</v>
      </c>
      <c r="S81" s="28" t="s">
        <v>10</v>
      </c>
      <c r="AJ81"/>
      <c r="AK81"/>
      <c r="AL81"/>
      <c r="AM81"/>
      <c r="AN81"/>
      <c r="AO81"/>
    </row>
    <row r="82" spans="2:41" s="1" customFormat="1" ht="15" outlineLevel="2" thickBot="1" x14ac:dyDescent="0.4">
      <c r="B82" s="252" t="s">
        <v>189</v>
      </c>
      <c r="C82" s="253"/>
      <c r="D82" s="253"/>
      <c r="E82" s="253"/>
      <c r="F82" s="253"/>
      <c r="G82" s="253"/>
      <c r="H82" s="253"/>
      <c r="I82" s="253"/>
      <c r="J82" s="253"/>
      <c r="K82" s="253"/>
      <c r="L82" s="253"/>
      <c r="M82" s="253"/>
      <c r="N82" s="253"/>
      <c r="O82" s="253"/>
      <c r="P82" s="253"/>
      <c r="Q82" s="253"/>
      <c r="R82" s="253"/>
      <c r="S82" s="254"/>
      <c r="AJ82"/>
      <c r="AK82"/>
      <c r="AL82"/>
      <c r="AM82"/>
      <c r="AN82"/>
      <c r="AO82"/>
    </row>
    <row r="83" spans="2:41" s="1" customFormat="1" ht="16.5" outlineLevel="3" x14ac:dyDescent="0.35">
      <c r="B83" s="195"/>
      <c r="C83" s="193"/>
      <c r="D83" s="182"/>
      <c r="E83" s="158"/>
      <c r="F83" s="209" t="s">
        <v>179</v>
      </c>
      <c r="G83" s="158"/>
      <c r="H83" s="218">
        <f>-POWER(Irms_SBB0,2)*rCHG_SBB0*tCHG_SBB0_MIN</f>
        <v>-3.5850732592582022E-8</v>
      </c>
      <c r="I83" s="218">
        <f>-POWER(Irms_SBB1,2)*rCHG_SBB1*tCHG_SBB1_MIN</f>
        <v>-9.1219336467352869E-9</v>
      </c>
      <c r="J83" s="218">
        <f>-POWER(Irms_SBB2,2)*rCHG_SBB2*tCHG_SBB2_MIN</f>
        <v>-2.0054501755351745E-8</v>
      </c>
      <c r="K83" s="158"/>
      <c r="L83" s="177">
        <f>-POWER(Irms_SBB0,2)*rCHG_SBB0*tCHG_SBB0</f>
        <v>-3.5850732592582022E-8</v>
      </c>
      <c r="M83" s="177">
        <f>-POWER(Irms_SBB1,2)*rCHG_SBB1*tCHG_SBB1</f>
        <v>-9.305560345010303E-9</v>
      </c>
      <c r="N83" s="177">
        <f>-POWER(Irms_SBB2,2)*rCHG_SBB2*tCHG_SBB2</f>
        <v>-2.0054501755351745E-8</v>
      </c>
      <c r="O83" s="158"/>
      <c r="P83" s="218">
        <f>-POWER(Irms_SBB0,2)*rCHG_SBB0*tCHG_SBB0_MAX</f>
        <v>-3.5850732592582022E-8</v>
      </c>
      <c r="Q83" s="218">
        <f>-POWER(Irms_SBB1,2)*rCHG_SBB1*tCHG_SBB1_MAX</f>
        <v>-9.4967354486215513E-9</v>
      </c>
      <c r="R83" s="218">
        <f>-POWER(Irms_SBB2,2)*rCHG_SBB2*tCHG_SBB2_MAX</f>
        <v>-2.0054501755351745E-8</v>
      </c>
      <c r="S83" s="32" t="s">
        <v>83</v>
      </c>
      <c r="AJ83"/>
      <c r="AK83"/>
      <c r="AL83"/>
      <c r="AM83"/>
      <c r="AN83"/>
      <c r="AO83"/>
    </row>
    <row r="84" spans="2:41" s="1" customFormat="1" ht="16.5" outlineLevel="3" x14ac:dyDescent="0.35">
      <c r="B84" s="196"/>
      <c r="C84" s="185"/>
      <c r="D84" s="185"/>
      <c r="E84" s="158"/>
      <c r="F84" s="147" t="s">
        <v>84</v>
      </c>
      <c r="G84" s="158"/>
      <c r="H84" s="177">
        <f>-POWER(Irms_SBB0,2)*rDIS_SBB0*tDIS_SBB0_MIN</f>
        <v>-3.3789692630990445E-8</v>
      </c>
      <c r="I84" s="177">
        <f>-POWER(Irms_SBB1,2)*rDIS_SBB1*tDIS_SBB1_MIN</f>
        <v>-7.8769630226153708E-9</v>
      </c>
      <c r="J84" s="177">
        <f>-POWER(Irms_SBB2,2)*rDIS_SBB2*tDIS_SBB2_MIN</f>
        <v>-3.6033153378043478E-8</v>
      </c>
      <c r="K84" s="158"/>
      <c r="L84" s="177">
        <f>-POWER(Irms_SBB0,2)*rDIS_SBB0*tDIS_SBB0</f>
        <v>-3.4428834479111577E-8</v>
      </c>
      <c r="M84" s="177">
        <f>-POWER(Irms_SBB1,2)*rDIS_SBB1*tDIS_SBB1</f>
        <v>-8.026489228435666E-9</v>
      </c>
      <c r="N84" s="177">
        <f>-POWER(Irms_SBB2,2)*rDIS_SBB2*tDIS_SBB2</f>
        <v>-3.849924111965969E-8</v>
      </c>
      <c r="O84" s="158"/>
      <c r="P84" s="177">
        <f>-POWER(Irms_SBB0,2)*rDIS_SBB0*tDIS_SBB0_MAX</f>
        <v>-3.5092631723346635E-8</v>
      </c>
      <c r="Q84" s="177">
        <f>-POWER(Irms_SBB1,2)*rDIS_SBB1*tDIS_SBB1_MAX</f>
        <v>-8.1818041760278614E-9</v>
      </c>
      <c r="R84" s="177">
        <f>-POWER(Irms_SBB2,2)*rDIS_SBB2*tDIS_SBB2_MAX</f>
        <v>-4.132833532361647E-8</v>
      </c>
      <c r="S84" s="60" t="s">
        <v>83</v>
      </c>
      <c r="AJ84"/>
      <c r="AK84"/>
      <c r="AL84"/>
      <c r="AM84"/>
      <c r="AN84"/>
      <c r="AO84"/>
    </row>
    <row r="85" spans="2:41" s="1" customFormat="1" ht="16.5" outlineLevel="3" x14ac:dyDescent="0.35">
      <c r="B85" s="195"/>
      <c r="C85" s="182"/>
      <c r="D85" s="182"/>
      <c r="E85" s="158"/>
      <c r="F85" s="209" t="s">
        <v>195</v>
      </c>
      <c r="G85" s="158"/>
      <c r="H85" s="177" cm="1">
        <f t="array" ref="H85">QCHG_SBB0_MIN*VCOUT_CHG_SBB0_MIN</f>
        <v>0</v>
      </c>
      <c r="I85" s="177" cm="1">
        <f t="array" ref="I85">QCHG_SBB1_MIN*VCOUT_CHG_SBB1_MIN</f>
        <v>1.8144786407050674E-7</v>
      </c>
      <c r="J85" s="177" cm="1">
        <f t="array" ref="J85">QCHG_SBB2_MIN*VCOUT_CHG_SBB2_MIN</f>
        <v>0</v>
      </c>
      <c r="K85" s="158"/>
      <c r="L85" s="177">
        <f>QCHG_SBB0*VCOUT_CHG_SBB0</f>
        <v>0</v>
      </c>
      <c r="M85" s="177">
        <f>QCHG_SBB1*VCOUT_CHG_SBB1</f>
        <v>1.9652005693104046E-7</v>
      </c>
      <c r="N85" s="177">
        <f>QCHG_SBB2*VCOUT_CHG_SBB2</f>
        <v>0</v>
      </c>
      <c r="O85" s="158"/>
      <c r="P85" s="177" cm="1">
        <f t="array" ref="P85">QCHG_SBB0_MAX*VCOUT_CHG_SBB0_MAX</f>
        <v>0</v>
      </c>
      <c r="Q85" s="177" cm="1">
        <f t="array" ref="Q85">QCHG_SBB1_MAX*VCOUT_CHG_SBB1_MAX</f>
        <v>2.1285376096501673E-7</v>
      </c>
      <c r="R85" s="177" cm="1">
        <f t="array" ref="R85">QCHG_SBB2_MAX*VCOUT_CHG_SBB2_MAX</f>
        <v>0</v>
      </c>
      <c r="S85" s="32" t="s">
        <v>83</v>
      </c>
      <c r="AJ85"/>
      <c r="AK85"/>
      <c r="AL85"/>
      <c r="AM85"/>
      <c r="AN85"/>
      <c r="AO85"/>
    </row>
    <row r="86" spans="2:41" s="1" customFormat="1" ht="16.5" outlineLevel="3" x14ac:dyDescent="0.35">
      <c r="B86" s="197"/>
      <c r="C86" s="198"/>
      <c r="D86" s="198"/>
      <c r="E86" s="158"/>
      <c r="F86" s="210" t="s">
        <v>196</v>
      </c>
      <c r="G86" s="158"/>
      <c r="H86" s="177" cm="1">
        <f t="array" ref="H86">QDIS_SBB0_MIN*VCOUT_DIS_SBB0_MIN</f>
        <v>7.0999116380492239E-7</v>
      </c>
      <c r="I86" s="177" cm="1">
        <f t="array" ref="I86">QDIS_SBB1_MIN*VCOUT_DIS_SBB1_MIN</f>
        <v>1.7778391664608133E-7</v>
      </c>
      <c r="J86" s="177" cm="1">
        <f t="array" ref="J86">QDIS_SBB2_MIN*VCOUT_DIS_SBB2_MIN</f>
        <v>1.4195289832028554E-6</v>
      </c>
      <c r="K86" s="158"/>
      <c r="L86" s="177">
        <f>QDIS_SBB0*VCOUT_DIS_SBB0</f>
        <v>7.3843722120412988E-7</v>
      </c>
      <c r="M86" s="177">
        <f>QDIS_SBB1*VCOUT_DIS_SBB1</f>
        <v>1.8496356989946536E-7</v>
      </c>
      <c r="N86" s="177">
        <f>QDIS_SBB2*VCOUT_DIS_SBB2</f>
        <v>1.552761532436753E-6</v>
      </c>
      <c r="O86" s="158"/>
      <c r="P86" s="177" cm="1">
        <f t="array" ref="P86">QDIS_SBB0_MAX*VCOUT_DIS_SBB0_MAX</f>
        <v>7.6800524316394424E-7</v>
      </c>
      <c r="Q86" s="177" cm="1">
        <f t="array" ref="Q86">QDIS_SBB1_MAX*VCOUT_DIS_SBB1_MAX</f>
        <v>1.9243113765484041E-7</v>
      </c>
      <c r="R86" s="177" cm="1">
        <f t="array" ref="R86">QDIS_SBB2_MAX*VCOUT_DIS_SBB2_MAX</f>
        <v>1.7064120523926783E-6</v>
      </c>
      <c r="S86" s="28" t="s">
        <v>83</v>
      </c>
      <c r="AJ86"/>
      <c r="AK86"/>
      <c r="AL86"/>
      <c r="AM86"/>
      <c r="AN86"/>
      <c r="AO86"/>
    </row>
    <row r="87" spans="2:41" s="1" customFormat="1" ht="16.5" outlineLevel="3" x14ac:dyDescent="0.35">
      <c r="B87" s="195"/>
      <c r="C87" s="182"/>
      <c r="D87" s="182"/>
      <c r="E87" s="158"/>
      <c r="F87" s="209" t="s">
        <v>197</v>
      </c>
      <c r="G87" s="158"/>
      <c r="H87" s="177">
        <f>SUM(H83:H86)</f>
        <v>6.4035073858134991E-7</v>
      </c>
      <c r="I87" s="177">
        <f t="shared" ref="I87:J87" si="16">SUM(I83:I86)</f>
        <v>3.4223288404723738E-7</v>
      </c>
      <c r="J87" s="177">
        <f t="shared" si="16"/>
        <v>1.3634413280694602E-6</v>
      </c>
      <c r="K87" s="158"/>
      <c r="L87" s="177">
        <f>SUM(L83:L86)</f>
        <v>6.6815765413243628E-7</v>
      </c>
      <c r="M87" s="177">
        <f t="shared" ref="M87:N87" si="17">SUM(M83:M86)</f>
        <v>3.6415157725705983E-7</v>
      </c>
      <c r="N87" s="177">
        <f t="shared" si="17"/>
        <v>1.4942077895617417E-6</v>
      </c>
      <c r="O87" s="158"/>
      <c r="P87" s="177">
        <f>SUM(P83:P86)</f>
        <v>6.9706187884801556E-7</v>
      </c>
      <c r="Q87" s="177">
        <f t="shared" ref="Q87:R87" si="18">SUM(Q83:Q86)</f>
        <v>3.8760635899520774E-7</v>
      </c>
      <c r="R87" s="177">
        <f t="shared" si="18"/>
        <v>1.64502921531371E-6</v>
      </c>
      <c r="S87" s="32" t="s">
        <v>83</v>
      </c>
      <c r="AJ87"/>
      <c r="AK87"/>
      <c r="AL87"/>
      <c r="AM87"/>
      <c r="AN87"/>
      <c r="AO87"/>
    </row>
    <row r="88" spans="2:41" s="131" customFormat="1" ht="15" outlineLevel="2" thickBot="1" x14ac:dyDescent="0.4">
      <c r="B88" s="252" t="s">
        <v>178</v>
      </c>
      <c r="C88" s="253"/>
      <c r="D88" s="253"/>
      <c r="E88" s="253"/>
      <c r="F88" s="253"/>
      <c r="G88" s="253"/>
      <c r="H88" s="253"/>
      <c r="I88" s="253"/>
      <c r="J88" s="253"/>
      <c r="K88" s="253"/>
      <c r="L88" s="253"/>
      <c r="M88" s="253"/>
      <c r="N88" s="253"/>
      <c r="O88" s="253"/>
      <c r="P88" s="253"/>
      <c r="Q88" s="253"/>
      <c r="R88" s="253"/>
      <c r="S88" s="254"/>
      <c r="AJ88"/>
      <c r="AK88"/>
      <c r="AL88"/>
      <c r="AM88"/>
      <c r="AN88"/>
      <c r="AO88"/>
    </row>
    <row r="89" spans="2:41" s="131" customFormat="1" ht="16.5" outlineLevel="3" x14ac:dyDescent="0.35">
      <c r="B89" s="196"/>
      <c r="C89" s="185"/>
      <c r="D89" s="185"/>
      <c r="E89" s="158"/>
      <c r="F89" s="147" t="s">
        <v>180</v>
      </c>
      <c r="G89" s="158"/>
      <c r="H89" s="177">
        <f>EOUT_SBB0_MIN*(1-Summary!Q20)</f>
        <v>4.9441113027387764E-7</v>
      </c>
      <c r="I89" s="177">
        <f>EOUT_SBB1_MIN*(1-Summary!R20)</f>
        <v>2.0495279941221177E-7</v>
      </c>
      <c r="J89" s="177">
        <f>EOUT_SBB2_MIN*(1-Summary!S20)</f>
        <v>1.0441634724237047E-6</v>
      </c>
      <c r="K89" s="158"/>
      <c r="L89" s="177">
        <f>EOUT_SBB0*(1-Summary!M20)</f>
        <v>5.2644667125691288E-7</v>
      </c>
      <c r="M89" s="177">
        <f>EOUT_SBB1*(1-Summary!N20)</f>
        <v>2.3219768118927754E-7</v>
      </c>
      <c r="N89" s="177">
        <f>EOUT_SBB2*(1-Summary!O20)</f>
        <v>1.1953143394474393E-6</v>
      </c>
      <c r="O89" s="158"/>
      <c r="P89" s="177">
        <f>EOUT_SBB0_MAX*(1-Summary!I20)</f>
        <v>5.5947507753673049E-7</v>
      </c>
      <c r="Q89" s="177">
        <f>EOUT_SBB1_MAX*(1-Summary!J20)</f>
        <v>2.6077402480475696E-7</v>
      </c>
      <c r="R89" s="177">
        <f>EOUT_SBB2_MAX*(1-Summary!K20)</f>
        <v>1.3641791697673118E-6</v>
      </c>
      <c r="S89" s="60" t="s">
        <v>83</v>
      </c>
      <c r="AJ89"/>
      <c r="AK89"/>
      <c r="AL89"/>
      <c r="AM89"/>
      <c r="AN89"/>
      <c r="AO89"/>
    </row>
    <row r="90" spans="2:41" s="131" customFormat="1" ht="17" outlineLevel="3" thickBot="1" x14ac:dyDescent="0.4">
      <c r="B90" s="211"/>
      <c r="C90" s="212"/>
      <c r="D90" s="212"/>
      <c r="E90" s="4"/>
      <c r="F90" s="213" t="s">
        <v>202</v>
      </c>
      <c r="G90" s="4"/>
      <c r="H90" s="214">
        <f>0.5*COUT_EFF_SBB0*POWER(VOUT_SBB0_MIN,2)</f>
        <v>4.910033686273296E-5</v>
      </c>
      <c r="I90" s="214">
        <f>0.5*COUT_EFF_SBB1*POWER(VOUT_SBB1_MIN,2)</f>
        <v>2.3712229300853949E-5</v>
      </c>
      <c r="J90" s="214">
        <f>0.5*COUT_EFF_SBB2*POWER(VOUT_SBB2_MIN,2)</f>
        <v>7.6677735750000107E-5</v>
      </c>
      <c r="K90" s="4"/>
      <c r="L90" s="214">
        <f>0.5*COUT_EFF_SBB0*POWER(VOUT_SBB0,2)</f>
        <v>5.1124882197764432E-5</v>
      </c>
      <c r="M90" s="214">
        <f>0.5*COUT_EFF_SBB1*POWER(VOUT_SBB1,2)</f>
        <v>2.4689951375316479E-5</v>
      </c>
      <c r="N90" s="214">
        <f>0.5*COUT_EFF_SBB2*POWER(VOUT_SBB2,2)</f>
        <v>7.9839375000000093E-5</v>
      </c>
      <c r="O90" s="4"/>
      <c r="P90" s="214">
        <f>0.5*COUT_EFF_SBB0*POWER(VOUT_SBB0_MAX,2)</f>
        <v>5.3190327438554105E-5</v>
      </c>
      <c r="Q90" s="214">
        <f>0.5*COUT_EFF_SBB1*POWER(VOUT_SBB1_MAX,2)</f>
        <v>2.5687425410879266E-5</v>
      </c>
      <c r="R90" s="214">
        <f>0.5*COUT_EFF_SBB2*POWER(VOUT_SBB2_MAX,2)</f>
        <v>8.3064885750000096E-5</v>
      </c>
      <c r="S90" s="215" t="s">
        <v>83</v>
      </c>
      <c r="AJ90"/>
      <c r="AK90"/>
      <c r="AL90"/>
      <c r="AM90"/>
      <c r="AN90"/>
      <c r="AO90"/>
    </row>
    <row r="91" spans="2:41" outlineLevel="1" collapsed="1" x14ac:dyDescent="0.35"/>
    <row r="92" spans="2:41" outlineLevel="1" x14ac:dyDescent="0.35"/>
    <row r="93" spans="2:41" outlineLevel="1" x14ac:dyDescent="0.35"/>
    <row r="94" spans="2:41" outlineLevel="1" x14ac:dyDescent="0.35"/>
    <row r="95" spans="2:41" outlineLevel="1" x14ac:dyDescent="0.35"/>
    <row r="96" spans="2:41" outlineLevel="1" x14ac:dyDescent="0.35"/>
    <row r="97" outlineLevel="1" x14ac:dyDescent="0.35"/>
    <row r="98" outlineLevel="1" x14ac:dyDescent="0.35"/>
    <row r="99" outlineLevel="1" x14ac:dyDescent="0.35"/>
    <row r="100" outlineLevel="1" x14ac:dyDescent="0.35"/>
    <row r="101" outlineLevel="1" x14ac:dyDescent="0.35"/>
    <row r="102" outlineLevel="1" x14ac:dyDescent="0.35"/>
    <row r="103" outlineLevel="1" x14ac:dyDescent="0.35"/>
    <row r="104" outlineLevel="1" x14ac:dyDescent="0.35"/>
    <row r="105" outlineLevel="1" x14ac:dyDescent="0.35"/>
    <row r="106" outlineLevel="1" x14ac:dyDescent="0.35"/>
    <row r="107" outlineLevel="1" x14ac:dyDescent="0.35"/>
    <row r="108" outlineLevel="1" x14ac:dyDescent="0.35"/>
    <row r="109" outlineLevel="1" x14ac:dyDescent="0.35"/>
    <row r="110" outlineLevel="1" x14ac:dyDescent="0.35"/>
    <row r="111" outlineLevel="1" x14ac:dyDescent="0.35"/>
    <row r="112" outlineLevel="1" x14ac:dyDescent="0.35"/>
    <row r="113" outlineLevel="1" x14ac:dyDescent="0.35"/>
    <row r="114" outlineLevel="1" x14ac:dyDescent="0.35"/>
    <row r="115" outlineLevel="1" x14ac:dyDescent="0.35"/>
    <row r="116" outlineLevel="1" x14ac:dyDescent="0.35"/>
    <row r="117" outlineLevel="1" x14ac:dyDescent="0.35"/>
    <row r="118" outlineLevel="1" x14ac:dyDescent="0.35"/>
    <row r="119" outlineLevel="1" x14ac:dyDescent="0.35"/>
    <row r="120" outlineLevel="1" x14ac:dyDescent="0.35"/>
    <row r="121" outlineLevel="1" x14ac:dyDescent="0.35"/>
    <row r="122" outlineLevel="1" x14ac:dyDescent="0.35"/>
    <row r="123" outlineLevel="1" x14ac:dyDescent="0.35"/>
    <row r="124" outlineLevel="1" x14ac:dyDescent="0.35"/>
    <row r="125" outlineLevel="1" x14ac:dyDescent="0.35"/>
    <row r="126" outlineLevel="1" x14ac:dyDescent="0.35"/>
    <row r="127" outlineLevel="1" x14ac:dyDescent="0.35"/>
    <row r="128" outlineLevel="1" x14ac:dyDescent="0.35"/>
    <row r="129" outlineLevel="1" x14ac:dyDescent="0.35"/>
    <row r="130" outlineLevel="1" x14ac:dyDescent="0.35"/>
    <row r="131" outlineLevel="1" x14ac:dyDescent="0.35"/>
    <row r="132" outlineLevel="1" x14ac:dyDescent="0.35"/>
    <row r="133" outlineLevel="1" x14ac:dyDescent="0.35"/>
    <row r="134" outlineLevel="1" x14ac:dyDescent="0.35"/>
    <row r="135" outlineLevel="1" x14ac:dyDescent="0.35"/>
    <row r="136" outlineLevel="1" x14ac:dyDescent="0.35"/>
    <row r="137" outlineLevel="1" x14ac:dyDescent="0.35"/>
  </sheetData>
  <sheetProtection algorithmName="SHA-512" hashValue="TEB7e1GFs4yIs3bt8LG3qnPg045KbEgs3XM/xxJph/eHoG5Jz3LKVuIzng3HImCd9FAJ7fvsAziEXWf54AwCdQ==" saltValue="5PpL1vIHxgop7Uck3LZ1nA==" spinCount="100000" sheet="1" objects="1" scenarios="1" selectLockedCells="1" selectUnlockedCells="1"/>
  <mergeCells count="38">
    <mergeCell ref="B88:S88"/>
    <mergeCell ref="B82:S82"/>
    <mergeCell ref="B73:S73"/>
    <mergeCell ref="B64:S64"/>
    <mergeCell ref="B80:D81"/>
    <mergeCell ref="B76:D77"/>
    <mergeCell ref="B78:D79"/>
    <mergeCell ref="B74:D75"/>
    <mergeCell ref="B71:D72"/>
    <mergeCell ref="B65:D66"/>
    <mergeCell ref="B67:D68"/>
    <mergeCell ref="B69:D70"/>
    <mergeCell ref="B60:D61"/>
    <mergeCell ref="P2:R2"/>
    <mergeCell ref="B13:S13"/>
    <mergeCell ref="B4:S4"/>
    <mergeCell ref="L2:N2"/>
    <mergeCell ref="B24:S24"/>
    <mergeCell ref="B22:S22"/>
    <mergeCell ref="B20:S20"/>
    <mergeCell ref="B18:S18"/>
    <mergeCell ref="B14:S14"/>
    <mergeCell ref="H2:J2"/>
    <mergeCell ref="B39:D40"/>
    <mergeCell ref="B54:D55"/>
    <mergeCell ref="B56:D57"/>
    <mergeCell ref="B58:D59"/>
    <mergeCell ref="B25:D26"/>
    <mergeCell ref="B45:S45"/>
    <mergeCell ref="B34:S34"/>
    <mergeCell ref="B31:S31"/>
    <mergeCell ref="B53:S53"/>
    <mergeCell ref="B43:D44"/>
    <mergeCell ref="B41:D42"/>
    <mergeCell ref="B46:D47"/>
    <mergeCell ref="B48:D49"/>
    <mergeCell ref="B50:D51"/>
    <mergeCell ref="B52:D52"/>
  </mergeCells>
  <dataValidations disablePrompts="1" count="1">
    <dataValidation allowBlank="1" showInputMessage="1" showErrorMessage="1" prompt="Peak inductor current limit." sqref="F33 H33:J33" xr:uid="{BB001471-E144-4A15-982F-A5A63C77273D}"/>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50DC8-F98E-41FB-A517-39B389419965}">
  <dimension ref="B2:P108"/>
  <sheetViews>
    <sheetView workbookViewId="0">
      <selection activeCell="X17" sqref="X17"/>
    </sheetView>
  </sheetViews>
  <sheetFormatPr defaultRowHeight="14.5" x14ac:dyDescent="0.35"/>
  <cols>
    <col min="2" max="2" width="17.54296875" style="1" hidden="1" customWidth="1"/>
    <col min="3" max="3" width="10.453125" style="1" hidden="1" customWidth="1"/>
    <col min="4" max="4" width="10.54296875" style="1" hidden="1" customWidth="1"/>
    <col min="5" max="6" width="13.81640625" style="1" hidden="1" customWidth="1"/>
    <col min="7" max="7" width="14" style="1" hidden="1" customWidth="1"/>
    <col min="8" max="12" width="13.81640625" style="1" hidden="1" customWidth="1"/>
    <col min="13" max="13" width="10.453125" style="1" hidden="1" customWidth="1"/>
    <col min="14" max="14" width="10.81640625" style="1" hidden="1" customWidth="1"/>
    <col min="15" max="15" width="8.81640625" style="1" hidden="1" customWidth="1"/>
    <col min="16" max="16" width="11.81640625" style="1" hidden="1" customWidth="1"/>
  </cols>
  <sheetData>
    <row r="2" spans="2:16" ht="15" thickBot="1" x14ac:dyDescent="0.4"/>
    <row r="3" spans="2:16" ht="15" thickBot="1" x14ac:dyDescent="0.4">
      <c r="B3" s="78" t="s">
        <v>85</v>
      </c>
      <c r="E3" s="290" t="s">
        <v>127</v>
      </c>
      <c r="F3" s="290"/>
      <c r="G3" s="290"/>
      <c r="H3" s="290"/>
      <c r="I3" s="290"/>
      <c r="J3" s="290"/>
      <c r="K3" s="290"/>
      <c r="L3" s="290"/>
    </row>
    <row r="4" spans="2:16" x14ac:dyDescent="0.35">
      <c r="B4" s="79" t="s">
        <v>125</v>
      </c>
      <c r="E4" s="287" t="s">
        <v>86</v>
      </c>
      <c r="F4" s="288"/>
      <c r="G4" s="288"/>
      <c r="H4" s="288"/>
      <c r="I4" s="288"/>
      <c r="J4" s="288"/>
      <c r="K4" s="288"/>
      <c r="L4" s="289"/>
    </row>
    <row r="5" spans="2:16" x14ac:dyDescent="0.35">
      <c r="B5" s="79" t="s">
        <v>126</v>
      </c>
      <c r="E5" s="7" t="s">
        <v>87</v>
      </c>
      <c r="F5" s="6" t="s">
        <v>123</v>
      </c>
      <c r="G5" s="6" t="s">
        <v>124</v>
      </c>
      <c r="H5" s="6">
        <v>278</v>
      </c>
      <c r="I5" s="6" t="s">
        <v>139</v>
      </c>
      <c r="J5" s="6">
        <v>17270</v>
      </c>
      <c r="K5" s="86">
        <v>17271</v>
      </c>
      <c r="L5" s="127" t="s">
        <v>128</v>
      </c>
    </row>
    <row r="6" spans="2:16" x14ac:dyDescent="0.35">
      <c r="B6" s="79" t="s">
        <v>109</v>
      </c>
      <c r="E6" s="9">
        <f>IF(Summary!$C$11=$B$4,F6,IF(Summary!$C$11=$B$7,I6,IF(Summary!$C$11=$B$8,J6,IF(Summary!$C$11=$B$5,G6,IF(Summary!$C$11=$B$6,H6,IF(Summary!$C$11=$B$9,K6,IF(Summary!$C$11=$B$10,L6,"ERR")))))))</f>
        <v>0.33300000000000002</v>
      </c>
      <c r="F6" s="5">
        <v>0.5</v>
      </c>
      <c r="G6" s="5">
        <f>F6</f>
        <v>0.5</v>
      </c>
      <c r="H6" s="5">
        <f>G6</f>
        <v>0.5</v>
      </c>
      <c r="I6" s="5">
        <v>0.33300000000000002</v>
      </c>
      <c r="J6" s="5">
        <v>0.4</v>
      </c>
      <c r="K6" s="116">
        <f>J6</f>
        <v>0.4</v>
      </c>
      <c r="L6" s="10">
        <f>I6</f>
        <v>0.33300000000000002</v>
      </c>
    </row>
    <row r="7" spans="2:16" x14ac:dyDescent="0.35">
      <c r="B7" s="79" t="s">
        <v>138</v>
      </c>
      <c r="E7" s="9">
        <f>IF(Summary!$C$11=$B$4,F7,IF(Summary!$C$11=$B$7,I7,IF(Summary!$C$11=$B$8,J7,IF(Summary!$C$11=$B$5,G7,IF(Summary!$C$11=$B$6,H7,IF(Summary!$C$11=$B$9,K7,IF(Summary!$C$11=$B$10,L7,"ERR")))))))</f>
        <v>0.5</v>
      </c>
      <c r="F7" s="5">
        <v>0.70699999999999996</v>
      </c>
      <c r="G7" s="5">
        <f t="shared" ref="G7:H8" si="0">F7</f>
        <v>0.70699999999999996</v>
      </c>
      <c r="H7" s="5">
        <f t="shared" si="0"/>
        <v>0.70699999999999996</v>
      </c>
      <c r="I7" s="5">
        <v>0.5</v>
      </c>
      <c r="J7" s="5">
        <v>0.6</v>
      </c>
      <c r="K7" s="116">
        <f t="shared" ref="K7:K9" si="1">J7</f>
        <v>0.6</v>
      </c>
      <c r="L7" s="10">
        <f t="shared" ref="L7:L9" si="2">I7</f>
        <v>0.5</v>
      </c>
    </row>
    <row r="8" spans="2:16" x14ac:dyDescent="0.35">
      <c r="B8" s="79" t="s">
        <v>114</v>
      </c>
      <c r="E8" s="9">
        <f>IF(Summary!$C$11=$B$4,F8,IF(Summary!$C$11=$B$7,I8,IF(Summary!$C$11=$B$8,J8,IF(Summary!$C$11=$B$5,G8,IF(Summary!$C$11=$B$6,H8,IF(Summary!$C$11=$B$9,K8,IF(Summary!$C$11=$B$10,L8,"ERR")))))))</f>
        <v>0.75</v>
      </c>
      <c r="F8" s="5">
        <v>0.86599999999999999</v>
      </c>
      <c r="G8" s="5">
        <f t="shared" si="0"/>
        <v>0.86599999999999999</v>
      </c>
      <c r="H8" s="5">
        <f t="shared" si="0"/>
        <v>0.86599999999999999</v>
      </c>
      <c r="I8" s="5">
        <v>0.75</v>
      </c>
      <c r="J8" s="5">
        <v>0.8</v>
      </c>
      <c r="K8" s="116">
        <f t="shared" si="1"/>
        <v>0.8</v>
      </c>
      <c r="L8" s="10">
        <f t="shared" si="2"/>
        <v>0.75</v>
      </c>
    </row>
    <row r="9" spans="2:16" ht="15" thickBot="1" x14ac:dyDescent="0.4">
      <c r="B9" s="130" t="s">
        <v>115</v>
      </c>
      <c r="E9" s="9">
        <f>IF(Summary!$C$11=$B$4,F9,IF(Summary!$C$11=$B$7,I9,IF(Summary!$C$11=$B$8,J9,IF(Summary!$C$11=$B$5,G9,IF(Summary!$C$11=$B$6,H9,IF(Summary!$C$11=$B$9,K9,IF(Summary!$C$11=$B$10,L9,"ERR")))))))</f>
        <v>1</v>
      </c>
      <c r="F9" s="11">
        <v>1</v>
      </c>
      <c r="G9" s="11">
        <f>F9</f>
        <v>1</v>
      </c>
      <c r="H9" s="11">
        <f>G9</f>
        <v>1</v>
      </c>
      <c r="I9" s="11">
        <v>1</v>
      </c>
      <c r="J9" s="11">
        <v>1.1000000000000001</v>
      </c>
      <c r="K9" s="116">
        <f t="shared" si="1"/>
        <v>1.1000000000000001</v>
      </c>
      <c r="L9" s="10">
        <f t="shared" si="2"/>
        <v>1</v>
      </c>
    </row>
    <row r="10" spans="2:16" ht="15" thickBot="1" x14ac:dyDescent="0.4">
      <c r="B10" s="80" t="s">
        <v>129</v>
      </c>
      <c r="D10" s="287" t="s">
        <v>51</v>
      </c>
      <c r="E10" s="288"/>
      <c r="F10" s="288"/>
      <c r="G10" s="288"/>
      <c r="H10" s="288"/>
      <c r="I10" s="288"/>
      <c r="J10" s="288"/>
      <c r="K10" s="288"/>
      <c r="L10" s="289"/>
    </row>
    <row r="11" spans="2:16" x14ac:dyDescent="0.35">
      <c r="D11" s="7"/>
      <c r="E11" s="86" t="str">
        <f>E$5</f>
        <v>User</v>
      </c>
      <c r="F11" s="86" t="str">
        <f>F$5</f>
        <v>650/640/680</v>
      </c>
      <c r="G11" s="86" t="str">
        <f t="shared" ref="G11:H11" si="3">G$5</f>
        <v>651/641/681</v>
      </c>
      <c r="H11" s="86">
        <f t="shared" si="3"/>
        <v>278</v>
      </c>
      <c r="I11" s="86" t="str">
        <f>I$5</f>
        <v>654/659</v>
      </c>
      <c r="J11" s="86">
        <f>J$5</f>
        <v>17270</v>
      </c>
      <c r="K11" s="86">
        <f>K$5</f>
        <v>17271</v>
      </c>
      <c r="L11" s="127" t="str">
        <f>L$5</f>
        <v>642/643/658</v>
      </c>
    </row>
    <row r="12" spans="2:16" ht="16.5" x14ac:dyDescent="0.45">
      <c r="D12" s="7" t="s">
        <v>52</v>
      </c>
      <c r="E12" s="6">
        <f>IF(Summary!$C$11=$B$4,F12,IF(Summary!$C$11=$B$7,I12,IF(Summary!$C$11=$B$8,J12,IF(Summary!$C$11=$B$5,G12,IF(Summary!$C$11=$B$6,H12,IF(Summary!$C$11=$B$9,K12,IF(Summary!$C$11=$B$10,L12,"ERR")))))))</f>
        <v>8.5000000000000001E-7</v>
      </c>
      <c r="F12" s="17">
        <v>8.5000000000000001E-7</v>
      </c>
      <c r="G12" s="17">
        <f>F12</f>
        <v>8.5000000000000001E-7</v>
      </c>
      <c r="H12" s="17">
        <f>G12</f>
        <v>8.5000000000000001E-7</v>
      </c>
      <c r="I12" s="17">
        <f>F12</f>
        <v>8.5000000000000001E-7</v>
      </c>
      <c r="J12" s="17">
        <f>F12</f>
        <v>8.5000000000000001E-7</v>
      </c>
      <c r="K12" s="117">
        <f>J12</f>
        <v>8.5000000000000001E-7</v>
      </c>
      <c r="L12" s="129">
        <f>I12</f>
        <v>8.5000000000000001E-7</v>
      </c>
    </row>
    <row r="13" spans="2:16" ht="16.5" x14ac:dyDescent="0.45">
      <c r="B13" s="131"/>
      <c r="C13" s="131"/>
      <c r="D13" s="7" t="s">
        <v>151</v>
      </c>
      <c r="E13" s="6">
        <f>IF(Summary!$C$11=$B$4,F13,IF(Summary!$C$11=$B$7,I13,IF(Summary!$C$11=$B$8,J13,IF(Summary!$C$11=$B$5,G13,IF(Summary!$C$11=$B$6,H13,IF(Summary!$C$11=$B$9,K13,IF(Summary!$C$11=$B$10,L13,"ERR")))))))</f>
        <v>4.9999999999999998E-8</v>
      </c>
      <c r="F13" s="17">
        <v>1E-8</v>
      </c>
      <c r="G13" s="17">
        <v>1E-8</v>
      </c>
      <c r="H13" s="17">
        <v>1E-8</v>
      </c>
      <c r="I13" s="17">
        <v>1E-8</v>
      </c>
      <c r="J13" s="17">
        <v>4.9999999999999998E-8</v>
      </c>
      <c r="K13" s="117">
        <v>4.9999999999999998E-8</v>
      </c>
      <c r="L13" s="129">
        <v>4.9999999999999998E-8</v>
      </c>
      <c r="M13" s="131"/>
      <c r="N13" s="131"/>
      <c r="O13" s="131"/>
      <c r="P13" s="131"/>
    </row>
    <row r="14" spans="2:16" ht="16.5" x14ac:dyDescent="0.45">
      <c r="D14" s="7" t="s">
        <v>55</v>
      </c>
      <c r="E14" s="6">
        <f>IF(Summary!$C$11=$B$4,F14,IF(Summary!$C$11=$B$7,I14,IF(Summary!$C$11=$B$8,J14,IF(Summary!$C$11=$B$5,G14,IF(Summary!$C$11=$B$6,H14,IF(Summary!$C$11=$B$9,K14,IF(Summary!$C$11=$B$10,L14,"ERR")))))))</f>
        <v>6.5184000000000006E-2</v>
      </c>
      <c r="F14" s="17">
        <v>0.09</v>
      </c>
      <c r="G14" s="17">
        <f t="shared" ref="G14:H20" si="4">F14</f>
        <v>0.09</v>
      </c>
      <c r="H14" s="17">
        <f t="shared" si="4"/>
        <v>0.09</v>
      </c>
      <c r="I14" s="17">
        <v>5.5357999999999997E-2</v>
      </c>
      <c r="J14" s="17">
        <v>7.5999999999999998E-2</v>
      </c>
      <c r="K14" s="117">
        <f t="shared" ref="K14:K20" si="5">J14</f>
        <v>7.5999999999999998E-2</v>
      </c>
      <c r="L14" s="129">
        <v>6.5184000000000006E-2</v>
      </c>
    </row>
    <row r="15" spans="2:16" ht="16.5" x14ac:dyDescent="0.45">
      <c r="D15" s="7" t="s">
        <v>57</v>
      </c>
      <c r="E15" s="6">
        <f>IF(Summary!$C$11=$B$4,F15,IF(Summary!$C$11=$B$7,I15,IF(Summary!$C$11=$B$8,J15,IF(Summary!$C$11=$B$5,G15,IF(Summary!$C$11=$B$6,H15,IF(Summary!$C$11=$B$9,K15,IF(Summary!$C$11=$B$10,L15,"ERR")))))))</f>
        <v>4.2430160000000001E-2</v>
      </c>
      <c r="F15" s="17">
        <v>0.08</v>
      </c>
      <c r="G15" s="17">
        <f t="shared" si="4"/>
        <v>0.08</v>
      </c>
      <c r="H15" s="17">
        <f t="shared" si="4"/>
        <v>0.08</v>
      </c>
      <c r="I15" s="17">
        <v>3.0616999999999998E-2</v>
      </c>
      <c r="J15" s="17">
        <v>4.87E-2</v>
      </c>
      <c r="K15" s="117">
        <f t="shared" si="5"/>
        <v>4.87E-2</v>
      </c>
      <c r="L15" s="129">
        <v>4.2430160000000001E-2</v>
      </c>
    </row>
    <row r="16" spans="2:16" ht="16.5" x14ac:dyDescent="0.45">
      <c r="D16" s="7" t="s">
        <v>88</v>
      </c>
      <c r="E16" s="6">
        <f>IF(Summary!$C$11=$B$4,F16,IF(Summary!$C$11=$B$7,I16,IF(Summary!$C$11=$B$8,J16,IF(Summary!$C$11=$B$5,G16,IF(Summary!$C$11=$B$6,H16,IF(Summary!$C$11=$B$9,K16,IF(Summary!$C$11=$B$10,L16,"ERR")))))))</f>
        <v>8.1923999999999997E-2</v>
      </c>
      <c r="F16" s="17">
        <v>0.11</v>
      </c>
      <c r="G16" s="17">
        <f t="shared" si="4"/>
        <v>0.11</v>
      </c>
      <c r="H16" s="17">
        <f t="shared" si="4"/>
        <v>0.11</v>
      </c>
      <c r="I16" s="17">
        <v>7.2321659999999996E-2</v>
      </c>
      <c r="J16" s="17">
        <v>5.5500000000000001E-2</v>
      </c>
      <c r="K16" s="117">
        <f t="shared" si="5"/>
        <v>5.5500000000000001E-2</v>
      </c>
      <c r="L16" s="129">
        <v>8.1923999999999997E-2</v>
      </c>
    </row>
    <row r="17" spans="3:13" ht="16.5" x14ac:dyDescent="0.45">
      <c r="D17" s="7" t="s">
        <v>89</v>
      </c>
      <c r="E17" s="6">
        <f>IF(Summary!$C$11=$B$4,F17,IF(Summary!$C$11=$B$7,I17,IF(Summary!$C$11=$B$8,J17,IF(Summary!$C$11=$B$5,G17,IF(Summary!$C$11=$B$6,H17,IF(Summary!$C$11=$B$9,K17,IF(Summary!$C$11=$B$10,L17,"ERR")))))))</f>
        <v>8.5202799999999995E-2</v>
      </c>
      <c r="F17" s="17">
        <v>0.13100000000000001</v>
      </c>
      <c r="G17" s="17">
        <f t="shared" si="4"/>
        <v>0.13100000000000001</v>
      </c>
      <c r="H17" s="17">
        <f t="shared" si="4"/>
        <v>0.13100000000000001</v>
      </c>
      <c r="I17" s="17">
        <v>7.3283319999999999E-2</v>
      </c>
      <c r="J17" s="17">
        <f>J16</f>
        <v>5.5500000000000001E-2</v>
      </c>
      <c r="K17" s="117">
        <f t="shared" si="5"/>
        <v>5.5500000000000001E-2</v>
      </c>
      <c r="L17" s="129">
        <v>8.5202799999999995E-2</v>
      </c>
    </row>
    <row r="18" spans="3:13" ht="16.5" x14ac:dyDescent="0.45">
      <c r="D18" s="7" t="s">
        <v>90</v>
      </c>
      <c r="E18" s="6">
        <f>IF(Summary!$C$11=$B$4,F18,IF(Summary!$C$11=$B$7,I18,IF(Summary!$C$11=$B$8,J18,IF(Summary!$C$11=$B$5,G18,IF(Summary!$C$11=$B$6,H18,IF(Summary!$C$11=$B$9,K18,IF(Summary!$C$11=$B$10,L18,"ERR")))))))</f>
        <v>8.5887000000000005E-2</v>
      </c>
      <c r="F18" s="17">
        <v>0.115</v>
      </c>
      <c r="G18" s="17">
        <f t="shared" si="4"/>
        <v>0.115</v>
      </c>
      <c r="H18" s="17">
        <f t="shared" si="4"/>
        <v>0.115</v>
      </c>
      <c r="I18" s="17">
        <v>7.4161500000000005E-2</v>
      </c>
      <c r="J18" s="17">
        <f>J16</f>
        <v>5.5500000000000001E-2</v>
      </c>
      <c r="K18" s="117">
        <f t="shared" si="5"/>
        <v>5.5500000000000001E-2</v>
      </c>
      <c r="L18" s="129">
        <v>8.5887000000000005E-2</v>
      </c>
    </row>
    <row r="19" spans="3:13" ht="16.5" x14ac:dyDescent="0.45">
      <c r="D19" s="7" t="s">
        <v>59</v>
      </c>
      <c r="E19" s="6">
        <f>IF(Summary!$C$11=$B$4,F19,IF(Summary!$C$11=$B$7,I19,IF(Summary!$C$11=$B$8,J19,IF(Summary!$C$11=$B$5,G19,IF(Summary!$C$11=$B$6,H19,IF(Summary!$C$11=$B$9,K19,IF(Summary!$C$11=$B$10,L19,"ERR")))))))</f>
        <v>6.9445560000000003E-2</v>
      </c>
      <c r="F19" s="17">
        <v>9.5000000000000001E-2</v>
      </c>
      <c r="G19" s="17">
        <f t="shared" si="4"/>
        <v>9.5000000000000001E-2</v>
      </c>
      <c r="H19" s="17">
        <f t="shared" si="4"/>
        <v>9.5000000000000001E-2</v>
      </c>
      <c r="I19" s="17">
        <v>6.8213999999999997E-2</v>
      </c>
      <c r="J19" s="17">
        <v>6.2700000000000006E-2</v>
      </c>
      <c r="K19" s="117">
        <f t="shared" si="5"/>
        <v>6.2700000000000006E-2</v>
      </c>
      <c r="L19" s="129">
        <v>6.9445560000000003E-2</v>
      </c>
    </row>
    <row r="20" spans="3:13" ht="16.5" x14ac:dyDescent="0.45">
      <c r="D20" s="7" t="s">
        <v>60</v>
      </c>
      <c r="E20" s="6">
        <f>IF(Summary!$C$11=$B$4,F20,IF(Summary!$C$11=$B$7,I20,IF(Summary!$C$11=$B$8,J20,IF(Summary!$C$11=$B$5,G20,IF(Summary!$C$11=$B$6,H20,IF(Summary!$C$11=$B$9,K20,IF(Summary!$C$11=$B$10,L20,"ERR")))))))</f>
        <v>5000</v>
      </c>
      <c r="F20" s="17">
        <v>5000</v>
      </c>
      <c r="G20" s="17">
        <f t="shared" si="4"/>
        <v>5000</v>
      </c>
      <c r="H20" s="17">
        <f t="shared" si="4"/>
        <v>5000</v>
      </c>
      <c r="I20" s="17">
        <v>5000</v>
      </c>
      <c r="J20" s="17">
        <f>I20</f>
        <v>5000</v>
      </c>
      <c r="K20" s="117">
        <f t="shared" si="5"/>
        <v>5000</v>
      </c>
      <c r="L20" s="129">
        <f t="shared" ref="L20" si="6">I20</f>
        <v>5000</v>
      </c>
    </row>
    <row r="21" spans="3:13" x14ac:dyDescent="0.35">
      <c r="D21" s="18"/>
      <c r="E21" s="6"/>
      <c r="F21" s="6"/>
      <c r="G21" s="6"/>
      <c r="H21" s="6"/>
      <c r="I21" s="6"/>
      <c r="J21" s="6"/>
      <c r="K21" s="86"/>
      <c r="L21" s="8"/>
    </row>
    <row r="22" spans="3:13" ht="15" thickBot="1" x14ac:dyDescent="0.4">
      <c r="D22" s="113"/>
      <c r="E22" s="14"/>
      <c r="F22" s="14"/>
      <c r="G22" s="14"/>
      <c r="H22" s="14"/>
      <c r="I22" s="14"/>
      <c r="J22" s="14"/>
      <c r="K22" s="87"/>
      <c r="L22" s="15"/>
    </row>
    <row r="23" spans="3:13" x14ac:dyDescent="0.35">
      <c r="C23" s="287" t="s">
        <v>25</v>
      </c>
      <c r="D23" s="288"/>
      <c r="E23" s="288"/>
      <c r="F23" s="288"/>
      <c r="G23" s="288"/>
      <c r="H23" s="288"/>
      <c r="I23" s="288"/>
      <c r="J23" s="288"/>
      <c r="K23" s="288"/>
      <c r="L23" s="288"/>
      <c r="M23" s="289"/>
    </row>
    <row r="24" spans="3:13" x14ac:dyDescent="0.35">
      <c r="C24" s="294" t="s">
        <v>102</v>
      </c>
      <c r="D24" s="295"/>
      <c r="E24" s="93" t="str">
        <f>E$5</f>
        <v>User</v>
      </c>
      <c r="F24" s="86" t="str">
        <f>F$5</f>
        <v>650/640/680</v>
      </c>
      <c r="G24" s="86" t="str">
        <f t="shared" ref="G24:H24" si="7">G$5</f>
        <v>651/641/681</v>
      </c>
      <c r="H24" s="86">
        <f t="shared" si="7"/>
        <v>278</v>
      </c>
      <c r="I24" s="86" t="str">
        <f>I$5</f>
        <v>654/659</v>
      </c>
      <c r="J24" s="86">
        <f>J$5</f>
        <v>17270</v>
      </c>
      <c r="K24" s="86">
        <f t="shared" ref="K24:L24" si="8">K$5</f>
        <v>17271</v>
      </c>
      <c r="L24" s="128" t="str">
        <f t="shared" si="8"/>
        <v>642/643/658</v>
      </c>
      <c r="M24" s="8" t="s">
        <v>91</v>
      </c>
    </row>
    <row r="25" spans="3:13" x14ac:dyDescent="0.35">
      <c r="C25" s="7" t="str">
        <f>IFERROR(INDEX($E$25:$E$28,MATCH(ROW()-ROW($C$24),$D$25:$D$28,0)),"")</f>
        <v>Automatic</v>
      </c>
      <c r="D25" s="6">
        <f>IF(E25="","",MAX(D$24:D24)+1)</f>
        <v>1</v>
      </c>
      <c r="E25" s="94" t="str">
        <f>IF(Summary!$C$11=$B$4,TEXT(F25,""),IF(Summary!$C$11=$B$7,TEXT(I25,""),IF(Summary!$C$11=$B$5,TEXT(G25,""),IF(Summary!$C$11=$B$6,TEXT(H25,""),IF(Summary!$C$11=$B$8,TEXT(J25,""),IF(Summary!$C$11=$B$9,TEXT(K25,""),IF(Summary!$C$11=$B$10,TEXT(L25,""),"ERROR")))))))</f>
        <v>Automatic</v>
      </c>
      <c r="F25" s="6"/>
      <c r="G25" s="6"/>
      <c r="H25" s="6"/>
      <c r="I25" s="6"/>
      <c r="J25" s="86"/>
      <c r="K25" s="86"/>
      <c r="L25" s="86" t="s">
        <v>92</v>
      </c>
      <c r="M25" s="8" t="s">
        <v>92</v>
      </c>
    </row>
    <row r="26" spans="3:13" x14ac:dyDescent="0.35">
      <c r="C26" s="7" t="str">
        <f t="shared" ref="C26:C28" si="9">IFERROR(INDEX($E$25:$E$28,MATCH(ROW()-ROW($C$24),$D$25:$D$28,0)),"")</f>
        <v>Buck</v>
      </c>
      <c r="D26" s="6">
        <f>IF(E26="","",MAX(D$24:D25)+1)</f>
        <v>2</v>
      </c>
      <c r="E26" s="94" t="str">
        <f>IF(Summary!$C$11=$B$4,TEXT(F26,""),IF(Summary!$C$11=$B$7,TEXT(I26,""),IF(Summary!$C$11=$B$5,TEXT(G26,""),IF(Summary!$C$11=$B$6,TEXT(H26,""),IF(Summary!$C$11=$B$8,TEXT(J26,""),IF(Summary!$C$11=$B$9,TEXT(K26,""),IF(Summary!$C$11=$B$10,TEXT(L26,""),"ERROR")))))))</f>
        <v>Buck</v>
      </c>
      <c r="F26" s="6"/>
      <c r="G26" s="6"/>
      <c r="H26" s="6"/>
      <c r="I26" s="6" t="s">
        <v>27</v>
      </c>
      <c r="J26" s="86"/>
      <c r="K26" s="86"/>
      <c r="L26" s="86" t="s">
        <v>27</v>
      </c>
      <c r="M26" s="8" t="s">
        <v>27</v>
      </c>
    </row>
    <row r="27" spans="3:13" x14ac:dyDescent="0.35">
      <c r="C27" s="7" t="str">
        <f t="shared" si="9"/>
        <v>Buck-Boost</v>
      </c>
      <c r="D27" s="6">
        <f>IF(E27="","",MAX(D$24:D26)+1)</f>
        <v>3</v>
      </c>
      <c r="E27" s="94" t="str">
        <f>IF(Summary!$C$11=$B$4,TEXT(F27,""),IF(Summary!$C$11=$B$7,TEXT(I27,""),IF(Summary!$C$11=$B$5,TEXT(G27,""),IF(Summary!$C$11=$B$6,TEXT(H27,""),IF(Summary!$C$11=$B$8,TEXT(J27,""),IF(Summary!$C$11=$B$9,TEXT(K27,""),IF(Summary!$C$11=$B$10,TEXT(L27,""),"ERROR")))))))</f>
        <v>Buck-Boost</v>
      </c>
      <c r="F27" s="6" t="s">
        <v>26</v>
      </c>
      <c r="G27" s="6" t="str">
        <f>F27</f>
        <v>Buck-Boost</v>
      </c>
      <c r="H27" s="6" t="str">
        <f>G27</f>
        <v>Buck-Boost</v>
      </c>
      <c r="I27" s="6" t="s">
        <v>26</v>
      </c>
      <c r="J27" s="86" t="s">
        <v>26</v>
      </c>
      <c r="K27" s="86" t="str">
        <f>J27</f>
        <v>Buck-Boost</v>
      </c>
      <c r="L27" s="86" t="s">
        <v>26</v>
      </c>
      <c r="M27" s="8" t="s">
        <v>26</v>
      </c>
    </row>
    <row r="28" spans="3:13" ht="15" thickBot="1" x14ac:dyDescent="0.4">
      <c r="C28" s="13" t="str">
        <f t="shared" si="9"/>
        <v>Boost</v>
      </c>
      <c r="D28" s="14">
        <f>IF(E28="","",MAX(D$24:D27)+1)</f>
        <v>4</v>
      </c>
      <c r="E28" s="95" t="str">
        <f>IF(Summary!$C$11=$B$4,TEXT(F28,""),IF(Summary!$C$11=$B$7,TEXT(I28,""),IF(Summary!$C$11=$B$5,TEXT(G28,""),IF(Summary!$C$11=$B$6,TEXT(H28,""),IF(Summary!$C$11=$B$8,TEXT(J28,""),IF(Summary!$C$11=$B$9,TEXT(K28,""),IF(Summary!$C$11=$B$10,TEXT(L28,""),"ERROR")))))))</f>
        <v>Boost</v>
      </c>
      <c r="F28" s="14"/>
      <c r="G28" s="14"/>
      <c r="H28" s="14"/>
      <c r="I28" s="14"/>
      <c r="J28" s="87"/>
      <c r="K28" s="87"/>
      <c r="L28" s="87" t="s">
        <v>93</v>
      </c>
      <c r="M28" s="15" t="s">
        <v>93</v>
      </c>
    </row>
    <row r="29" spans="3:13" x14ac:dyDescent="0.35">
      <c r="D29" s="287" t="s">
        <v>94</v>
      </c>
      <c r="E29" s="288"/>
      <c r="F29" s="288"/>
      <c r="G29" s="288"/>
      <c r="H29" s="288"/>
      <c r="I29" s="288"/>
      <c r="J29" s="288"/>
      <c r="K29" s="288"/>
      <c r="L29" s="289"/>
      <c r="M29" s="88"/>
    </row>
    <row r="30" spans="3:13" x14ac:dyDescent="0.35">
      <c r="D30" s="7" t="s">
        <v>95</v>
      </c>
      <c r="E30" s="86" t="str">
        <f>E$5</f>
        <v>User</v>
      </c>
      <c r="F30" s="86" t="str">
        <f>F$5</f>
        <v>650/640/680</v>
      </c>
      <c r="G30" s="86" t="str">
        <f t="shared" ref="G30:H30" si="10">G$5</f>
        <v>651/641/681</v>
      </c>
      <c r="H30" s="86">
        <f t="shared" si="10"/>
        <v>278</v>
      </c>
      <c r="I30" s="86" t="str">
        <f>I$5</f>
        <v>654/659</v>
      </c>
      <c r="J30" s="86">
        <f>J$5</f>
        <v>17270</v>
      </c>
      <c r="K30" s="86">
        <f>K$5</f>
        <v>17271</v>
      </c>
      <c r="L30" s="127" t="str">
        <f>L$5</f>
        <v>642/643/658</v>
      </c>
      <c r="M30" s="88"/>
    </row>
    <row r="31" spans="3:13" x14ac:dyDescent="0.35">
      <c r="D31" s="7">
        <v>25</v>
      </c>
      <c r="E31" s="20">
        <f>IF(Summary!$C$11=$B$4,F31,IF(Summary!$C$11=$B$7,I31,IF(Summary!$C$11=$B$8,J31,IF(Summary!$C$11=$B$5,G31,IF(Summary!$C$11=$B$6,H31,IF(Summary!$C$11=$B$9,K31,IF(Summary!$C$11=$B$10,L31,"ERR")))))))</f>
        <v>0.02</v>
      </c>
      <c r="F31" s="20">
        <v>2.5000000000000001E-2</v>
      </c>
      <c r="G31" s="20">
        <f>F31</f>
        <v>2.5000000000000001E-2</v>
      </c>
      <c r="H31" s="20">
        <f>G31</f>
        <v>2.5000000000000001E-2</v>
      </c>
      <c r="I31" s="20">
        <v>2.5000000000000001E-2</v>
      </c>
      <c r="J31" s="89">
        <v>0.02</v>
      </c>
      <c r="K31" s="118">
        <f>J31</f>
        <v>0.02</v>
      </c>
      <c r="L31" s="114">
        <v>0.02</v>
      </c>
      <c r="M31" s="88"/>
    </row>
    <row r="32" spans="3:13" ht="15" thickBot="1" x14ac:dyDescent="0.4">
      <c r="D32" s="19" t="s">
        <v>96</v>
      </c>
      <c r="E32" s="111">
        <f>IF(Summary!$C$11=$B$4,F32,IF(Summary!$C$11=$B$7,I32,IF(Summary!$C$11=$B$8,J32,IF(Summary!$C$11=$B$5,G32,IF(Summary!$C$11=$B$6,H32,IF(Summary!$C$11=$B$9,K32,IF(Summary!$C$11=$B$10,L32,"ERR")))))))</f>
        <v>0.04</v>
      </c>
      <c r="F32" s="111">
        <v>0.04</v>
      </c>
      <c r="G32" s="111">
        <f>F32</f>
        <v>0.04</v>
      </c>
      <c r="H32" s="111">
        <f>G32</f>
        <v>0.04</v>
      </c>
      <c r="I32" s="111">
        <v>0.04</v>
      </c>
      <c r="J32" s="112">
        <v>0.04</v>
      </c>
      <c r="K32" s="119">
        <f>J32</f>
        <v>0.04</v>
      </c>
      <c r="L32" s="115">
        <v>0.04</v>
      </c>
      <c r="M32" s="88"/>
    </row>
    <row r="33" spans="4:13" x14ac:dyDescent="0.35">
      <c r="D33" s="296" t="s">
        <v>104</v>
      </c>
      <c r="E33" s="297"/>
      <c r="F33" s="297"/>
      <c r="G33" s="297"/>
      <c r="H33" s="297"/>
      <c r="I33" s="297"/>
      <c r="J33" s="297"/>
      <c r="K33" s="298"/>
      <c r="L33" s="299"/>
      <c r="M33" s="88"/>
    </row>
    <row r="34" spans="4:13" x14ac:dyDescent="0.35">
      <c r="D34" s="7" t="s">
        <v>95</v>
      </c>
      <c r="E34" s="6" t="str">
        <f>E$5</f>
        <v>User</v>
      </c>
      <c r="F34" s="6" t="str">
        <f>F$5</f>
        <v>650/640/680</v>
      </c>
      <c r="G34" s="6" t="str">
        <f t="shared" ref="G34:H34" si="11">G$5</f>
        <v>651/641/681</v>
      </c>
      <c r="H34" s="6">
        <f t="shared" si="11"/>
        <v>278</v>
      </c>
      <c r="I34" s="6" t="str">
        <f>I$5</f>
        <v>654/659</v>
      </c>
      <c r="J34" s="6">
        <f>J$5</f>
        <v>17270</v>
      </c>
      <c r="K34" s="6">
        <f>K$5</f>
        <v>17271</v>
      </c>
      <c r="L34" s="127" t="str">
        <f>L$5</f>
        <v>642/643/658</v>
      </c>
      <c r="M34" s="88"/>
    </row>
    <row r="35" spans="4:13" x14ac:dyDescent="0.35">
      <c r="D35" s="7" t="s">
        <v>105</v>
      </c>
      <c r="E35" s="97">
        <f>IF(Summary!$C$11=$B$4,F35,IF(Summary!$C$11=$B$7,I35,IF(Summary!$C$11=$B$8,J35,IF(Summary!$C$11=$B$5,G35,IF(Summary!$C$11=$B$6,H35,IF(Summary!$C$11=$B$9,K35,IF(Summary!$C$11=$B$10,L35,"ERR")))))))</f>
        <v>1.7000000000000001E-2</v>
      </c>
      <c r="F35" s="97">
        <v>0</v>
      </c>
      <c r="G35" s="97">
        <f t="shared" ref="G35:H37" si="12">F35</f>
        <v>0</v>
      </c>
      <c r="H35" s="97">
        <f t="shared" si="12"/>
        <v>0</v>
      </c>
      <c r="I35" s="97">
        <v>0</v>
      </c>
      <c r="J35" s="97">
        <v>2.5000000000000001E-2</v>
      </c>
      <c r="K35" s="120">
        <f>J35</f>
        <v>2.5000000000000001E-2</v>
      </c>
      <c r="L35" s="99">
        <v>1.7000000000000001E-2</v>
      </c>
      <c r="M35" s="88"/>
    </row>
    <row r="36" spans="4:13" x14ac:dyDescent="0.35">
      <c r="D36" s="100" t="s">
        <v>106</v>
      </c>
      <c r="E36" s="97">
        <f>IF(Summary!$C$11=$B$4,F36,IF(Summary!$C$11=$B$7,I36,IF(Summary!$C$11=$B$8,J36,IF(Summary!$C$11=$B$5,G36,IF(Summary!$C$11=$B$6,H36,IF(Summary!$C$11=$B$9,K36,IF(Summary!$C$11=$B$10,L36,"ERR")))))))</f>
        <v>1.7000000000000001E-2</v>
      </c>
      <c r="F36" s="98">
        <v>0</v>
      </c>
      <c r="G36" s="97">
        <f t="shared" si="12"/>
        <v>0</v>
      </c>
      <c r="H36" s="97">
        <f t="shared" si="12"/>
        <v>0</v>
      </c>
      <c r="I36" s="98">
        <v>0</v>
      </c>
      <c r="J36" s="98">
        <v>2.5000000000000001E-2</v>
      </c>
      <c r="K36" s="121">
        <f>J36</f>
        <v>2.5000000000000001E-2</v>
      </c>
      <c r="L36" s="101">
        <v>1.7000000000000001E-2</v>
      </c>
    </row>
    <row r="37" spans="4:13" ht="15" thickBot="1" x14ac:dyDescent="0.4">
      <c r="D37" s="96" t="s">
        <v>107</v>
      </c>
      <c r="E37" s="122">
        <f>IF(Summary!$C$11=$B$4,F37,IF(Summary!$C$11=$B$7,I37,IF(Summary!$C$11=$B$8,J37,IF(Summary!$C$11=$B$5,G37,IF(Summary!$C$11=$B$6,H37,IF(Summary!$C$11=$B$9,K37,IF(Summary!$C$11=$B$10,L37,"ERR")))))))</f>
        <v>3.3000000000000002E-2</v>
      </c>
      <c r="F37" s="123">
        <v>0</v>
      </c>
      <c r="G37" s="123">
        <f t="shared" si="12"/>
        <v>0</v>
      </c>
      <c r="H37" s="123">
        <f t="shared" si="12"/>
        <v>0</v>
      </c>
      <c r="I37" s="123">
        <v>0</v>
      </c>
      <c r="J37" s="123">
        <v>0.05</v>
      </c>
      <c r="K37" s="124">
        <f>J37</f>
        <v>0.05</v>
      </c>
      <c r="L37" s="125">
        <v>3.3000000000000002E-2</v>
      </c>
    </row>
    <row r="38" spans="4:13" x14ac:dyDescent="0.35">
      <c r="D38" s="291" t="s">
        <v>108</v>
      </c>
      <c r="E38" s="292"/>
      <c r="F38" s="292"/>
      <c r="G38" s="292"/>
      <c r="H38" s="292"/>
      <c r="I38" s="292"/>
      <c r="J38" s="292"/>
      <c r="K38" s="292"/>
      <c r="L38" s="293"/>
    </row>
    <row r="39" spans="4:13" x14ac:dyDescent="0.35">
      <c r="D39" s="7"/>
      <c r="E39" s="6" t="s">
        <v>87</v>
      </c>
      <c r="F39" s="6" t="str">
        <f>F$5</f>
        <v>650/640/680</v>
      </c>
      <c r="G39" s="6" t="str">
        <f t="shared" ref="G39:H39" si="13">G$5</f>
        <v>651/641/681</v>
      </c>
      <c r="H39" s="6">
        <f t="shared" si="13"/>
        <v>278</v>
      </c>
      <c r="I39" s="6" t="str">
        <f>I$5</f>
        <v>654/659</v>
      </c>
      <c r="J39" s="6">
        <f>J$5</f>
        <v>17270</v>
      </c>
      <c r="K39" s="6">
        <f>K$5</f>
        <v>17271</v>
      </c>
      <c r="L39" s="127" t="str">
        <f>L$5</f>
        <v>642/643/658</v>
      </c>
    </row>
    <row r="40" spans="4:13" x14ac:dyDescent="0.35">
      <c r="D40" s="7" t="s">
        <v>130</v>
      </c>
      <c r="E40" s="102" t="str">
        <f>IF(Summary!$C$11=$B$4,F40,IF(Summary!$C$11=$B$7,I40,IF(Summary!$C$11=$B$8,J40,IF(Summary!$C$11=$B$5,G40,IF(Summary!$C$11=$B$6,H40,IF(Summary!$C$11=$B$9,K40,IF(Summary!$C$11=$B$10,L40,"ERR")))))))</f>
        <v>0.500V - 5.500V</v>
      </c>
      <c r="F40" s="5" t="s">
        <v>121</v>
      </c>
      <c r="G40" s="5" t="s">
        <v>121</v>
      </c>
      <c r="H40" s="5" t="s">
        <v>112</v>
      </c>
      <c r="I40" s="5" t="s">
        <v>113</v>
      </c>
      <c r="J40" s="5" t="s">
        <v>116</v>
      </c>
      <c r="K40" s="5" t="s">
        <v>117</v>
      </c>
      <c r="L40" s="10" t="s">
        <v>134</v>
      </c>
    </row>
    <row r="41" spans="4:13" x14ac:dyDescent="0.35">
      <c r="D41" s="7" t="s">
        <v>131</v>
      </c>
      <c r="E41" s="102" t="str">
        <f>IF(Summary!$C$11=$B$4,F41,IF(Summary!$C$11=$B$7,I41,IF(Summary!$C$11=$B$8,J41,IF(Summary!$C$11=$B$5,G41,IF(Summary!$C$11=$B$6,H41,IF(Summary!$C$11=$B$9,K41,IF(Summary!$C$11=$B$10,L41,"ERR")))))))</f>
        <v>0.500V - 5.500V</v>
      </c>
      <c r="F41" s="5" t="s">
        <v>120</v>
      </c>
      <c r="G41" s="5" t="s">
        <v>118</v>
      </c>
      <c r="H41" s="5" t="s">
        <v>110</v>
      </c>
      <c r="I41" s="5" t="s">
        <v>113</v>
      </c>
      <c r="J41" s="5" t="s">
        <v>116</v>
      </c>
      <c r="K41" s="5" t="s">
        <v>117</v>
      </c>
      <c r="L41" s="10" t="s">
        <v>134</v>
      </c>
    </row>
    <row r="42" spans="4:13" ht="15" thickBot="1" x14ac:dyDescent="0.4">
      <c r="D42" s="13" t="s">
        <v>132</v>
      </c>
      <c r="E42" s="126" t="str">
        <f>IF(Summary!$C$11=$B$4,F42,IF(Summary!$C$11=$B$7,I42,IF(Summary!$C$11=$B$8,J42,IF(Summary!$C$11=$B$5,G42,IF(Summary!$C$11=$B$6,H42,IF(Summary!$C$11=$B$9,K42,IF(Summary!$C$11=$B$10,L42,"ERR")))))))</f>
        <v>0.500V - 5.500V</v>
      </c>
      <c r="F42" s="11" t="s">
        <v>119</v>
      </c>
      <c r="G42" s="11" t="s">
        <v>133</v>
      </c>
      <c r="H42" s="11" t="s">
        <v>111</v>
      </c>
      <c r="I42" s="11" t="s">
        <v>113</v>
      </c>
      <c r="J42" s="11" t="s">
        <v>116</v>
      </c>
      <c r="K42" s="11" t="s">
        <v>117</v>
      </c>
      <c r="L42" s="12" t="s">
        <v>134</v>
      </c>
    </row>
    <row r="73" spans="2:5" x14ac:dyDescent="0.35">
      <c r="C73" s="85"/>
      <c r="D73" s="85"/>
    </row>
    <row r="75" spans="2:5" ht="15" thickBot="1" x14ac:dyDescent="0.4"/>
    <row r="76" spans="2:5" x14ac:dyDescent="0.35">
      <c r="B76" s="85"/>
      <c r="C76" s="106"/>
      <c r="D76" s="106"/>
      <c r="E76" s="107"/>
    </row>
    <row r="77" spans="2:5" x14ac:dyDescent="0.35">
      <c r="C77" s="284"/>
      <c r="D77" s="285"/>
      <c r="E77" s="286"/>
    </row>
    <row r="78" spans="2:5" ht="15" thickBot="1" x14ac:dyDescent="0.4">
      <c r="C78" s="6"/>
      <c r="D78" s="6"/>
      <c r="E78" s="8"/>
    </row>
    <row r="79" spans="2:5" x14ac:dyDescent="0.35">
      <c r="B79" s="105"/>
      <c r="C79" s="6"/>
      <c r="D79" s="6"/>
      <c r="E79" s="8"/>
    </row>
    <row r="80" spans="2:5" x14ac:dyDescent="0.35">
      <c r="B80" s="7"/>
      <c r="C80" s="6"/>
      <c r="D80" s="6"/>
      <c r="E80" s="8"/>
    </row>
    <row r="81" spans="2:14" x14ac:dyDescent="0.35">
      <c r="B81" s="7"/>
      <c r="C81" s="6"/>
      <c r="D81" s="6"/>
      <c r="E81" s="8"/>
    </row>
    <row r="82" spans="2:14" ht="15" thickBot="1" x14ac:dyDescent="0.4">
      <c r="B82" s="7"/>
      <c r="C82" s="14"/>
      <c r="D82" s="14"/>
      <c r="E82" s="15"/>
    </row>
    <row r="83" spans="2:14" x14ac:dyDescent="0.35">
      <c r="B83" s="7"/>
    </row>
    <row r="84" spans="2:14" ht="15" thickBot="1" x14ac:dyDescent="0.4">
      <c r="B84" s="7"/>
    </row>
    <row r="85" spans="2:14" ht="15" thickBot="1" x14ac:dyDescent="0.4">
      <c r="B85" s="13"/>
      <c r="C85" s="106"/>
      <c r="D85" s="106"/>
      <c r="E85" s="107"/>
    </row>
    <row r="86" spans="2:14" x14ac:dyDescent="0.35">
      <c r="C86" s="109"/>
      <c r="D86" s="109"/>
      <c r="E86" s="110"/>
    </row>
    <row r="87" spans="2:14" ht="15" thickBot="1" x14ac:dyDescent="0.4">
      <c r="C87" s="6"/>
      <c r="D87" s="6"/>
      <c r="E87" s="8"/>
    </row>
    <row r="88" spans="2:14" x14ac:dyDescent="0.35">
      <c r="B88" s="105"/>
      <c r="C88" s="6"/>
      <c r="D88" s="6"/>
      <c r="E88" s="8"/>
    </row>
    <row r="89" spans="2:14" x14ac:dyDescent="0.35">
      <c r="B89" s="108"/>
      <c r="C89" s="6"/>
      <c r="D89" s="6"/>
      <c r="E89" s="8"/>
    </row>
    <row r="90" spans="2:14" x14ac:dyDescent="0.35">
      <c r="B90" s="7"/>
      <c r="C90" s="6"/>
      <c r="D90" s="6"/>
      <c r="E90" s="8"/>
    </row>
    <row r="91" spans="2:14" x14ac:dyDescent="0.35">
      <c r="B91" s="7"/>
      <c r="C91" s="6"/>
      <c r="D91" s="6"/>
      <c r="E91" s="8"/>
    </row>
    <row r="92" spans="2:14" x14ac:dyDescent="0.35">
      <c r="B92" s="7"/>
      <c r="C92" s="45"/>
      <c r="D92" s="45"/>
      <c r="E92" s="50"/>
      <c r="L92" s="21"/>
      <c r="M92" s="21"/>
      <c r="N92" s="21"/>
    </row>
    <row r="93" spans="2:14" x14ac:dyDescent="0.35">
      <c r="B93" s="7"/>
      <c r="C93" s="45"/>
      <c r="D93" s="45"/>
      <c r="E93" s="50"/>
    </row>
    <row r="94" spans="2:14" x14ac:dyDescent="0.35">
      <c r="B94" s="7"/>
      <c r="C94" s="46"/>
      <c r="D94" s="46"/>
      <c r="E94" s="51"/>
    </row>
    <row r="95" spans="2:14" x14ac:dyDescent="0.35">
      <c r="B95" s="7"/>
      <c r="C95" s="6"/>
      <c r="D95" s="6"/>
      <c r="E95" s="8"/>
    </row>
    <row r="96" spans="2:14" x14ac:dyDescent="0.35">
      <c r="B96" s="7"/>
      <c r="C96" s="47"/>
      <c r="D96" s="47"/>
      <c r="E96" s="52"/>
    </row>
    <row r="97" spans="2:5" x14ac:dyDescent="0.35">
      <c r="B97" s="7"/>
      <c r="C97" s="48"/>
      <c r="D97" s="48"/>
      <c r="E97" s="53"/>
    </row>
    <row r="98" spans="2:5" x14ac:dyDescent="0.35">
      <c r="B98" s="7"/>
      <c r="C98" s="6"/>
      <c r="D98" s="6"/>
      <c r="E98" s="8"/>
    </row>
    <row r="99" spans="2:5" x14ac:dyDescent="0.35">
      <c r="B99" s="7"/>
      <c r="C99" s="49"/>
      <c r="D99" s="49"/>
      <c r="E99" s="54"/>
    </row>
    <row r="100" spans="2:5" x14ac:dyDescent="0.35">
      <c r="B100" s="18"/>
      <c r="C100" s="49"/>
      <c r="D100" s="49"/>
      <c r="E100" s="54"/>
    </row>
    <row r="101" spans="2:5" x14ac:dyDescent="0.35">
      <c r="B101" s="7"/>
      <c r="C101" s="6"/>
      <c r="D101" s="6"/>
      <c r="E101" s="8"/>
    </row>
    <row r="102" spans="2:5" x14ac:dyDescent="0.35">
      <c r="B102" s="7"/>
      <c r="C102" s="6"/>
      <c r="D102" s="6"/>
      <c r="E102" s="8"/>
    </row>
    <row r="103" spans="2:5" x14ac:dyDescent="0.35">
      <c r="B103" s="7"/>
      <c r="C103" s="6"/>
      <c r="D103" s="6"/>
      <c r="E103" s="8"/>
    </row>
    <row r="104" spans="2:5" x14ac:dyDescent="0.35">
      <c r="B104" s="7"/>
      <c r="C104" s="47"/>
      <c r="D104" s="47"/>
      <c r="E104" s="52"/>
    </row>
    <row r="105" spans="2:5" ht="15" thickBot="1" x14ac:dyDescent="0.4">
      <c r="B105" s="7"/>
      <c r="C105" s="55"/>
      <c r="D105" s="55"/>
      <c r="E105" s="56"/>
    </row>
    <row r="106" spans="2:5" x14ac:dyDescent="0.35">
      <c r="B106" s="7"/>
    </row>
    <row r="107" spans="2:5" x14ac:dyDescent="0.35">
      <c r="B107" s="7"/>
    </row>
    <row r="108" spans="2:5" ht="15" thickBot="1" x14ac:dyDescent="0.4">
      <c r="B108" s="13"/>
    </row>
  </sheetData>
  <sheetProtection algorithmName="SHA-512" hashValue="/NGr0K7myqz1Ss0AG5XGK835PmMcsrLoEtTWMb634ZriLFvOUPZF7zMSlVVjP2A1IkUaAEbZ/l/SYuSpLvxUcw==" saltValue="GLEn4kiZutic+KZ3l4QBdA==" spinCount="100000" sheet="1" objects="1" scenarios="1" selectLockedCells="1" selectUnlockedCells="1"/>
  <mergeCells count="9">
    <mergeCell ref="C77:E77"/>
    <mergeCell ref="D29:L29"/>
    <mergeCell ref="E3:L3"/>
    <mergeCell ref="D38:L38"/>
    <mergeCell ref="D10:L10"/>
    <mergeCell ref="E4:L4"/>
    <mergeCell ref="C24:D24"/>
    <mergeCell ref="C23:M23"/>
    <mergeCell ref="D33:L3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4C304306947647AC1DD6E939CE4796" ma:contentTypeVersion="16" ma:contentTypeDescription="Create a new document." ma:contentTypeScope="" ma:versionID="e64a242a090867264cdf01267f830173">
  <xsd:schema xmlns:xsd="http://www.w3.org/2001/XMLSchema" xmlns:xs="http://www.w3.org/2001/XMLSchema" xmlns:p="http://schemas.microsoft.com/office/2006/metadata/properties" xmlns:ns2="92ce6232-8684-49e7-81cb-ecb0055756af" xmlns:ns3="3bfe3956-80a1-4332-80e7-9aa2e6458d30" xmlns:ns4="http://schemas.microsoft.com/sharepoint/v4" targetNamespace="http://schemas.microsoft.com/office/2006/metadata/properties" ma:root="true" ma:fieldsID="3ade7aa1fcff1e01b56e696b207bf8ee" ns2:_="" ns3:_="" ns4:_="">
    <xsd:import namespace="92ce6232-8684-49e7-81cb-ecb0055756af"/>
    <xsd:import namespace="3bfe3956-80a1-4332-80e7-9aa2e6458d30"/>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4:IconOverlay"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ce6232-8684-49e7-81cb-ecb0055756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bfe3956-80a1-4332-80e7-9aa2e6458d3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6"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5AE9E-CA06-4874-91D2-12931506E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ce6232-8684-49e7-81cb-ecb0055756af"/>
    <ds:schemaRef ds:uri="3bfe3956-80a1-4332-80e7-9aa2e6458d3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2CDF11-56B6-4028-B333-8E815A618BB5}">
  <ds:schemaRefs>
    <ds:schemaRef ds:uri="http://schemas.microsoft.com/sharepoint/v4"/>
    <ds:schemaRef ds:uri="http://purl.org/dc/dcmitype/"/>
    <ds:schemaRef ds:uri="3bfe3956-80a1-4332-80e7-9aa2e6458d30"/>
    <ds:schemaRef ds:uri="http://purl.org/dc/terms/"/>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92ce6232-8684-49e7-81cb-ecb0055756af"/>
    <ds:schemaRef ds:uri="http://schemas.microsoft.com/office/2006/metadata/properties"/>
  </ds:schemaRefs>
</ds:datastoreItem>
</file>

<file path=customXml/itemProps3.xml><?xml version="1.0" encoding="utf-8"?>
<ds:datastoreItem xmlns:ds="http://schemas.openxmlformats.org/officeDocument/2006/customXml" ds:itemID="{CB399BF6-A90B-426E-ACED-F74672BE40D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276</vt:i4>
      </vt:variant>
    </vt:vector>
  </HeadingPairs>
  <TitlesOfParts>
    <vt:vector size="283" baseType="lpstr">
      <vt:lpstr>Summary</vt:lpstr>
      <vt:lpstr>Example 1</vt:lpstr>
      <vt:lpstr>Example 2</vt:lpstr>
      <vt:lpstr>Example 3</vt:lpstr>
      <vt:lpstr>Example 4</vt:lpstr>
      <vt:lpstr>cd</vt:lpstr>
      <vt:lpstr>uc</vt:lpstr>
      <vt:lpstr>COUT_EFF_SBB0</vt:lpstr>
      <vt:lpstr>COUT_EFF_SBB1</vt:lpstr>
      <vt:lpstr>COUT_EFF_SBB2</vt:lpstr>
      <vt:lpstr>COUT_SBB0</vt:lpstr>
      <vt:lpstr>COUT_SBB1</vt:lpstr>
      <vt:lpstr>COUT_SBB2</vt:lpstr>
      <vt:lpstr>dVOUT_dtss</vt:lpstr>
      <vt:lpstr>ECOUT_BASE_SBB0</vt:lpstr>
      <vt:lpstr>ECOUT_BASE_SBB1</vt:lpstr>
      <vt:lpstr>ECOUT_BASE_SBB2</vt:lpstr>
      <vt:lpstr>ECOUT_SBB0</vt:lpstr>
      <vt:lpstr>ECOUT_SBB1</vt:lpstr>
      <vt:lpstr>ECOUT_SBB2</vt:lpstr>
      <vt:lpstr>Eloss_cond_CHG_SBB0</vt:lpstr>
      <vt:lpstr>Eloss_cond_CHG_SBB1</vt:lpstr>
      <vt:lpstr>Eloss_cond_CHG_SBB2</vt:lpstr>
      <vt:lpstr>Eloss_cond_SBB0</vt:lpstr>
      <vt:lpstr>Eloss_cond_SBB0_MAX</vt:lpstr>
      <vt:lpstr>Eloss_cond_SBB0_MIN</vt:lpstr>
      <vt:lpstr>Eloss_cond_SBB1</vt:lpstr>
      <vt:lpstr>Eloss_cond_SBB1_MAX</vt:lpstr>
      <vt:lpstr>Eloss_cond_SBB1_MIN</vt:lpstr>
      <vt:lpstr>Eloss_cond_SBB2</vt:lpstr>
      <vt:lpstr>Eloss_cond_SBB2_MAX</vt:lpstr>
      <vt:lpstr>Eloss_cond_SBB2_MIN</vt:lpstr>
      <vt:lpstr>EN_SBB0</vt:lpstr>
      <vt:lpstr>EN_SBB1</vt:lpstr>
      <vt:lpstr>EN_SBB2</vt:lpstr>
      <vt:lpstr>EOUT_CHG_SBB0</vt:lpstr>
      <vt:lpstr>EOUT_CHG_SBB1</vt:lpstr>
      <vt:lpstr>EOUT_CHG_SBB2</vt:lpstr>
      <vt:lpstr>EOUT_DIS_SBB0</vt:lpstr>
      <vt:lpstr>EOUT_DIS_SBB1</vt:lpstr>
      <vt:lpstr>EOUT_DIS_SBB2</vt:lpstr>
      <vt:lpstr>EOUT_SBB0</vt:lpstr>
      <vt:lpstr>EOUT_SBB0_MAX</vt:lpstr>
      <vt:lpstr>EOUT_SBB0_MIN</vt:lpstr>
      <vt:lpstr>EOUT_SBB1</vt:lpstr>
      <vt:lpstr>EOUT_SBB1_MAX</vt:lpstr>
      <vt:lpstr>EOUT_SBB1_MIN</vt:lpstr>
      <vt:lpstr>EOUT_SBB2</vt:lpstr>
      <vt:lpstr>EOUT_SBB2_MAX</vt:lpstr>
      <vt:lpstr>EOUT_SBB2_MIN</vt:lpstr>
      <vt:lpstr>fOUT_ripple_SBB0</vt:lpstr>
      <vt:lpstr>fOUT_ripple_SBB1</vt:lpstr>
      <vt:lpstr>fOUT_ripple_SBB2</vt:lpstr>
      <vt:lpstr>IOUT_Max_SBB0</vt:lpstr>
      <vt:lpstr>IOUT_Max_SBB0_MAX</vt:lpstr>
      <vt:lpstr>IOUT_Max_SBB0_MIN</vt:lpstr>
      <vt:lpstr>IOUT_Max_SBB1</vt:lpstr>
      <vt:lpstr>IOUT_Max_SBB1_MAX</vt:lpstr>
      <vt:lpstr>IOUT_Max_SBB1_MIN</vt:lpstr>
      <vt:lpstr>IOUT_Max_SBB2</vt:lpstr>
      <vt:lpstr>IOUT_Max_SBB2_MAX</vt:lpstr>
      <vt:lpstr>IOUT_Max_SBB2_MIN</vt:lpstr>
      <vt:lpstr>IOUT_SBB0</vt:lpstr>
      <vt:lpstr>IOUT_SBB1</vt:lpstr>
      <vt:lpstr>IOUT_SBB2</vt:lpstr>
      <vt:lpstr>IPeak_Adjust_SBB0</vt:lpstr>
      <vt:lpstr>IPeak_Adjust_SBB1</vt:lpstr>
      <vt:lpstr>IPeak_Adjust_SBB2</vt:lpstr>
      <vt:lpstr>IPeak_SBB0</vt:lpstr>
      <vt:lpstr>IPeak_SBB1</vt:lpstr>
      <vt:lpstr>IPeak_SBB2</vt:lpstr>
      <vt:lpstr>Irms_SBB0</vt:lpstr>
      <vt:lpstr>Irms_SBB1</vt:lpstr>
      <vt:lpstr>Irms_SBB2</vt:lpstr>
      <vt:lpstr>L</vt:lpstr>
      <vt:lpstr>POUT_MAX_SBB0</vt:lpstr>
      <vt:lpstr>POUT_MAX_SBB0_MAX</vt:lpstr>
      <vt:lpstr>POUT_MAX_SBB0_MIN</vt:lpstr>
      <vt:lpstr>POUT_MAX_SBB1</vt:lpstr>
      <vt:lpstr>POUT_MAX_SBB1_MAX</vt:lpstr>
      <vt:lpstr>POUT_MAX_SBB1_MIN</vt:lpstr>
      <vt:lpstr>POUT_MAX_SBB2</vt:lpstr>
      <vt:lpstr>POUT_MAX_SBB2_MAX</vt:lpstr>
      <vt:lpstr>POUT_MAX_SBB2_MIN</vt:lpstr>
      <vt:lpstr>QCHG_SBB0</vt:lpstr>
      <vt:lpstr>QCHG_SBB0_MAX</vt:lpstr>
      <vt:lpstr>QCHG_SBB0_MIN</vt:lpstr>
      <vt:lpstr>QCHG_SBB1</vt:lpstr>
      <vt:lpstr>QCHG_SBB1_MAX</vt:lpstr>
      <vt:lpstr>QCHG_SBB1_MIN</vt:lpstr>
      <vt:lpstr>QCHG_SBB2</vt:lpstr>
      <vt:lpstr>QCHG_SBB2_MAX</vt:lpstr>
      <vt:lpstr>QCHG_SBB2_MIN</vt:lpstr>
      <vt:lpstr>QDIS_SBB0</vt:lpstr>
      <vt:lpstr>QDIS_SBB0_MAX</vt:lpstr>
      <vt:lpstr>QDIS_SBB0_MIN</vt:lpstr>
      <vt:lpstr>QDIS_SBB1</vt:lpstr>
      <vt:lpstr>QDIS_SBB1_MAX</vt:lpstr>
      <vt:lpstr>QDIS_SBB1_MIN</vt:lpstr>
      <vt:lpstr>QDIS_SBB2</vt:lpstr>
      <vt:lpstr>QDIS_SBB2_MAX</vt:lpstr>
      <vt:lpstr>QDIS_SBB2_MIN</vt:lpstr>
      <vt:lpstr>rCHG_BB</vt:lpstr>
      <vt:lpstr>rCHG_Boost</vt:lpstr>
      <vt:lpstr>rCHG_Buck_SBB0</vt:lpstr>
      <vt:lpstr>rCHG_Buck_SBB1</vt:lpstr>
      <vt:lpstr>rCHG_Buck_SBB2</vt:lpstr>
      <vt:lpstr>rCHG_SBB0</vt:lpstr>
      <vt:lpstr>rCHG_SBB1</vt:lpstr>
      <vt:lpstr>rCHG_SBB2</vt:lpstr>
      <vt:lpstr>rDIS_BB_SBB0</vt:lpstr>
      <vt:lpstr>rDIS_BB_SBB1</vt:lpstr>
      <vt:lpstr>rDIS_BB_SBB2</vt:lpstr>
      <vt:lpstr>rDIS_Boost_SBB0</vt:lpstr>
      <vt:lpstr>rDIS_Boost_SBB1</vt:lpstr>
      <vt:lpstr>rDIS_Boost_SBB2</vt:lpstr>
      <vt:lpstr>rDIS_Buck_SBB0</vt:lpstr>
      <vt:lpstr>rDIS_Buck_SBB1</vt:lpstr>
      <vt:lpstr>rDIS_Buck_SBB2</vt:lpstr>
      <vt:lpstr>rDIS_SBB0</vt:lpstr>
      <vt:lpstr>rDIS_SBB1</vt:lpstr>
      <vt:lpstr>rDIS_SBB2</vt:lpstr>
      <vt:lpstr>rL_DCR</vt:lpstr>
      <vt:lpstr>rMinH_</vt:lpstr>
      <vt:lpstr>rMinL_</vt:lpstr>
      <vt:lpstr>rMoutH_SBB0</vt:lpstr>
      <vt:lpstr>rMoutH_SBB1</vt:lpstr>
      <vt:lpstr>rMoutH_SBB2</vt:lpstr>
      <vt:lpstr>rMoutL_</vt:lpstr>
      <vt:lpstr>tCHG_SBB0</vt:lpstr>
      <vt:lpstr>tCHG_SBB0_MAX</vt:lpstr>
      <vt:lpstr>tCHG_SBB0_MIN</vt:lpstr>
      <vt:lpstr>tCHG_SBB1</vt:lpstr>
      <vt:lpstr>tCHG_SBB1_MAX</vt:lpstr>
      <vt:lpstr>tCHG_SBB1_MIN</vt:lpstr>
      <vt:lpstr>tCHG_SBB2</vt:lpstr>
      <vt:lpstr>tCHG_SBB2_MAX</vt:lpstr>
      <vt:lpstr>tCHG_SBB2_MIN</vt:lpstr>
      <vt:lpstr>tDIS_SBB0</vt:lpstr>
      <vt:lpstr>tDIS_SBB0_MAX</vt:lpstr>
      <vt:lpstr>tDIS_SBB0_MIN</vt:lpstr>
      <vt:lpstr>tDIS_SBB1</vt:lpstr>
      <vt:lpstr>tDIS_SBB1_MAX</vt:lpstr>
      <vt:lpstr>tDIS_SBB1_MIN</vt:lpstr>
      <vt:lpstr>tDIS_SBB2</vt:lpstr>
      <vt:lpstr>tDIS_SBB2_MAX</vt:lpstr>
      <vt:lpstr>tDIS_SBB2_MIN</vt:lpstr>
      <vt:lpstr>terror_comp</vt:lpstr>
      <vt:lpstr>tilim_dly</vt:lpstr>
      <vt:lpstr>tservice_SBB0</vt:lpstr>
      <vt:lpstr>tservice_SBB0_MAX</vt:lpstr>
      <vt:lpstr>tservice_SBB0_MIN</vt:lpstr>
      <vt:lpstr>tservice_SBB1</vt:lpstr>
      <vt:lpstr>tservice_SBB1_MAX</vt:lpstr>
      <vt:lpstr>tservice_SBB1_MIN</vt:lpstr>
      <vt:lpstr>tservice_SBB2</vt:lpstr>
      <vt:lpstr>tservice_SBB2_MAX</vt:lpstr>
      <vt:lpstr>tservice_SBB2_MIN</vt:lpstr>
      <vt:lpstr>tss_SBB0_MAX</vt:lpstr>
      <vt:lpstr>tss_SBB0_MIN</vt:lpstr>
      <vt:lpstr>tss_SBB1_MAX</vt:lpstr>
      <vt:lpstr>tss_SBB1_MIN</vt:lpstr>
      <vt:lpstr>tss_SBB2_MAX</vt:lpstr>
      <vt:lpstr>tss_SBB2_MIN</vt:lpstr>
      <vt:lpstr>tundershoot_SBB0</vt:lpstr>
      <vt:lpstr>tundershoot_SBB0_MAX</vt:lpstr>
      <vt:lpstr>tundershoot_SBB0_MIN</vt:lpstr>
      <vt:lpstr>tundershoot_SBB1</vt:lpstr>
      <vt:lpstr>tundershoot_SBB1_MAX</vt:lpstr>
      <vt:lpstr>tundershoot_SBB1_MIN</vt:lpstr>
      <vt:lpstr>tundershoot_SBB2</vt:lpstr>
      <vt:lpstr>tundershoot_SBB2_MAX</vt:lpstr>
      <vt:lpstr>tundershoot_SBB2_MIN</vt:lpstr>
      <vt:lpstr>ULPM_max</vt:lpstr>
      <vt:lpstr>ULPM_min</vt:lpstr>
      <vt:lpstr>ULPM_typ</vt:lpstr>
      <vt:lpstr>VCOUT_CHG_SBB0</vt:lpstr>
      <vt:lpstr>VCOUT_CHG_SBB0_MAX</vt:lpstr>
      <vt:lpstr>VCOUT_CHG_SBB0_MIN</vt:lpstr>
      <vt:lpstr>VCOUT_CHG_SBB1</vt:lpstr>
      <vt:lpstr>VCOUT_CHG_SBB1_MAX</vt:lpstr>
      <vt:lpstr>VCOUT_CHG_SBB1_MIN</vt:lpstr>
      <vt:lpstr>VCOUT_CHG_SBB2</vt:lpstr>
      <vt:lpstr>VCOUT_CHG_SBB2_MAX</vt:lpstr>
      <vt:lpstr>VCOUT_CHG_SBB2_MIN</vt:lpstr>
      <vt:lpstr>VCOUT_DIS_SBB0</vt:lpstr>
      <vt:lpstr>VCOUT_DIS_SBB0_MAX</vt:lpstr>
      <vt:lpstr>VCOUT_DIS_SBB0_MIN</vt:lpstr>
      <vt:lpstr>VCOUT_DIS_SBB1</vt:lpstr>
      <vt:lpstr>VCOUT_DIS_SBB1_MAX</vt:lpstr>
      <vt:lpstr>VCOUT_DIS_SBB1_MIN</vt:lpstr>
      <vt:lpstr>VCOUT_DIS_SBB2</vt:lpstr>
      <vt:lpstr>VCOUT_DIS_SBB2_MAX</vt:lpstr>
      <vt:lpstr>VCOUT_DIS_SBB2_MIN</vt:lpstr>
      <vt:lpstr>VIN</vt:lpstr>
      <vt:lpstr>VL_BB_CHG_SBB0</vt:lpstr>
      <vt:lpstr>VL_BB_CHG_SBB1</vt:lpstr>
      <vt:lpstr>VL_BB_CHG_SBB2</vt:lpstr>
      <vt:lpstr>VL_BB_DIS_SBB0</vt:lpstr>
      <vt:lpstr>VL_BB_DIS_SBB0_MAX</vt:lpstr>
      <vt:lpstr>VL_BB_DIS_SBB0_MIN</vt:lpstr>
      <vt:lpstr>VL_BB_DIS_SBB1</vt:lpstr>
      <vt:lpstr>VL_BB_DIS_SBB1_MAX</vt:lpstr>
      <vt:lpstr>VL_BB_DIS_SBB1_MIN</vt:lpstr>
      <vt:lpstr>VL_BB_DIS_SBB2</vt:lpstr>
      <vt:lpstr>VL_BB_DIS_SBB2_MAX</vt:lpstr>
      <vt:lpstr>VL_BB_DIS_SBB2_MIN</vt:lpstr>
      <vt:lpstr>VL_Boost_CHG_SBB0</vt:lpstr>
      <vt:lpstr>VL_Boost_CHG_SBB1</vt:lpstr>
      <vt:lpstr>VL_Boost_CHG_SBB2</vt:lpstr>
      <vt:lpstr>VL_Boost_DIS_SBB0</vt:lpstr>
      <vt:lpstr>VL_Boost_DIS_SBB0_MAX</vt:lpstr>
      <vt:lpstr>VL_Boost_DIS_SBB0_MIN</vt:lpstr>
      <vt:lpstr>VL_Boost_DIS_SBB1</vt:lpstr>
      <vt:lpstr>VL_Boost_DIS_SBB1_MAX</vt:lpstr>
      <vt:lpstr>VL_Boost_DIS_SBB1_MIN</vt:lpstr>
      <vt:lpstr>VL_Boost_DIS_SBB2</vt:lpstr>
      <vt:lpstr>VL_Boost_DIS_SBB2_MAX</vt:lpstr>
      <vt:lpstr>VL_Boost_DIS_SBB2_MIN</vt:lpstr>
      <vt:lpstr>VL_Buck_CHG_SBB0</vt:lpstr>
      <vt:lpstr>VL_Buck_CHG_SBB0_MAX</vt:lpstr>
      <vt:lpstr>VL_Buck_CHG_SBB0_MIN</vt:lpstr>
      <vt:lpstr>VL_Buck_CHG_SBB1</vt:lpstr>
      <vt:lpstr>VL_Buck_CHG_SBB1_MAX</vt:lpstr>
      <vt:lpstr>VL_Buck_CHG_SBB1_MIN</vt:lpstr>
      <vt:lpstr>VL_Buck_CHG_SBB2</vt:lpstr>
      <vt:lpstr>VL_Buck_CHG_SBB2_MAX</vt:lpstr>
      <vt:lpstr>VL_Buck_CHG_SBB2_MIN</vt:lpstr>
      <vt:lpstr>VL_Buck_DIS_SBB0</vt:lpstr>
      <vt:lpstr>VL_Buck_DIS_SBB1</vt:lpstr>
      <vt:lpstr>VL_Buck_DIS_SBB2</vt:lpstr>
      <vt:lpstr>VLXA_H_SBB0</vt:lpstr>
      <vt:lpstr>VLXA_H_SBB1</vt:lpstr>
      <vt:lpstr>VLXA_H_SBB2</vt:lpstr>
      <vt:lpstr>VLXA_L_SBB0</vt:lpstr>
      <vt:lpstr>VLXA_L_SBB1</vt:lpstr>
      <vt:lpstr>VLXA_L_SBB2</vt:lpstr>
      <vt:lpstr>VLXB_H_SBB0</vt:lpstr>
      <vt:lpstr>VLXB_H_SBB0_MAX</vt:lpstr>
      <vt:lpstr>VLXB_H_SBB0_MIN</vt:lpstr>
      <vt:lpstr>VLXB_H_SBB1</vt:lpstr>
      <vt:lpstr>VLXB_H_SBB1_MAX</vt:lpstr>
      <vt:lpstr>VLXB_H_SBB1_MIN</vt:lpstr>
      <vt:lpstr>VLXB_H_SBB2</vt:lpstr>
      <vt:lpstr>VLXB_H_SBB2_MAX</vt:lpstr>
      <vt:lpstr>VLXB_H_SBB2_MIN</vt:lpstr>
      <vt:lpstr>VLXB_L_SBB0</vt:lpstr>
      <vt:lpstr>VLXB_L_SBB1</vt:lpstr>
      <vt:lpstr>VLXB_L_SBB2</vt:lpstr>
      <vt:lpstr>VOUT_Accuracy</vt:lpstr>
      <vt:lpstr>VOUT_ERROR_SBB0</vt:lpstr>
      <vt:lpstr>VOUT_ERROR_SBB1</vt:lpstr>
      <vt:lpstr>VOUT_ERROR_SBB2</vt:lpstr>
      <vt:lpstr>VOUT_peak_SBB0</vt:lpstr>
      <vt:lpstr>VOUT_peak_SBB0_MAX</vt:lpstr>
      <vt:lpstr>VOUT_peak_SBB0_MIN</vt:lpstr>
      <vt:lpstr>VOUT_peak_SBB1</vt:lpstr>
      <vt:lpstr>VOUT_peak_SBB1_MAX</vt:lpstr>
      <vt:lpstr>VOUT_peak_SBB1_MIN</vt:lpstr>
      <vt:lpstr>VOUT_peak_SBB2</vt:lpstr>
      <vt:lpstr>VOUT_peak_SBB2_MAX</vt:lpstr>
      <vt:lpstr>VOUT_peak_SBB2_MIN</vt:lpstr>
      <vt:lpstr>VOUT_SBB0</vt:lpstr>
      <vt:lpstr>VOUT_SBB0_MAX</vt:lpstr>
      <vt:lpstr>VOUT_SBB0_MIN</vt:lpstr>
      <vt:lpstr>VOUT_SBB1</vt:lpstr>
      <vt:lpstr>VOUT_SBB1_MAX</vt:lpstr>
      <vt:lpstr>VOUT_SBB1_MIN</vt:lpstr>
      <vt:lpstr>VOUT_SBB2</vt:lpstr>
      <vt:lpstr>VOUT_SBB2_MAX</vt:lpstr>
      <vt:lpstr>VOUT_SBB2_MIN</vt:lpstr>
      <vt:lpstr>VOUT_valley_SBB0</vt:lpstr>
      <vt:lpstr>VOUT_valley_SBB0_MAX</vt:lpstr>
      <vt:lpstr>VOUT_valley_SBB0_MIN</vt:lpstr>
      <vt:lpstr>VOUT_valley_SBB1</vt:lpstr>
      <vt:lpstr>VOUT_valley_SBB1_MAX</vt:lpstr>
      <vt:lpstr>VOUT_valley_SBB1_MIN</vt:lpstr>
      <vt:lpstr>VOUT_valley_SBB2</vt:lpstr>
      <vt:lpstr>VOUT_valley_SBB2_MAX</vt:lpstr>
      <vt:lpstr>VOUT_valley_SBB2_MIN</vt:lpstr>
      <vt:lpstr>η_SBB0</vt:lpstr>
      <vt:lpstr>η_SBB1</vt:lpstr>
      <vt:lpstr>η_SBB2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2019-11-22T18:55:21Z</dcterms:created>
  <dcterms:modified xsi:type="dcterms:W3CDTF">2021-06-16T19:44:12Z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55">
    <vt:lpwstr>136</vt:lpwstr>
  </property>
  <property fmtid="{D5CDD505-2E9C-101B-9397-08002B2CF9AE}" pid="3" name="ContentTypeId">
    <vt:lpwstr>0x0101008D4C304306947647AC1DD6E939CE4796</vt:lpwstr>
  </property>
</Properties>
</file>